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 REVENUE" sheetId="1" r:id="rId4"/>
    <sheet state="visible" name="LOB" sheetId="2" r:id="rId5"/>
    <sheet state="visible" name="Kinerja cbg" sheetId="3" r:id="rId6"/>
    <sheet state="visible" name="DB Monitoring" sheetId="4" r:id="rId7"/>
    <sheet state="visible" name="Proker New" sheetId="5" r:id="rId8"/>
    <sheet state="visible" name="Proker 2025" sheetId="6" r:id="rId9"/>
  </sheets>
  <externalReferences>
    <externalReference r:id="rId10"/>
    <externalReference r:id="rId11"/>
  </externalReferences>
  <definedNames>
    <definedName hidden="1" localSheetId="3" name="_xlnm._FilterDatabase">'DB Monitoring'!$B$7:$AF$1809</definedName>
    <definedName hidden="1" localSheetId="4" name="_xlnm._FilterDatabase">'Proker New'!$B$5:$Y$325</definedName>
    <definedName hidden="1" localSheetId="5" name="_xlnm._FilterDatabase">'Proker 2025'!$A$7:$DR$242</definedName>
    <definedName hidden="1" localSheetId="3" name="Z_40376861_4673_4C88_9B1C_798F6AA9817A_.wvu.FilterData">'DB Monitoring'!$B$7:$AC$1811</definedName>
  </definedNames>
  <calcPr/>
  <customWorkbookViews>
    <customWorkbookView activeSheetId="0" maximized="1" windowHeight="0" windowWidth="0" guid="{40376861-4673-4C88-9B1C-798F6AA9817A}" name="Filter 1"/>
  </customWorkbookViews>
  <extLst>
    <ext uri="GoogleSheetsCustomDataVersion2">
      <go:sheetsCustomData xmlns:go="http://customooxmlschemas.google.com/" r:id="rId12" roundtripDataChecksum="1TX/5pn9oJG1J9KWAjU4BCf4Tojy6bPbJxNkTnqkXH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1">
      <text>
        <t xml:space="preserve">Termasuk konstruksi, Hotel Retail, Accelary
======</t>
      </text>
    </comment>
    <comment authorId="0" ref="C14">
      <text>
        <t xml:space="preserve">======
ID#AAABoVpTZhY
director facility    (2025-07-28 06:52:20)
Termasuk Mice</t>
      </text>
    </comment>
  </commentList>
  <extLst>
    <ext uri="GoogleSheetsCustomDataVersion2">
      <go:sheetsCustomData xmlns:go="http://customooxmlschemas.google.com/" r:id="rId1" roundtripDataSignature="AMtx7mjpT6Z6mjgVo33e+94LtoJtgnDEC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1">
      <text>
        <t xml:space="preserve">Semula sudah di proses ADD I dengan jangka waktu 3 Bulan (JAN s.d MAR 2025), namun diupdate dari APINDO DTB Jumat, 21 Mar 2025 ADD di ubah menjadi 6 bulan terhitung dari JAN s.d JUN 2025)
======</t>
      </text>
    </comment>
    <comment authorId="0" ref="U101">
      <text>
        <t xml:space="preserve">Nilai sesuai BA Accrued regional 1
======
ID#AAABnQbwYK0
director facility    (2025-07-11 08:20:19)
sudah accrued sudah invoice menunggu pembayaran</t>
      </text>
    </comment>
    <comment authorId="0" ref="U102">
      <text>
        <t xml:space="preserve">Nilai sesuai BA Accrued regional 1
======</t>
      </text>
    </comment>
    <comment authorId="0" ref="D119">
      <text>
        <t xml:space="preserve">Kontrak tidak di Perpanjang
======</t>
      </text>
    </comment>
    <comment authorId="0" ref="T167">
      <text>
        <t xml:space="preserve">Nilai sesuai BA accrued regional 1
======
ID#AAABnO0XCcM
Clemira Khaulah AP    (2025-07-10 07:04:02)
Sudah di accrued belum invoice</t>
      </text>
    </comment>
    <comment authorId="0" ref="T174">
      <text>
        <t xml:space="preserve">BELUM DIBAYAR
======
ID#AAABnO0XCcc
Clemira Khaulah AP    (2025-07-10 07:25:26)
Sudah di accrued belum invoice</t>
      </text>
    </comment>
    <comment authorId="0" ref="U174">
      <text>
        <t xml:space="preserve">BELUM DIBAYAR
======
ID#AAABnO0XCcg
Clemira Khaulah AP    (2025-07-10 07:25:57)
Sudah di accured belum diinvoice</t>
      </text>
    </comment>
    <comment authorId="0" ref="V174">
      <text>
        <t xml:space="preserve">BELUM DIBAYAR
======
ID#AAABnO0XCck
Clemira Khaulah AP    (2025-07-10 07:26:11)
Sudah di accrued belum invoice</t>
      </text>
    </comment>
    <comment authorId="0" ref="T213">
      <text>
        <t xml:space="preserve">nilai sesuai BA accrued regional 1
======
ID#AAABnO0XCfI
Clemira Khaulah AP    (2025-07-10 08:24:03)
Sudah diaccured sudah invoice</t>
      </text>
    </comment>
    <comment authorId="0" ref="U213">
      <text>
        <t xml:space="preserve">nilai sesuai BA accrued regional 1
======
ID#AAABnO0XCfM
Clemira Khaulah AP    (2025-07-10 08:24:12)
Sudah diaccured sudah invoice</t>
      </text>
    </comment>
    <comment authorId="0" ref="V213">
      <text>
        <t xml:space="preserve">nilai sesuai BA accrued regional 1
======
ID#AAABnO0XCfQ
Clemira Khaulah AP    (2025-07-10 08:24:21)
Sudah diaccured sudah invoice</t>
      </text>
    </comment>
    <comment authorId="0" ref="T225">
      <text>
        <t xml:space="preserve">Nilai sesuia BA accrued regional 1
======
ID#AAABnO0XCfk
Clemira Khaulah AP    (2025-07-10 08:55:30)
Menunggu lampiran berkas pembayaran</t>
      </text>
    </comment>
    <comment authorId="0" ref="U231">
      <text>
        <t xml:space="preserve">Nilai sesuai BA Accrued Regional 1
======
ID#AAABnO0XCfw
Clemira Khaulah AP    (2025-07-10 08:56:16)
Menunggu lampiran berkas pembayaran</t>
      </text>
    </comment>
    <comment authorId="0" ref="R323">
      <text>
        <t xml:space="preserve">sudah di accrue, sudah invoice, belum dibayar
======</t>
      </text>
    </comment>
    <comment authorId="0" ref="S323">
      <text>
        <t xml:space="preserve">sudah di accrue, belum invoice, belum dibayar
======</t>
      </text>
    </comment>
    <comment authorId="0" ref="T323">
      <text>
        <t xml:space="preserve">sudah di accrue, belum invoice, belum dibayar
======</t>
      </text>
    </comment>
    <comment authorId="0" ref="U323">
      <text>
        <t xml:space="preserve">sudah di accrue, belum invoice, belum dibayar
======</t>
      </text>
    </comment>
    <comment authorId="0" ref="V323">
      <text>
        <t xml:space="preserve">sudah di accrue, belum invoice, belum dibayar
======</t>
      </text>
    </comment>
    <comment authorId="0" ref="L326">
      <text>
        <t xml:space="preserve">NIlai kontrak pada tahun 2023 - 2024, untuk kontrak di tahun 2024 - 2025 (Addendum 18 bulan periode 1 maret 2024 sd 31 Agustus 2025) masih dalam proses di IAS
======</t>
      </text>
    </comment>
    <comment authorId="0" ref="Q329">
      <text>
        <t xml:space="preserve">Belum di accrue, belum di invoice
======</t>
      </text>
    </comment>
    <comment authorId="0" ref="R329">
      <text>
        <t xml:space="preserve">Belum di accrue, belum di invoice
======</t>
      </text>
    </comment>
    <comment authorId="0" ref="S329">
      <text>
        <t xml:space="preserve">Belum di accrue, belum di invoice
======</t>
      </text>
    </comment>
    <comment authorId="0" ref="T329">
      <text>
        <t xml:space="preserve">Belum di accrue, belum di invoice
======</t>
      </text>
    </comment>
    <comment authorId="0" ref="U329">
      <text>
        <t xml:space="preserve">Belum di accrue, belum di invoice
======</t>
      </text>
    </comment>
    <comment authorId="0" ref="V329">
      <text>
        <t xml:space="preserve">Belum di accrue, belum di invoice
======</t>
      </text>
    </comment>
    <comment authorId="0" ref="U334">
      <text>
        <t xml:space="preserve">Sudah accrue, belum invoice
======</t>
      </text>
    </comment>
    <comment authorId="0" ref="V334">
      <text>
        <t xml:space="preserve">Sudah accrue, belum invoice
======</t>
      </text>
    </comment>
    <comment authorId="0" ref="Q339">
      <text>
        <t xml:space="preserve">sudah di accrue, belum di invoice
======</t>
      </text>
    </comment>
    <comment authorId="0" ref="R339">
      <text>
        <t xml:space="preserve">sudah di accrue, belum di invoice
======</t>
      </text>
    </comment>
    <comment authorId="0" ref="S339">
      <text>
        <t xml:space="preserve">sudah di accrue, belum di invoice
======</t>
      </text>
    </comment>
    <comment authorId="0" ref="T339">
      <text>
        <t xml:space="preserve">Nilai Accrued dari Region
======</t>
      </text>
    </comment>
    <comment authorId="0" ref="U339">
      <text>
        <t xml:space="preserve">sudah di accrue, belum di invoice
======</t>
      </text>
    </comment>
    <comment authorId="0" ref="V339">
      <text>
        <t xml:space="preserve">sudah di accrue, belum di invoice
======</t>
      </text>
    </comment>
    <comment authorId="0" ref="D485">
      <text>
        <t xml:space="preserve">Semula di palangkaraya
======</t>
      </text>
    </comment>
    <comment authorId="0" ref="U532">
      <text>
        <t xml:space="preserve">
======
ID#AAABm7Et7IM
Anonymous    (2025-07-07 03:17:29)
Sudah accrued belum invoice menunggu kontrak</t>
      </text>
    </comment>
    <comment authorId="0" ref="Q574">
      <text>
        <t xml:space="preserve">sudah accrued belum invoice
======</t>
      </text>
    </comment>
    <comment authorId="0" ref="R574">
      <text>
        <t xml:space="preserve">sudah accrued belum invoice
======</t>
      </text>
    </comment>
    <comment authorId="0" ref="S574">
      <text>
        <t xml:space="preserve">sudah accrued belum invoice
======</t>
      </text>
    </comment>
    <comment authorId="0" ref="T574">
      <text>
        <t xml:space="preserve">sudah accrued belum invoice
======</t>
      </text>
    </comment>
    <comment authorId="0" ref="V580">
      <text>
        <t xml:space="preserve">sudah accrued belum invoice
======</t>
      </text>
    </comment>
    <comment authorId="0" ref="U586">
      <text>
        <t xml:space="preserve">Nilai sesuai BA accrued regional 2
======
ID#AAABm7Et7M8
Anonymous    (2025-07-07 05:47:15)
Sudah accrued &amp; invoice belum dibayarkan</t>
      </text>
    </comment>
    <comment authorId="0" ref="Q592">
      <text>
        <t xml:space="preserve">sudah accrued sudah invoice belum dibayarkan
======</t>
      </text>
    </comment>
    <comment authorId="0" ref="R592">
      <text>
        <t xml:space="preserve">belum accrued belum invoice menunggu kontrak
======</t>
      </text>
    </comment>
    <comment authorId="0" ref="S592">
      <text>
        <t xml:space="preserve">belum accrued belum invoice menunggu kontrak
======</t>
      </text>
    </comment>
    <comment authorId="0" ref="T592">
      <text>
        <t xml:space="preserve">belum accrued belum invoice menunggu kontrak
======</t>
      </text>
    </comment>
    <comment authorId="0" ref="U592">
      <text>
        <t xml:space="preserve">belum accrued belum invoice menunggu kontrak
======</t>
      </text>
    </comment>
    <comment authorId="0" ref="Q593">
      <text>
        <t xml:space="preserve">sudah accrued sudah invoice belum dibayarkan
======</t>
      </text>
    </comment>
    <comment authorId="0" ref="U655">
      <text>
        <t xml:space="preserve">sudah accrued belum invoice
======</t>
      </text>
    </comment>
    <comment authorId="0" ref="V655">
      <text>
        <t xml:space="preserve">sudah accrued belum invoice
======</t>
      </text>
    </comment>
    <comment authorId="0" ref="V660">
      <text>
        <t xml:space="preserve">sudah accrued belum invoice
======</t>
      </text>
    </comment>
    <comment authorId="0" ref="Q667">
      <text>
        <t xml:space="preserve">sudah acrrued belum invoice menunggu addendum
======</t>
      </text>
    </comment>
    <comment authorId="0" ref="R667">
      <text>
        <t xml:space="preserve">sudah acrrued belum invoice menunggu addendum
======</t>
      </text>
    </comment>
    <comment authorId="0" ref="S667">
      <text>
        <t xml:space="preserve">sudah acrrued belum invoice menunggu addendum
======</t>
      </text>
    </comment>
    <comment authorId="0" ref="T667">
      <text>
        <t xml:space="preserve">belum accrued
======</t>
      </text>
    </comment>
    <comment authorId="0" ref="U667">
      <text>
        <t xml:space="preserve">belum accrued
======</t>
      </text>
    </comment>
    <comment authorId="0" ref="V667">
      <text>
        <t xml:space="preserve">belum accrued
======</t>
      </text>
    </comment>
    <comment authorId="0" ref="Q674">
      <text>
        <t xml:space="preserve">sudah accrued sudah invoice belum dibayarkan
======</t>
      </text>
    </comment>
    <comment authorId="0" ref="R674">
      <text>
        <t xml:space="preserve">sudah accrued sudah invoice belum dibayarkan
======</t>
      </text>
    </comment>
    <comment authorId="0" ref="S674">
      <text>
        <t xml:space="preserve">sudah accrued sudah invoice belum dibayarkan
======</t>
      </text>
    </comment>
    <comment authorId="0" ref="T674">
      <text>
        <t xml:space="preserve">belum accrued belum invoice
======</t>
      </text>
    </comment>
    <comment authorId="0" ref="U674">
      <text>
        <t xml:space="preserve">belum accrued belum invoice
======</t>
      </text>
    </comment>
    <comment authorId="0" ref="V674">
      <text>
        <t xml:space="preserve">belum accrued belum invoice
======</t>
      </text>
    </comment>
    <comment authorId="0" ref="Q675">
      <text>
        <t xml:space="preserve">sudah accrued sudah invoice belum dibayarkan
======</t>
      </text>
    </comment>
    <comment authorId="0" ref="R675">
      <text>
        <t xml:space="preserve">sudah accrued sudah invoice belum dibayarkan
======</t>
      </text>
    </comment>
    <comment authorId="0" ref="S675">
      <text>
        <t xml:space="preserve">sudah accrued sudah invoice belum dibayarkan
======</t>
      </text>
    </comment>
    <comment authorId="0" ref="V681">
      <text>
        <t xml:space="preserve">sudah accrued belum invoice
======</t>
      </text>
    </comment>
    <comment authorId="0" ref="Q689">
      <text>
        <t xml:space="preserve">sudah accrued belum invoice
======</t>
      </text>
    </comment>
    <comment authorId="0" ref="R689">
      <text>
        <t xml:space="preserve">sudah accrued belum invoice
======</t>
      </text>
    </comment>
    <comment authorId="0" ref="S689">
      <text>
        <t xml:space="preserve">sudah accrued belum invoice
======</t>
      </text>
    </comment>
    <comment authorId="0" ref="T689">
      <text>
        <t xml:space="preserve">sudah accrued belum invoice
======</t>
      </text>
    </comment>
    <comment authorId="0" ref="U689">
      <text>
        <t xml:space="preserve">sudah accrued belum invoice
======</t>
      </text>
    </comment>
    <comment authorId="0" ref="V689">
      <text>
        <t xml:space="preserve">sudah accrued belum invoice
======</t>
      </text>
    </comment>
    <comment authorId="0" ref="U694">
      <text>
        <t xml:space="preserve">sudah accrued belum invoice
======</t>
      </text>
    </comment>
    <comment authorId="0" ref="V699">
      <text>
        <t xml:space="preserve">sudah accrue belum invoice
======</t>
      </text>
    </comment>
    <comment authorId="0" ref="Q703">
      <text>
        <t xml:space="preserve">Kontrak berakhir di desember 2024
======</t>
      </text>
    </comment>
    <comment authorId="0" ref="Q708">
      <text>
        <t xml:space="preserve">Kontrak berakhir di desember 2024
======</t>
      </text>
    </comment>
    <comment authorId="0" ref="R713">
      <text>
        <t xml:space="preserve">Kontrak berakhir di Januari 2025
======</t>
      </text>
    </comment>
    <comment authorId="0" ref="U719">
      <text>
        <t xml:space="preserve">sudah accrued belum invoice 
======</t>
      </text>
    </comment>
    <comment authorId="0" ref="V719">
      <text>
        <t xml:space="preserve">sudah accrued belum invoice 
======</t>
      </text>
    </comment>
    <comment authorId="0" ref="V725">
      <text>
        <t xml:space="preserve">sudah accrued belum invoice
======</t>
      </text>
    </comment>
    <comment authorId="0" ref="U726">
      <text>
        <t xml:space="preserve">sudah invoice belum dibayarkan
======</t>
      </text>
    </comment>
    <comment authorId="0" ref="V731">
      <text>
        <t xml:space="preserve">sudah accrued belum invoice
======</t>
      </text>
    </comment>
    <comment authorId="0" ref="V736">
      <text>
        <t xml:space="preserve">sudah accrued belum invoice
======</t>
      </text>
    </comment>
    <comment authorId="0" ref="U763">
      <text>
        <t xml:space="preserve">sudah accured belum invoice
======</t>
      </text>
    </comment>
    <comment authorId="0" ref="V763">
      <text>
        <t xml:space="preserve">belum accrued
======</t>
      </text>
    </comment>
    <comment authorId="0" ref="T764">
      <text>
        <t xml:space="preserve">sudah invoice belum dibayarkan
======</t>
      </text>
    </comment>
    <comment authorId="0" ref="U780">
      <text>
        <t xml:space="preserve">sudah accrued belum invoice
======</t>
      </text>
    </comment>
    <comment authorId="0" ref="V780">
      <text>
        <t xml:space="preserve">belum accrued
======</t>
      </text>
    </comment>
    <comment authorId="0" ref="V785">
      <text>
        <t xml:space="preserve">belum accrued
======</t>
      </text>
    </comment>
    <comment authorId="0" ref="Q791">
      <text>
        <t xml:space="preserve">sudah accrued belum invoice
======</t>
      </text>
    </comment>
    <comment authorId="0" ref="R791">
      <text>
        <t xml:space="preserve">sudah accrued belum invoice
======</t>
      </text>
    </comment>
    <comment authorId="0" ref="S791">
      <text>
        <t xml:space="preserve">sudah accrued belum invoice
======</t>
      </text>
    </comment>
    <comment authorId="0" ref="T791">
      <text>
        <t xml:space="preserve">sudah accrued belum invoice
======</t>
      </text>
    </comment>
    <comment authorId="0" ref="U791">
      <text>
        <t xml:space="preserve">sudah accrued belum invoice
======</t>
      </text>
    </comment>
    <comment authorId="0" ref="V791">
      <text>
        <t xml:space="preserve">belum accrued
======</t>
      </text>
    </comment>
    <comment authorId="0" ref="V798">
      <text>
        <t xml:space="preserve">belum accrued
======</t>
      </text>
    </comment>
    <comment authorId="0" ref="Q805">
      <text>
        <t xml:space="preserve">sudah invoice belum dibayar
======</t>
      </text>
    </comment>
    <comment authorId="0" ref="R805">
      <text>
        <t xml:space="preserve">sudah invoice belum dibayar
======</t>
      </text>
    </comment>
    <comment authorId="0" ref="S805">
      <text>
        <t xml:space="preserve">sudah invoice belum dibayar
======</t>
      </text>
    </comment>
    <comment authorId="0" ref="V812">
      <text>
        <t xml:space="preserve">sudah accrued belum invoice
======</t>
      </text>
    </comment>
    <comment authorId="0" ref="V819">
      <text>
        <t xml:space="preserve">sudah accrued belum invoice
======</t>
      </text>
    </comment>
    <comment authorId="0" ref="U820">
      <text>
        <t xml:space="preserve">sudah invoice belum dibayarkan
======</t>
      </text>
    </comment>
    <comment authorId="0" ref="V890">
      <text>
        <t xml:space="preserve">sudah accrued belum invoice
======</t>
      </text>
    </comment>
    <comment authorId="0" ref="U891">
      <text>
        <t xml:space="preserve">sudah invoice belum dibayarkan
======</t>
      </text>
    </comment>
    <comment authorId="0" ref="V897">
      <text>
        <t xml:space="preserve">sudah accrued belum invoice
======</t>
      </text>
    </comment>
    <comment authorId="0" ref="Q903">
      <text>
        <t xml:space="preserve">sudah accrued belum invoice
======</t>
      </text>
    </comment>
    <comment authorId="0" ref="R903">
      <text>
        <t xml:space="preserve">sudah accrued belum invoice
======</t>
      </text>
    </comment>
    <comment authorId="0" ref="S903">
      <text>
        <t xml:space="preserve">sudah accrued belum invoice
======</t>
      </text>
    </comment>
    <comment authorId="0" ref="T903">
      <text>
        <t xml:space="preserve">sudah accrued belum invoice
======</t>
      </text>
    </comment>
    <comment authorId="0" ref="U903">
      <text>
        <t xml:space="preserve">Sudah accrued belum invoice
======</t>
      </text>
    </comment>
    <comment authorId="0" ref="V903">
      <text>
        <t xml:space="preserve">sudah accrued belum invoice
======</t>
      </text>
    </comment>
    <comment authorId="0" ref="T909">
      <text>
        <t xml:space="preserve">sudah accrued belum invoice
======</t>
      </text>
    </comment>
    <comment authorId="0" ref="U909">
      <text>
        <t xml:space="preserve">sudah accrued belum invoice
======</t>
      </text>
    </comment>
    <comment authorId="0" ref="V909">
      <text>
        <t xml:space="preserve">sudah accrued belum invoice
======</t>
      </text>
    </comment>
    <comment authorId="0" ref="U915">
      <text>
        <t xml:space="preserve">sudah accurued belum invoice
======</t>
      </text>
    </comment>
    <comment authorId="0" ref="V915">
      <text>
        <t xml:space="preserve">sudah accurued belum invoice
======</t>
      </text>
    </comment>
    <comment authorId="0" ref="Q921">
      <text>
        <t xml:space="preserve">belum accrued
======</t>
      </text>
    </comment>
    <comment authorId="0" ref="R921">
      <text>
        <t xml:space="preserve">belum accrued
======</t>
      </text>
    </comment>
    <comment authorId="0" ref="S921">
      <text>
        <t xml:space="preserve">belum accrued
======</t>
      </text>
    </comment>
    <comment authorId="0" ref="T921">
      <text>
        <t xml:space="preserve">belum accrued
======</t>
      </text>
    </comment>
    <comment authorId="0" ref="U921">
      <text>
        <t xml:space="preserve">belum accrued
======</t>
      </text>
    </comment>
    <comment authorId="0" ref="V921">
      <text>
        <t xml:space="preserve">belum accrued
======</t>
      </text>
    </comment>
    <comment authorId="0" ref="M924">
      <text>
        <t xml:space="preserve">surat penunjukan pemenang tender
======</t>
      </text>
    </comment>
    <comment authorId="0" ref="V931">
      <text>
        <t xml:space="preserve">sudah accrued belum invoice
======</t>
      </text>
    </comment>
    <comment authorId="0" ref="U932">
      <text>
        <t xml:space="preserve">sudah invoice belum dibayarkan
======</t>
      </text>
    </comment>
    <comment authorId="0" ref="Q936">
      <text>
        <t xml:space="preserve">belum accrued belum invoice
======</t>
      </text>
    </comment>
    <comment authorId="0" ref="R936">
      <text>
        <t xml:space="preserve">belum accrued belum invoice
======</t>
      </text>
    </comment>
    <comment authorId="0" ref="S936">
      <text>
        <t xml:space="preserve">belum accrued belum invoice
======</t>
      </text>
    </comment>
    <comment authorId="0" ref="T936">
      <text>
        <t xml:space="preserve">belum accrued belum invoice
======</t>
      </text>
    </comment>
    <comment authorId="0" ref="U936">
      <text>
        <t xml:space="preserve">belum accrued belum invoice
======</t>
      </text>
    </comment>
    <comment authorId="0" ref="V936">
      <text>
        <t xml:space="preserve">belum accrued belum invoice
======</t>
      </text>
    </comment>
    <comment authorId="0" ref="U941">
      <text>
        <t xml:space="preserve">sudah accrued belum invoice
======</t>
      </text>
    </comment>
    <comment authorId="0" ref="V941">
      <text>
        <t xml:space="preserve">belum accrued
======</t>
      </text>
    </comment>
    <comment authorId="0" ref="U946">
      <text>
        <t xml:space="preserve">sudah accrued belum invoice
======</t>
      </text>
    </comment>
    <comment authorId="0" ref="V946">
      <text>
        <t xml:space="preserve">belum accrued
======</t>
      </text>
    </comment>
    <comment authorId="0" ref="W958">
      <text>
        <t xml:space="preserve">sudah invoice belum dibayarkan
======</t>
      </text>
    </comment>
    <comment authorId="0" ref="V1559">
      <text>
        <t xml:space="preserve">SUDAH DI ACCRUE, SUDAH INVOICE
======</t>
      </text>
    </comment>
    <comment authorId="0" ref="D1602">
      <text>
        <t xml:space="preserve">Penggabungan Kontrak Tenaga Kerja Penunjang Frontliner &amp; Back Office dengan Kontrak Avsec ARFF di Bandara Tjilik Riwut PKY 2025
======</t>
      </text>
    </comment>
    <comment authorId="0" ref="W548">
      <text>
        <t xml:space="preserve">======
ID#AAABovwSMo4
Fajar Aryanto    (2025-08-04 08:47:57)
Sudah accrued belum invoice menunggu kontrak</t>
      </text>
    </comment>
    <comment authorId="0" ref="W542">
      <text>
        <t xml:space="preserve">======
ID#AAABovwSMo0
Fajar Aryanto    (2025-08-04 08:43:25)
Sudah Accrued, belum invoice</t>
      </text>
    </comment>
    <comment authorId="0" ref="W537">
      <text>
        <t xml:space="preserve">======
ID#AAABovwSMow
Fajar Aryanto    (2025-08-04 08:38:38)
Sudah Accrued, belum invoice</t>
      </text>
    </comment>
    <comment authorId="0" ref="W532">
      <text>
        <t xml:space="preserve">======
ID#AAABovwSMos
Fajar Aryanto    (2025-08-04 08:36:47)
Sudah Accrued, belum invoice</t>
      </text>
    </comment>
    <comment authorId="0" ref="W527">
      <text>
        <t xml:space="preserve">======
ID#AAABovwSMoo
Fajar Aryanto    (2025-08-04 08:36:03)
Proses Pembuatan Tagihan &amp; BA</t>
      </text>
    </comment>
    <comment authorId="0" ref="W526">
      <text>
        <t xml:space="preserve">======
ID#AAABovwSMok
Fajar Aryanto    (2025-08-04 08:35:39)
Sudah accrued, belum invoice</t>
      </text>
    </comment>
    <comment authorId="0" ref="V527">
      <text>
        <t xml:space="preserve">======
ID#AAABovwSMog
Fajar Aryanto    (2025-08-04 08:33:24)
Proses Pembuatan Tagihan &amp; BA</t>
      </text>
    </comment>
    <comment authorId="0" ref="U527">
      <text>
        <t xml:space="preserve">======
ID#AAABovwSMoc
Fajar Aryanto    (2025-08-04 08:33:17)
Proses Pembuatan Tagihan &amp; BA</t>
      </text>
    </comment>
    <comment authorId="0" ref="T527">
      <text>
        <t xml:space="preserve">======
ID#AAABovwSMoY
Fajar Aryanto    (2025-08-04 08:33:09)
Proses Pembuatan Tagihan &amp; BA</t>
      </text>
    </comment>
    <comment authorId="0" ref="S527">
      <text>
        <t xml:space="preserve">======
ID#AAABovwSMoU
Fajar Aryanto    (2025-08-04 08:32:19)
Proses Pembuatan Tagihan &amp; BA</t>
      </text>
    </comment>
    <comment authorId="0" ref="W520">
      <text>
        <t xml:space="preserve">======
ID#AAABovwSMoM
Fajar Aryanto    (2025-08-04 08:14:56)
Sudah Accrued, belum invoice</t>
      </text>
    </comment>
    <comment authorId="0" ref="W510">
      <text>
        <t xml:space="preserve">======
ID#AAABovwSMoI
Fajar Aryanto    (2025-08-04 08:12:02)
Sudah Accrued, belum invoice</t>
      </text>
    </comment>
    <comment authorId="0" ref="W499">
      <text>
        <t xml:space="preserve">======
ID#AAABouPdF5A
Fajar Aryanto    (2025-08-04 08:07:41)
Sudah accrued belum invoice masih menunggu addendum</t>
      </text>
    </comment>
    <comment authorId="0" ref="W505">
      <text>
        <t xml:space="preserve">======
ID#AAABouPdF48
Fajar Aryanto    (2025-08-04 08:07:06)
Sudah accrued belum invoice masih menunggu hasil rekon dengan KSO HLP</t>
      </text>
    </comment>
    <comment authorId="0" ref="T28">
      <text>
        <t xml:space="preserve">======
ID#AAABogh6NTQ
Anonymous    (2025-07-31 03:38:27)
BA Tagihan Apr s.d Juni 25 sedang Sirkuler ttd Apindo</t>
      </text>
    </comment>
    <comment authorId="0" ref="L1651">
      <text>
        <t xml:space="preserve">======
ID#AAABooP3f3I
director facility    (2025-07-24 23:50:04)
kenapa?</t>
      </text>
    </comment>
    <comment authorId="0" ref="V372">
      <text>
        <t xml:space="preserve">======
ID#AAABnYMEsUU
director facility    (2025-07-15 05:11:36)
sudah accrue belum invoice</t>
      </text>
    </comment>
    <comment authorId="0" ref="U372">
      <text>
        <t xml:space="preserve">======
ID#AAABnYMEsUQ
director facility    (2025-07-15 05:11:32)
sudah accrue belum invoice</t>
      </text>
    </comment>
    <comment authorId="0" ref="T372">
      <text>
        <t xml:space="preserve">======
ID#AAABnYMEsUM
director facility    (2025-07-15 05:11:27)
sudah accrue belum invoice</t>
      </text>
    </comment>
    <comment authorId="0" ref="V366">
      <text>
        <t xml:space="preserve">======
ID#AAABnYMEsUI
director facility    (2025-07-15 05:08:16)
sudah accrue belum invoice</t>
      </text>
    </comment>
    <comment authorId="0" ref="U366">
      <text>
        <t xml:space="preserve">======
ID#AAABnYMEsUE
director facility    (2025-07-15 05:08:10)
sudah accrue belum invoice</t>
      </text>
    </comment>
    <comment authorId="0" ref="T366">
      <text>
        <t xml:space="preserve">======
ID#AAABnYMEsUA
director facility    (2025-07-15 05:08:07)
sudah accrue belum invoice</t>
      </text>
    </comment>
    <comment authorId="0" ref="S366">
      <text>
        <t xml:space="preserve">======
ID#AAABnYMEsT8
director facility    (2025-07-15 05:08:02)
sudah accrue belum invoice</t>
      </text>
    </comment>
    <comment authorId="0" ref="V360">
      <text>
        <t xml:space="preserve">======
ID#AAABnYMEsTw
director facility    (2025-07-15 05:01:22)
sudah accrue belum invoice</t>
      </text>
    </comment>
    <comment authorId="0" ref="V352">
      <text>
        <t xml:space="preserve">======
ID#AAABnYMEsTs
director facility    (2025-07-15 04:56:21)
sudah accrue belum invoice</t>
      </text>
    </comment>
    <comment authorId="0" ref="V1330">
      <text>
        <t xml:space="preserve">======
ID#AAABnX6aMUw
director facility    (2025-07-15 03:50:03)
belum accrue belum invoice</t>
      </text>
    </comment>
    <comment authorId="0" ref="U1330">
      <text>
        <t xml:space="preserve">======
ID#AAABnX6aMUs
director facility    (2025-07-15 03:49:57)
belum accrue belum invoice</t>
      </text>
    </comment>
    <comment authorId="0" ref="T1330">
      <text>
        <t xml:space="preserve">======
ID#AAABnX6aMUo
director facility    (2025-07-15 03:49:48)
belum accrue belum invoice</t>
      </text>
    </comment>
    <comment authorId="0" ref="V1320">
      <text>
        <t xml:space="preserve">======
ID#AAABnX6aMUk
director facility    (2025-07-15 03:33:28)
sudah accrue belum invoice</t>
      </text>
    </comment>
    <comment authorId="0" ref="V1313">
      <text>
        <t xml:space="preserve">======
ID#AAABnX6aMUM
director facility    (2025-07-15 03:29:03)
sudah accrue belum invoice</t>
      </text>
    </comment>
    <comment authorId="0" ref="V1305">
      <text>
        <t xml:space="preserve">======
ID#AAABnX6aMUI
director facility    (2025-07-15 03:23:35)
sudah accrue belum invoice</t>
      </text>
    </comment>
    <comment authorId="0" ref="V1298">
      <text>
        <t xml:space="preserve">======
ID#AAABnX6aMUE
director facility    (2025-07-15 03:18:08)
sudah accrue belum invoice</t>
      </text>
    </comment>
    <comment authorId="0" ref="V1291">
      <text>
        <t xml:space="preserve">======
ID#AAABnX6aMT8
director facility    (2025-07-15 03:00:18)
sudah accrue belum invoice</t>
      </text>
    </comment>
    <comment authorId="0" ref="V1284">
      <text>
        <t xml:space="preserve">======
ID#AAABnX6aMTw
director facility    (2025-07-15 02:53:54)
sudah accrue belum invoice</t>
      </text>
    </comment>
    <comment authorId="0" ref="V1278">
      <text>
        <t xml:space="preserve">======
ID#AAABnX19wcc
director facility    (2025-07-15 02:49:40)
sudah accrue belum invoice</t>
      </text>
    </comment>
    <comment authorId="0" ref="V1605">
      <text>
        <t xml:space="preserve">======
ID#AAABnX19wcY
director facility    (2025-07-15 02:37:38)
sudah accrue belum invoice</t>
      </text>
    </comment>
    <comment authorId="0" ref="V1593">
      <text>
        <t xml:space="preserve">======
ID#AAABnX19wcU
director facility    (2025-07-15 02:28:40)
sudah accrue belum invoice</t>
      </text>
    </comment>
    <comment authorId="0" ref="V1211">
      <text>
        <t xml:space="preserve">======
ID#AAABmjJPwWI
director facility    (2025-07-14 10:10:43)
belum accrue belum invoice</t>
      </text>
    </comment>
    <comment authorId="0" ref="U1211">
      <text>
        <t xml:space="preserve">======
ID#AAABmjJPwWE
director facility    (2025-07-14 10:10:37)
belum accrue belum invoice</t>
      </text>
    </comment>
    <comment authorId="0" ref="T1211">
      <text>
        <t xml:space="preserve">======
ID#AAABmjJPwWA
director facility    (2025-07-14 10:10:29)
belum accrue belum invoice</t>
      </text>
    </comment>
    <comment authorId="0" ref="S1211">
      <text>
        <t xml:space="preserve">======
ID#AAABmjJPwV8
director facility    (2025-07-14 10:10:21)
belum accrue belum invoice</t>
      </text>
    </comment>
    <comment authorId="0" ref="R1211">
      <text>
        <t xml:space="preserve">======
ID#AAABmjJPwV4
director facility    (2025-07-14 10:10:07)
belum accrue belum invoice</t>
      </text>
    </comment>
    <comment authorId="0" ref="Q1211">
      <text>
        <t xml:space="preserve">======
ID#AAABmjJPwV0
director facility    (2025-07-14 10:09:44)
sudah accrue belum invoice</t>
      </text>
    </comment>
    <comment authorId="0" ref="V1202">
      <text>
        <t xml:space="preserve">======
ID#AAABmjJPwVw
director facility    (2025-07-14 09:54:05)
sudah accrue belum invoice</t>
      </text>
    </comment>
    <comment authorId="0" ref="U1202">
      <text>
        <t xml:space="preserve">======
ID#AAABmjJPwVs
director facility    (2025-07-14 09:53:53)
sudah accrue sudah invoice</t>
      </text>
    </comment>
    <comment authorId="0" ref="T1202">
      <text>
        <t xml:space="preserve">======
ID#AAABmjJPwVo
director facility    (2025-07-14 09:53:45)
sudah accrue sudah invoice</t>
      </text>
    </comment>
    <comment authorId="0" ref="S1202">
      <text>
        <t xml:space="preserve">======
ID#AAABmjJPwVk
director facility    (2025-07-14 09:53:35)
sudah accrue sudah invoice</t>
      </text>
    </comment>
    <comment authorId="0" ref="R1202">
      <text>
        <t xml:space="preserve">======
ID#AAABmjJPwVg
director facility    (2025-07-14 09:53:19)
sudah accrue belum invoice</t>
      </text>
    </comment>
    <comment authorId="0" ref="Q1202">
      <text>
        <t xml:space="preserve">======
ID#AAABmjJPwVc
director facility    (2025-07-14 09:53:13)
sudah accrue belum invoice</t>
      </text>
    </comment>
    <comment authorId="0" ref="V1183">
      <text>
        <t xml:space="preserve">======
ID#AAABmjJPwVA
director facility    (2025-07-14 09:34:11)
sudah accrue belum invoice</t>
      </text>
    </comment>
    <comment authorId="0" ref="U1183">
      <text>
        <t xml:space="preserve">======
ID#AAABmjJPwU8
director facility    (2025-07-14 09:34:05)
sudah accrue belum invoice</t>
      </text>
    </comment>
    <comment authorId="0" ref="V1178">
      <text>
        <t xml:space="preserve">======
ID#AAABnVpzRM4
director facility    (2025-07-14 09:18:06)
sudah accrue belum invoice</t>
      </text>
    </comment>
    <comment authorId="0" ref="V1172">
      <text>
        <t xml:space="preserve">======
ID#AAABnVpzRMw
director facility    (2025-07-14 09:12:01)
sudah accrue belum invoice</t>
      </text>
    </comment>
    <comment authorId="0" ref="V1166">
      <text>
        <t xml:space="preserve">======
ID#AAABnVpzRMo
director facility    (2025-07-14 09:05:31)
sudah accrue belum invoice</t>
      </text>
    </comment>
    <comment authorId="0" ref="V1160">
      <text>
        <t xml:space="preserve">======
ID#AAABnVpzRMk
director facility    (2025-07-14 08:57:02)
sudah accrue belum invoice</t>
      </text>
    </comment>
    <comment authorId="0" ref="U1160">
      <text>
        <t xml:space="preserve">======
ID#AAABnVpzRMg
director facility    (2025-07-14 08:56:52)
sudah accrue belum invoice</t>
      </text>
    </comment>
    <comment authorId="0" ref="T1160">
      <text>
        <t xml:space="preserve">======
ID#AAABnVpzRMc
director facility    (2025-07-14 08:56:46)
sudah accrue belum invoice</t>
      </text>
    </comment>
    <comment authorId="0" ref="S1160">
      <text>
        <t xml:space="preserve">======
ID#AAABnVpzRMY
director facility    (2025-07-14 08:56:40)
sudah accrue belum invoice</t>
      </text>
    </comment>
    <comment authorId="0" ref="R1160">
      <text>
        <t xml:space="preserve">======
ID#AAABnVpzRMU
director facility    (2025-07-14 08:56:30)
sudah accrue belum invoice</t>
      </text>
    </comment>
    <comment authorId="0" ref="Q1160">
      <text>
        <t xml:space="preserve">======
ID#AAABnVpzRMQ
director facility    (2025-07-14 08:56:22)
sudah accrue belum invoice</t>
      </text>
    </comment>
    <comment authorId="0" ref="V482">
      <text>
        <t xml:space="preserve">======
ID#AAABnVpzRL0
director facility    (2025-07-14 08:25:47)
sudah accrue belum invoice</t>
      </text>
    </comment>
    <comment authorId="0" ref="V475">
      <text>
        <t xml:space="preserve">======
ID#AAABnVpzRLw
director facility    (2025-07-14 08:23:56)
sudah accrue belum invoice</t>
      </text>
    </comment>
    <comment authorId="0" ref="V464">
      <text>
        <t xml:space="preserve">======
ID#AAABnVpzRLs
director facility    (2025-07-14 08:13:15)
belum accrue belum invoice</t>
      </text>
    </comment>
    <comment authorId="0" ref="V454">
      <text>
        <t xml:space="preserve">======
ID#AAABnVpzRLc
director facility    (2025-07-14 08:07:15)
belum accrue belum invoice</t>
      </text>
    </comment>
    <comment authorId="0" ref="U454">
      <text>
        <t xml:space="preserve">======
ID#AAABnVpzRLY
director facility    (2025-07-14 08:07:05)
sudah accrue belum invoice</t>
      </text>
    </comment>
    <comment authorId="0" ref="T454">
      <text>
        <t xml:space="preserve">======
ID#AAABnVpzRLU
director facility    (2025-07-14 08:07:00)
sudah accrue belum invoice</t>
      </text>
    </comment>
    <comment authorId="0" ref="S454">
      <text>
        <t xml:space="preserve">======
ID#AAABnVpzRLQ
director facility    (2025-07-14 08:06:53)
sudah accrue belum invoice</t>
      </text>
    </comment>
    <comment authorId="0" ref="V432">
      <text>
        <t xml:space="preserve">======
ID#AAABnVpzRLM
director facility    (2025-07-14 08:02:28)
belum accrue belum invoice</t>
      </text>
    </comment>
    <comment authorId="0" ref="U432">
      <text>
        <t xml:space="preserve">======
ID#AAABnVpzRLI
director facility    (2025-07-14 08:02:21)
belum accrue belum invoice</t>
      </text>
    </comment>
    <comment authorId="0" ref="T432">
      <text>
        <t xml:space="preserve">======
ID#AAABnVpzRLE
director facility    (2025-07-14 08:02:15)
belum accrue belum invoice</t>
      </text>
    </comment>
    <comment authorId="0" ref="V448">
      <text>
        <t xml:space="preserve">======
ID#AAABnVpzRK8
director facility    (2025-07-14 07:56:35)
sudah accrue belum invoice</t>
      </text>
    </comment>
    <comment authorId="0" ref="V440">
      <text>
        <t xml:space="preserve">======
ID#AAABnVpzRK4
director facility    (2025-07-14 07:53:49)
sudah accrue belum invoice</t>
      </text>
    </comment>
    <comment authorId="0" ref="U440">
      <text>
        <t xml:space="preserve">======
ID#AAABnVpzRK0
director facility    (2025-07-14 07:53:43)
sudah accrue belum invoice</t>
      </text>
    </comment>
    <comment authorId="0" ref="T440">
      <text>
        <t xml:space="preserve">======
ID#AAABnVpzRKw
director facility    (2025-07-14 07:53:37)
sudah accrue belum invoice</t>
      </text>
    </comment>
    <comment authorId="0" ref="V415">
      <text>
        <t xml:space="preserve">======
ID#AAABnVpzRDA
Lia Syakha    (2025-07-14 05:35:01)
belum accrue, belum invoice</t>
      </text>
    </comment>
    <comment authorId="0" ref="V408">
      <text>
        <t xml:space="preserve">======
ID#AAABnVpzRC8
Lia Syakha    (2025-07-14 05:18:55)
sudah accrue, belum invoice</t>
      </text>
    </comment>
    <comment authorId="0" ref="U408">
      <text>
        <t xml:space="preserve">======
ID#AAABnVpzRC4
Lia Syakha    (2025-07-14 05:18:48)
sudah accrue, belum invoice</t>
      </text>
    </comment>
    <comment authorId="0" ref="T408">
      <text>
        <t xml:space="preserve">======
ID#AAABnVpzRC0
Lia Syakha    (2025-07-14 05:18:20)
sudah accrue, belum invoice</t>
      </text>
    </comment>
    <comment authorId="0" ref="V312">
      <text>
        <t xml:space="preserve">======
ID#AAABnVpzRCw
Lia Syakha    (2025-07-14 05:10:46)
belum accrue, belum invoice</t>
      </text>
    </comment>
    <comment authorId="0" ref="V66">
      <text>
        <t xml:space="preserve">======
ID#AAABnQbwYPI
director facility    (2025-07-11 09:43:25)
sudah accrued belum invoice</t>
      </text>
    </comment>
    <comment authorId="0" ref="U66">
      <text>
        <t xml:space="preserve">======
ID#AAABnQbwYPE
director facility    (2025-07-11 09:43:15)
sudah accrued sudah invoice</t>
      </text>
    </comment>
    <comment authorId="0" ref="T66">
      <text>
        <t xml:space="preserve">======
ID#AAABnQbwYPA
director facility    (2025-07-11 09:43:09)
sudah accrued sudah invoice</t>
      </text>
    </comment>
    <comment authorId="0" ref="S66">
      <text>
        <t xml:space="preserve">======
ID#AAABnQbwYO8
director facility    (2025-07-11 09:43:05)
sudah accrued sudah invoice</t>
      </text>
    </comment>
    <comment authorId="0" ref="R66">
      <text>
        <t xml:space="preserve">======
ID#AAABnQbwYO4
director facility    (2025-07-11 09:43:00)
sudah accrued sudah invoice</t>
      </text>
    </comment>
    <comment authorId="0" ref="Q66">
      <text>
        <t xml:space="preserve">======
ID#AAABnQbwYO0
director facility    (2025-07-11 09:42:17)
sudah accrued sudah invoice</t>
      </text>
    </comment>
    <comment authorId="0" ref="V59">
      <text>
        <t xml:space="preserve">======
ID#AAABnQbwYOg
director facility    (2025-07-11 09:38:03)
sudah accrued belum invoice</t>
      </text>
    </comment>
    <comment authorId="0" ref="U59">
      <text>
        <t xml:space="preserve">======
ID#AAABnQbwYOc
director facility    (2025-07-11 09:37:50)
sudah accrued sudah invoice</t>
      </text>
    </comment>
    <comment authorId="0" ref="T59">
      <text>
        <t xml:space="preserve">======
ID#AAABnQbwYOY
director facility    (2025-07-11 09:37:43)
sudah accrued sudah invoice</t>
      </text>
    </comment>
    <comment authorId="0" ref="S59">
      <text>
        <t xml:space="preserve">======
ID#AAABnQbwYOU
director facility    (2025-07-11 09:37:37)
sudah accrued sudah invoice</t>
      </text>
    </comment>
    <comment authorId="0" ref="R59">
      <text>
        <t xml:space="preserve">======
ID#AAABnQbwYOQ
director facility    (2025-07-11 09:37:31)
sudah accrued sudah invoice</t>
      </text>
    </comment>
    <comment authorId="0" ref="Q59">
      <text>
        <t xml:space="preserve">======
ID#AAABnQbwYOM
director facility    (2025-07-11 09:37:19)
sudah accrued sudah invoice</t>
      </text>
    </comment>
    <comment authorId="0" ref="V53">
      <text>
        <t xml:space="preserve">======
ID#AAABnQbwYN4
director facility    (2025-07-11 09:33:01)
sudah accrued belum invoice</t>
      </text>
    </comment>
    <comment authorId="0" ref="U53">
      <text>
        <t xml:space="preserve">======
ID#AAABnQbwYN0
director facility    (2025-07-11 09:32:57)
sudah accrued belum invoice</t>
      </text>
    </comment>
    <comment authorId="0" ref="T53">
      <text>
        <t xml:space="preserve">======
ID#AAABnQbwYNw
director facility    (2025-07-11 09:32:54)
sudah accrued belum invoice</t>
      </text>
    </comment>
    <comment authorId="0" ref="S53">
      <text>
        <t xml:space="preserve">======
ID#AAABnQbwYNo
director facility    (2025-07-11 09:32:42)
sudah accrued belum invoice</t>
      </text>
    </comment>
    <comment authorId="0" ref="R53">
      <text>
        <t xml:space="preserve">======
ID#AAABnQbwYNg
director facility    (2025-07-11 09:32:34)
sudah accrued belum invoice</t>
      </text>
    </comment>
    <comment authorId="0" ref="Q53">
      <text>
        <t xml:space="preserve">======
ID#AAABnQbwYNY
director facility    (2025-07-11 09:32:21)
sudah accrued belum invoice</t>
      </text>
    </comment>
    <comment authorId="0" ref="V155">
      <text>
        <t xml:space="preserve">======
ID#AAABnQbwYNQ
director facility    (2025-07-11 09:27:49)
sudah accrued belum invoice</t>
      </text>
    </comment>
    <comment authorId="0" ref="U155">
      <text>
        <t xml:space="preserve">======
ID#AAABnQbwYNM
director facility    (2025-07-11 09:27:44)
sudah accrued belum invoice</t>
      </text>
    </comment>
    <comment authorId="0" ref="T155">
      <text>
        <t xml:space="preserve">======
ID#AAABnQbwYNI
director facility    (2025-07-11 09:27:38)
sudah accrued belum invoice</t>
      </text>
    </comment>
    <comment authorId="0" ref="S155">
      <text>
        <t xml:space="preserve">======
ID#AAABnQbwYNE
director facility    (2025-07-11 09:27:33)
sudah accrued belum invoice</t>
      </text>
    </comment>
    <comment authorId="0" ref="R155">
      <text>
        <t xml:space="preserve">======
ID#AAABnQbwYNA
director facility    (2025-07-11 09:27:07)
sudah accrued belum invoice</t>
      </text>
    </comment>
    <comment authorId="0" ref="Q155">
      <text>
        <t xml:space="preserve">======
ID#AAABnQbwYM8
director facility    (2025-07-11 09:26:55)
sudah accrued belum invoice</t>
      </text>
    </comment>
    <comment authorId="0" ref="V133">
      <text>
        <t xml:space="preserve">======
ID#AAABnQbwYMc
director facility    (2025-07-11 08:43:02)
sudah accrued belum invoice</t>
      </text>
    </comment>
    <comment authorId="0" ref="U133">
      <text>
        <t xml:space="preserve">======
ID#AAABnQbwYMY
director facility    (2025-07-11 08:40:50)
sudah accrued sudah invoice menunggu pembayaran</t>
      </text>
    </comment>
    <comment authorId="0" ref="T133">
      <text>
        <t xml:space="preserve">======
ID#AAABnQbwYMU
director facility    (2025-07-11 08:40:40)
sudah accrued sudah invoice menunggu pembayaran</t>
      </text>
    </comment>
    <comment authorId="0" ref="Q133">
      <text>
        <t xml:space="preserve">======
ID#AAABnQbwYMQ
director facility    (2025-07-11 08:40:17)
sudah accrued sudah invoice menunggu pembayaran</t>
      </text>
    </comment>
    <comment authorId="0" ref="V127">
      <text>
        <t xml:space="preserve">======
ID#AAABnQbwYMM
director facility    (2025-07-11 08:37:49)
sudah accrued belum invoice</t>
      </text>
    </comment>
    <comment authorId="0" ref="U127">
      <text>
        <t xml:space="preserve">======
ID#AAABnQbwYMI
director facility    (2025-07-11 08:37:40)
sudah accrued belum invoice</t>
      </text>
    </comment>
    <comment authorId="0" ref="T127">
      <text>
        <t xml:space="preserve">======
ID#AAABnQbwYME
director facility    (2025-07-11 08:37:09)
sudah accrued belum invoice</t>
      </text>
    </comment>
    <comment authorId="0" ref="S127">
      <text>
        <t xml:space="preserve">======
ID#AAABnQbwYMA
director facility    (2025-07-11 08:36:56)
sudah accrued sudah invoice</t>
      </text>
    </comment>
    <comment authorId="0" ref="R127">
      <text>
        <t xml:space="preserve">======
ID#AAABnQbwYL8
director facility    (2025-07-11 08:36:50)
sudah accrued sudah invoice</t>
      </text>
    </comment>
    <comment authorId="0" ref="Q127">
      <text>
        <t xml:space="preserve">======
ID#AAABnQbwYL4
director facility    (2025-07-11 08:36:31)
sudah accrued sudah invoice</t>
      </text>
    </comment>
    <comment authorId="0" ref="V116">
      <text>
        <t xml:space="preserve">======
ID#AAABnQbwYLo
director facility    (2025-07-11 08:31:05)
sudah accrued belum invoice</t>
      </text>
    </comment>
    <comment authorId="0" ref="U116">
      <text>
        <t xml:space="preserve">======
ID#AAABnQbwYLk
director facility    (2025-07-11 08:31:01)
sudah accrued belum invoice</t>
      </text>
    </comment>
    <comment authorId="0" ref="T116">
      <text>
        <t xml:space="preserve">======
ID#AAABnQbwYLg
director facility    (2025-07-11 08:30:57)
sudah accrued belum invoice</t>
      </text>
    </comment>
    <comment authorId="0" ref="S116">
      <text>
        <t xml:space="preserve">======
ID#AAABnQbwYLc
director facility    (2025-07-11 08:30:52)
sudah accrued belum invoice</t>
      </text>
    </comment>
    <comment authorId="0" ref="R116">
      <text>
        <t xml:space="preserve">======
ID#AAABnQbwYLY
director facility    (2025-07-11 08:30:47)
sudah accrued belum invoice</t>
      </text>
    </comment>
    <comment authorId="0" ref="Q116">
      <text>
        <t xml:space="preserve">======
ID#AAABnQbwYLU
director facility    (2025-07-11 08:28:57)
sudah accrued sudah invoice</t>
      </text>
    </comment>
    <comment authorId="0" ref="Q107">
      <text>
        <t xml:space="preserve">======
ID#AAABnQbwYLA
director facility    (2025-07-11 08:22:42)
sudah accrued belum invoice menunggu addendum</t>
      </text>
    </comment>
    <comment authorId="0" ref="V101">
      <text>
        <t xml:space="preserve">======
ID#AAABnQbwYK4
director facility    (2025-07-11 08:20:46)
sudah accrued belum invoice</t>
      </text>
    </comment>
    <comment authorId="0" ref="V96">
      <text>
        <t xml:space="preserve">======
ID#AAABnQbwYKw
director facility    (2025-07-11 08:18:33)
sudah accrued belum invoice</t>
      </text>
    </comment>
    <comment authorId="0" ref="V90">
      <text>
        <t xml:space="preserve">======
ID#AAABnQbwYKs
director facility    (2025-07-11 08:16:03)
sudah accrued belum invoice</t>
      </text>
    </comment>
    <comment authorId="0" ref="V84">
      <text>
        <t xml:space="preserve">======
ID#AAABnQbwYKo
director facility    (2025-07-11 08:13:25)
sudah accrued belum invoice</t>
      </text>
    </comment>
    <comment authorId="0" ref="U84">
      <text>
        <t xml:space="preserve">======
ID#AAABnQbwYKk
director facility    (2025-07-11 08:13:08)
sudah accrued belum invoice</t>
      </text>
    </comment>
    <comment authorId="0" ref="T84">
      <text>
        <t xml:space="preserve">======
ID#AAABnQbwYKg
director facility    (2025-07-11 08:13:03)
sudah accrued belum invoice</t>
      </text>
    </comment>
    <comment authorId="0" ref="S84">
      <text>
        <t xml:space="preserve">======
ID#AAABnQbwYKc
director facility    (2025-07-11 08:12:48)
sudah accrued belum invoice</t>
      </text>
    </comment>
    <comment authorId="0" ref="R84">
      <text>
        <t xml:space="preserve">======
ID#AAABnQbwYKY
director facility    (2025-07-11 08:12:43)
sudah accrued belum invoice</t>
      </text>
    </comment>
    <comment authorId="0" ref="Q84">
      <text>
        <t xml:space="preserve">======
ID#AAABnQbwYKU
director facility    (2025-07-11 08:12:21)
sudah accrued belum invoice</t>
      </text>
    </comment>
    <comment authorId="0" ref="V77">
      <text>
        <t xml:space="preserve">======
ID#AAABnQbwYJ8
director facility    (2025-07-11 07:49:12)
belum accrued belum invoice menunggu add II</t>
      </text>
    </comment>
    <comment authorId="0" ref="U77">
      <text>
        <t xml:space="preserve">======
ID#AAABnQbwYJ4
director facility    (2025-07-11 07:48:41)
sudah accrued belum invoice menunggu add II</t>
      </text>
    </comment>
    <comment authorId="0" ref="V391">
      <text>
        <t xml:space="preserve">======
ID#AAABnP11a60
Raymond Trihartanto    (2025-07-11 03:37:31)
sudah accrue, belum invoice</t>
      </text>
    </comment>
    <comment authorId="0" ref="V384">
      <text>
        <t xml:space="preserve">======
ID#AAABnP11a6w
Raymond Trihartanto    (2025-07-11 03:29:44)
sudah accrue, belum invoice</t>
      </text>
    </comment>
    <comment authorId="0" ref="U384">
      <text>
        <t xml:space="preserve">======
ID#AAABnP11a6s
Raymond Trihartanto    (2025-07-11 03:29:29)
sudah accrue, belum diinvoice</t>
      </text>
    </comment>
    <comment authorId="0" ref="T384">
      <text>
        <t xml:space="preserve">======
ID#AAABnP11a6o
Raymond Trihartanto    (2025-07-11 03:28:41)
sudah accrue, belum invoice</t>
      </text>
    </comment>
    <comment authorId="0" ref="V42">
      <text>
        <t xml:space="preserve">======
ID#AAABnP11a6k
Raymond Trihartanto    (2025-07-11 03:13:06)
sudah accrue, belum di invoice</t>
      </text>
    </comment>
    <comment authorId="0" ref="V293">
      <text>
        <t xml:space="preserve">======
ID#AAABnO0XChQ
director facility    (2025-07-10 10:35:08)
angka berdasarkan accrued</t>
      </text>
    </comment>
    <comment authorId="0" ref="U293">
      <text>
        <t xml:space="preserve">======
ID#AAABnO0XChM
director facility    (2025-07-10 10:35:01)
angka berdasarkan accrued</t>
      </text>
    </comment>
    <comment authorId="0" ref="T293">
      <text>
        <t xml:space="preserve">======
ID#AAABnO0XChI
director facility    (2025-07-10 10:34:53)
angka berdasarkan accrued</t>
      </text>
    </comment>
    <comment authorId="0" ref="S293">
      <text>
        <t xml:space="preserve">======
ID#AAABnO0XChE
director facility    (2025-07-10 10:34:44)
angka berdasarkan accrued</t>
      </text>
    </comment>
    <comment authorId="0" ref="R293">
      <text>
        <t xml:space="preserve">======
ID#AAABnO0XChA
director facility    (2025-07-10 10:32:26)
proses invoice bulan juli 2025</t>
      </text>
    </comment>
    <comment authorId="0" ref="Q293">
      <text>
        <t xml:space="preserve">======
ID#AAABnO0XCg8
director facility    (2025-07-10 10:32:15)
proses invoice bulan juli 2025</t>
      </text>
    </comment>
    <comment authorId="0" ref="U287">
      <text>
        <t xml:space="preserve">======
ID#AAABnO0XCg0
director facility    (2025-07-10 10:27:11)
sudah accrued belum invoice</t>
      </text>
    </comment>
    <comment authorId="0" ref="V287">
      <text>
        <t xml:space="preserve">======
ID#AAABnO0XCgw
director facility    (2025-07-10 10:26:52)
sudah accrued belum invoice</t>
      </text>
    </comment>
    <comment authorId="0" ref="V280">
      <text>
        <t xml:space="preserve">======
ID#AAABnO0XCgs
director facility    (2025-07-10 10:22:45)
sudah accrued belum invoice</t>
      </text>
    </comment>
    <comment authorId="0" ref="V269">
      <text>
        <t xml:space="preserve">======
ID#AAABnO0XCgk
director facility    (2025-07-10 10:11:26)
sudah accrued menggunakan draft add</t>
      </text>
    </comment>
    <comment authorId="0" ref="U269">
      <text>
        <t xml:space="preserve">======
ID#AAABnO0XCgg
director facility    (2025-07-10 10:09:36)
sudah accrued belum invoice</t>
      </text>
    </comment>
    <comment authorId="0" ref="V262">
      <text>
        <t xml:space="preserve">======
ID#AAABnO0XCgY
director facility    (2025-07-10 09:59:06)
Sudah accrued belum invoice</t>
      </text>
    </comment>
    <comment authorId="0" ref="U262">
      <text>
        <t xml:space="preserve">======
ID#AAABnO0XCgU
director facility    (2025-07-10 09:59:00)
Sudah accrued belum invoice</t>
      </text>
    </comment>
    <comment authorId="0" ref="T262">
      <text>
        <t xml:space="preserve">======
ID#AAABnO0XCgQ
director facility    (2025-07-10 09:58:47)
Sudah accrued belum invoice</t>
      </text>
    </comment>
    <comment authorId="0" ref="V251">
      <text>
        <t xml:space="preserve">======
ID#AAABnO0XCgI
Clemira Khaulah AP    (2025-07-10 09:09:53)
Sudah Invoice menunggu pembayaran Juli 2025</t>
      </text>
    </comment>
    <comment authorId="0" ref="U251">
      <text>
        <t xml:space="preserve">======
ID#AAABnO0XCgE
Clemira Khaulah AP    (2025-07-10 09:09:47)
Sudah Invoice menunggu pembayaran Juli 2025</t>
      </text>
    </comment>
    <comment authorId="0" ref="V236">
      <text>
        <t xml:space="preserve">======
ID#AAABnO0XCf4
Clemira Khaulah AP    (2025-07-10 09:05:24)
Menunggu lampiran berkas pembayaran</t>
      </text>
    </comment>
    <comment authorId="0" ref="V231">
      <text>
        <t xml:space="preserve">======
ID#AAABnO0XCf0
Clemira Khaulah AP    (2025-07-10 09:03:57)
Menunggu lampiran berkas pembayaran</t>
      </text>
    </comment>
    <comment authorId="0" ref="V225">
      <text>
        <t xml:space="preserve">======
ID#AAABnO0XCfs
Clemira Khaulah AP    (2025-07-10 08:55:43)
Menunggu lampiran berkas pembayaran</t>
      </text>
    </comment>
    <comment authorId="0" ref="U225">
      <text>
        <t xml:space="preserve">======
ID#AAABnO0XCfo
Clemira Khaulah AP    (2025-07-10 08:55:37)
Menunggu lampiran berkas pembayaran</t>
      </text>
    </comment>
    <comment authorId="0" ref="V207">
      <text>
        <t xml:space="preserve">======
ID#AAABnO0XCe8
Clemira Khaulah AP    (2025-07-10 08:14:21)
Sudah accured belum invoice, menunggu kontrak</t>
      </text>
    </comment>
    <comment authorId="0" ref="U207">
      <text>
        <t xml:space="preserve">======
ID#AAABnO0XCe4
Clemira Khaulah AP    (2025-07-10 08:14:09)
Sudah accured belum invoice, menunggu kontrak</t>
      </text>
    </comment>
    <comment authorId="0" ref="T207">
      <text>
        <t xml:space="preserve">======
ID#AAABnO0XCe0
Clemira Khaulah AP    (2025-07-10 08:14:02)
Sudah accured belum invoice, menunggu kontrak</t>
      </text>
    </comment>
    <comment authorId="0" ref="V186">
      <text>
        <t xml:space="preserve">======
ID#AAABnO0XCdM
Clemira Khaulah AP    (2025-07-10 07:45:02)
Sudah di accrued belum invoice</t>
      </text>
    </comment>
    <comment authorId="0" ref="U186">
      <text>
        <t xml:space="preserve">======
ID#AAABnO0XCdI
Clemira Khaulah AP    (2025-07-10 07:44:50)
Sudah di accrued belum invoice</t>
      </text>
    </comment>
    <comment authorId="0" ref="T186">
      <text>
        <t xml:space="preserve">======
ID#AAABnO0XCdE
Clemira Khaulah AP    (2025-07-10 07:44:29)
Sudah di accrued belum invoice</t>
      </text>
    </comment>
    <comment authorId="0" ref="V179">
      <text>
        <t xml:space="preserve">======
ID#AAABnO0XCc8
Clemira Khaulah AP    (2025-07-10 07:32:27)
Sudah di accrued belum invoice</t>
      </text>
    </comment>
    <comment authorId="0" ref="U179">
      <text>
        <t xml:space="preserve">======
ID#AAABnO0XCc4
Clemira Khaulah AP    (2025-07-10 07:32:20)
Sudah di accrued belum invoice</t>
      </text>
    </comment>
    <comment authorId="0" ref="T179">
      <text>
        <t xml:space="preserve">======
ID#AAABnO0XCc0
Clemira Khaulah AP    (2025-07-10 07:32:13)
Sudah di accrued belum invoice</t>
      </text>
    </comment>
    <comment authorId="0" ref="S179">
      <text>
        <t xml:space="preserve">======
ID#AAABnO0XCcw
Clemira Khaulah AP    (2025-07-10 07:32:03)
Sudah di accrued belum invoice</t>
      </text>
    </comment>
    <comment authorId="0" ref="R179">
      <text>
        <t xml:space="preserve">======
ID#AAABnO0XCcs
Clemira Khaulah AP    (2025-07-10 07:31:27)
Sudah di accrued belum invoice</t>
      </text>
    </comment>
    <comment authorId="0" ref="Q179">
      <text>
        <t xml:space="preserve">======
ID#AAABnO0XCco
Clemira Khaulah AP    (2025-07-10 07:30:59)
Sudah diaccrued belum inovice</t>
      </text>
    </comment>
    <comment authorId="0" ref="D1208">
      <text>
        <t xml:space="preserve">======
ID#AAABnO0XCcY
Reza Adelia Widyastuti    (2025-07-10 07:23:53)
Perubahan Jabatan Pak DM, dan Pembuatan BA perubahan Entitas</t>
      </text>
    </comment>
    <comment authorId="0" ref="V167">
      <text>
        <t xml:space="preserve">======
ID#AAABnO0XCcU
Clemira Khaulah AP    (2025-07-10 07:07:44)
Sudah di accrued belum invoice</t>
      </text>
    </comment>
    <comment authorId="0" ref="U167">
      <text>
        <t xml:space="preserve">======
ID#AAABnO0XCcQ
Clemira Khaulah AP    (2025-07-10 07:04:28)
Belum di accured</t>
      </text>
    </comment>
    <comment authorId="0" ref="D1681">
      <text>
        <t xml:space="preserve">======
ID#AAABnMmTgzs
Anonymous    (2025-07-09 04:28:38)
New Project</t>
      </text>
    </comment>
    <comment authorId="0" ref="V568">
      <text>
        <t xml:space="preserve">======
ID#AAABmG4itfs
Azizah Insani    (2025-07-07 07:06:20)
sudah accrued, belum invoice belum dibayarkan</t>
      </text>
    </comment>
    <comment authorId="0" ref="V634">
      <text>
        <t xml:space="preserve">======
ID#AAABm7Et7Nw
Anonymous    (2025-07-07 06:01:11)
Belum accrued sedang proses rekon dengan IAS</t>
      </text>
    </comment>
    <comment authorId="0" ref="U634">
      <text>
        <t xml:space="preserve">======
ID#AAABm7Et7Ns
Anonymous    (2025-07-07 06:01:04)
Belum accrued sedang proses rekon dengan IAS</t>
      </text>
    </comment>
    <comment authorId="0" ref="T634">
      <text>
        <t xml:space="preserve">======
ID#AAABm7Et7No
Anonymous    (2025-07-07 05:59:33)
Sudah accrued belum invoice menunggu kontrak</t>
      </text>
    </comment>
    <comment authorId="0" ref="S634">
      <text>
        <t xml:space="preserve">======
ID#AAABm7Et7Nk
Anonymous    (2025-07-07 05:59:27)
Sudah accrued belum invoice menunggu kontrak</t>
      </text>
    </comment>
    <comment authorId="0" ref="R634">
      <text>
        <t xml:space="preserve">======
ID#AAABm7Et7Ng
Anonymous    (2025-07-07 05:59:20)
Sudah accrued belum invoice menunggu kontrak</t>
      </text>
    </comment>
    <comment authorId="0" ref="Q634">
      <text>
        <t xml:space="preserve">======
ID#AAABm7Et7Nc
Anonymous    (2025-07-07 05:59:12)
Sudah accrued belum invoice menunggu kontrak</t>
      </text>
    </comment>
    <comment authorId="0" ref="V586">
      <text>
        <t xml:space="preserve">======
ID#AAABm7Et7NE
Anonymous    (2025-07-07 05:47:32)
sudah accrued belum invoice</t>
      </text>
    </comment>
    <comment authorId="0" ref="V641">
      <text>
        <t xml:space="preserve">======
ID#AAABm7Et7Mk
Anonymous    (2025-07-07 05:44:05)
Belum accrued belum invoice</t>
      </text>
    </comment>
    <comment authorId="0" ref="U641">
      <text>
        <t xml:space="preserve">======
ID#AAABm7Et7Mg
Anonymous    (2025-07-07 05:43:50)
Sudah accrued sudah invoice belum dibayarkan</t>
      </text>
    </comment>
    <comment authorId="0" ref="V884">
      <text>
        <t xml:space="preserve">======
ID#AAABm7Et7ME
Anonymous    (2025-07-07 05:28:31)
Belum accrued belum invoice menunggu kontrak</t>
      </text>
    </comment>
    <comment authorId="0" ref="U884">
      <text>
        <t xml:space="preserve">======
ID#AAABm7Et7MA
Anonymous    (2025-07-07 05:28:25)
Belum accrued belum invoice menunggu kontrak</t>
      </text>
    </comment>
    <comment authorId="0" ref="V868">
      <text>
        <t xml:space="preserve">======
ID#AAABm7Et7L4
Anonymous    (2025-07-07 05:23:18)
Sudah accrued belum invoice</t>
      </text>
    </comment>
    <comment authorId="0" ref="V855">
      <text>
        <t xml:space="preserve">======
ID#AAABm7Et7Ls
Anonymous    (2025-07-07 05:15:11)
Belum accrued &amp; invoice menunggu kontrak</t>
      </text>
    </comment>
    <comment authorId="0" ref="U855">
      <text>
        <t xml:space="preserve">======
ID#AAABm7Et7Lo
Anonymous    (2025-07-07 05:15:05)
Belum accrued &amp; invoice menunggu kontrak</t>
      </text>
    </comment>
    <comment authorId="0" ref="T855">
      <text>
        <t xml:space="preserve">======
ID#AAABm7Et7Lk
Anonymous    (2025-07-07 05:14:59)
Belum accrued &amp; invoice menunggu kontrak</t>
      </text>
    </comment>
    <comment authorId="0" ref="S855">
      <text>
        <t xml:space="preserve">======
ID#AAABm7Et7Lg
Anonymous    (2025-07-07 05:14:53)
Belum accrued &amp; invoice menunggu kontrak</t>
      </text>
    </comment>
    <comment authorId="0" ref="R855">
      <text>
        <t xml:space="preserve">======
ID#AAABm7Et7Lc
Anonymous    (2025-07-07 05:14:47)
Belum accrued &amp; invoice menunggu kontrak</t>
      </text>
    </comment>
    <comment authorId="0" ref="Q855">
      <text>
        <t xml:space="preserve">======
ID#AAABm7Et7LY
Anonymous    (2025-07-07 05:14:40)
Belum accrued &amp; invoice menunggu kontrak</t>
      </text>
    </comment>
    <comment authorId="0" ref="R861">
      <text>
        <t xml:space="preserve">======
ID#AAABm7Et7LU
Anonymous    (2025-07-07 05:14:05)
Belum accrued &amp; invoice menunggu kontrak</t>
      </text>
    </comment>
    <comment authorId="0" ref="S861">
      <text>
        <t xml:space="preserve">======
ID#AAABm7Et7LQ
Anonymous    (2025-07-07 05:13:58)
Belum accrued &amp; invoice menunggu kontrak</t>
      </text>
    </comment>
    <comment authorId="0" ref="T861">
      <text>
        <t xml:space="preserve">======
ID#AAABm7Et7LM
Anonymous    (2025-07-07 05:13:52)
Belum accrued &amp; invoice menunggu kontrak</t>
      </text>
    </comment>
    <comment authorId="0" ref="U861">
      <text>
        <t xml:space="preserve">======
ID#AAABm7Et7LI
Anonymous    (2025-07-07 05:13:45)
Belum accrued &amp; invoice menunggu kontrak</t>
      </text>
    </comment>
    <comment authorId="0" ref="V861">
      <text>
        <t xml:space="preserve">======
ID#AAABm7Et7LE
Anonymous    (2025-07-07 05:13:35)
Belum accrued &amp; invoice menunggu kontrak</t>
      </text>
    </comment>
    <comment authorId="0" ref="Q861">
      <text>
        <t xml:space="preserve">======
ID#AAABm7Et7LA
Anonymous    (2025-07-07 05:13:25)
Belum accrued &amp; invoice menunggu kontrak</t>
      </text>
    </comment>
    <comment authorId="0" ref="T849">
      <text>
        <t xml:space="preserve">======
ID#AAABm7Et7K4
Anonymous    (2025-07-07 04:50:47)
Sudah accrued belum invoice</t>
      </text>
    </comment>
    <comment authorId="0" ref="U554">
      <text>
        <t xml:space="preserve">======
ID#AAABm7Et7KY
Anonymous    (2025-07-07 04:45:03)
Pembayaran progress 66.4% MC 9 &amp; 10</t>
      </text>
    </comment>
    <comment authorId="0" ref="R554">
      <text>
        <t xml:space="preserve">======
ID#AAABm7Et7KU
Anonymous    (2025-07-07 04:43:41)
Pembayaran MC 7 &amp; 8 progress 43.9%</t>
      </text>
    </comment>
    <comment authorId="0" ref="Q554">
      <text>
        <t xml:space="preserve">======
ID#AAABm7Et7KE
Anonymous    (2025-07-07 04:41:25)
Pembayaran Progress 26.8% MC 5 &amp; 6 (MC 1 2 3 4 sebesar 1.524.391.681 dibayar bulan oktober 2024)</t>
      </text>
    </comment>
    <comment authorId="0" ref="V548">
      <text>
        <t xml:space="preserve">======
ID#AAABm7Et7Jc
Anonymous    (2025-07-07 03:44:43)
Sudah accrued belum invoice menunggu kontrak</t>
      </text>
    </comment>
    <comment authorId="0" ref="V542">
      <text>
        <t xml:space="preserve">======
ID#AAABm7Et7JE
Anonymous    (2025-07-07 03:40:10)
Sudah accrued belum invoice</t>
      </text>
    </comment>
    <comment authorId="0" ref="U542">
      <text>
        <t xml:space="preserve">======
ID#AAABm7Et7JA
Anonymous    (2025-07-07 03:39:34)
Sudah Accrued &amp; Invoice menunggu pembayaran</t>
      </text>
    </comment>
    <comment authorId="0" ref="V532">
      <text>
        <t xml:space="preserve">======
ID#AAABm7Et7IQ
Anonymous    (2025-07-07 03:17:36)
Sudah accrued belum invoice menunggu kontrak</t>
      </text>
    </comment>
    <comment authorId="0" ref="T532">
      <text>
        <t xml:space="preserve">======
ID#AAABm7Et7II
Anonymous    (2025-07-07 03:17:22)
Sudah accrued belum invoice menunggu kontrak</t>
      </text>
    </comment>
    <comment authorId="0" ref="S532">
      <text>
        <t xml:space="preserve">======
ID#AAABm7Et7IE
Anonymous    (2025-07-07 03:17:15)
Sudah accrued belum invoice menunggu kontrak</t>
      </text>
    </comment>
    <comment authorId="0" ref="R532">
      <text>
        <t xml:space="preserve">======
ID#AAABm7Et7IA
Anonymous    (2025-07-07 03:17:08)
Sudah accrued belum invoice menunggu kontrak</t>
      </text>
    </comment>
    <comment authorId="0" ref="Q532">
      <text>
        <t xml:space="preserve">======
ID#AAABm7Et7H8
Anonymous    (2025-07-07 03:17:01)
Sudah accrued belum invoice menunggu kontrak</t>
      </text>
    </comment>
    <comment authorId="0" ref="V526">
      <text>
        <t xml:space="preserve">======
ID#AAABm7Et7H4
Anonymous    (2025-07-07 03:14:09)
Sudah accrued belum invoice menunggu kontrak</t>
      </text>
    </comment>
    <comment authorId="0" ref="U526">
      <text>
        <t xml:space="preserve">======
ID#AAABm7Et7H0
Anonymous    (2025-07-07 03:13:25)
Sudah accrued belum invoice menunggu kontrak</t>
      </text>
    </comment>
    <comment authorId="0" ref="T526">
      <text>
        <t xml:space="preserve">======
ID#AAABm7Et7Hs
Anonymous    (2025-07-07 03:13:19)
Sudah accrued belum invoice menunggu kontrak</t>
      </text>
    </comment>
    <comment authorId="0" ref="S526">
      <text>
        <t xml:space="preserve">======
ID#AAABm7Et7Ho
Anonymous    (2025-07-07 03:13:13)
Sudah accrued belum invoice menunggu kontrak</t>
      </text>
    </comment>
    <comment authorId="0" ref="R526">
      <text>
        <t xml:space="preserve">======
ID#AAABm7Et7Hk
Anonymous    (2025-07-07 03:13:06)
Sudah accrued belum invoice menunggu kontrak</t>
      </text>
    </comment>
    <comment authorId="0" ref="Q526">
      <text>
        <t xml:space="preserve">======
ID#AAABm7Et7Hg
Anonymous    (2025-07-07 03:12:59)
Sudah accrued belum invoice menunggu kontrak</t>
      </text>
    </comment>
    <comment authorId="0" ref="V515">
      <text>
        <t xml:space="preserve">======
ID#AAABm7Et7GM
Anonymous    (2025-07-07 02:56:23)
Sudah Accrued belum invoice menunggu kontrak</t>
      </text>
    </comment>
    <comment authorId="0" ref="U515">
      <text>
        <t xml:space="preserve">======
ID#AAABm7Et7GI
Anonymous    (2025-07-07 02:56:17)
Sudah Accrued belum invoice menunggu kontrak</t>
      </text>
    </comment>
    <comment authorId="0" ref="T515">
      <text>
        <t xml:space="preserve">======
ID#AAABm7Et7GE
Anonymous    (2025-07-07 02:56:11)
Sudah Accrued belum invoice menunggu kontrak</t>
      </text>
    </comment>
    <comment authorId="0" ref="S515">
      <text>
        <t xml:space="preserve">======
ID#AAABm7Et7GA
Anonymous    (2025-07-07 02:56:05)
Sudah Accrued belum invoice menunggu kontrak</t>
      </text>
    </comment>
    <comment authorId="0" ref="R515">
      <text>
        <t xml:space="preserve">======
ID#AAABm7Et7F8
Anonymous    (2025-07-07 02:55:59)
Sudah Accrued belum invoice menunggu kontrak</t>
      </text>
    </comment>
    <comment authorId="0" ref="Q515">
      <text>
        <t xml:space="preserve">======
ID#AAABm7Et7F4
Anonymous    (2025-07-07 02:55:51)
Sudah Accrued belum invoice menunggu kontrak</t>
      </text>
    </comment>
    <comment authorId="0" ref="V505">
      <text>
        <t xml:space="preserve">======
ID#AAABnHpbgzs
Anonymous    (2025-07-07 02:33:10)
Sudah accrued belum invoice masih menunggu addendum</t>
      </text>
    </comment>
    <comment authorId="0" ref="U505">
      <text>
        <t xml:space="preserve">======
ID#AAABnHpbgzo
Anonymous    (2025-07-07 02:33:01)
Sudah accrued belum invoice masih menunggu addendum</t>
      </text>
    </comment>
    <comment authorId="0" ref="T505">
      <text>
        <t xml:space="preserve">======
ID#AAABnHpbgzk
Anonymous    (2025-07-07 02:32:30)
Sudah accrued belum invoice masih menunggu addendum</t>
      </text>
    </comment>
    <comment authorId="0" ref="V499">
      <text>
        <t xml:space="preserve">======
ID#AAABnHpbgzg
Anonymous    (2025-07-07 02:24:31)
Sudah accrued belum invoice masih menunggu addendum</t>
      </text>
    </comment>
    <comment authorId="0" ref="U499">
      <text>
        <t xml:space="preserve">======
ID#AAABnHpbgzc
Anonymous    (2025-07-07 02:24:24)
Sudah accrued belum invoice masih menunggu addendum</t>
      </text>
    </comment>
    <comment authorId="0" ref="T499">
      <text>
        <t xml:space="preserve">======
ID#AAABnHpbgzY
Anonymous    (2025-07-07 02:22:18)
Sudah di accrued belum invoice karena menunggu addendum</t>
      </text>
    </comment>
    <comment authorId="0" ref="T42">
      <text>
        <t xml:space="preserve">======
ID#AAABi1tE1cE
Raymond Trihartanto    (2025-05-05 08:14:59)
sudah accrue, Belum Invoice</t>
      </text>
    </comment>
    <comment authorId="0" ref="AC1561">
      <text>
        <t xml:space="preserve">======
ID#AAABiE44Ryo
Ari Trianggono    (2025-04-16 04:00:28)
3.472.966.647</t>
      </text>
    </comment>
    <comment authorId="0" ref="P326">
      <text>
        <t xml:space="preserve">======
ID#AAABhvPtmaw
ADE RIZKI RAMADHAN    (2025-04-14 11:09:15)
Proses pembuatan RAB perpanjangan kontrak cleaning</t>
      </text>
    </comment>
    <comment authorId="0" ref="O69">
      <text>
        <t xml:space="preserve">======
ID#AAABgvfCj_4
Anonymous    (2025-03-24 03:06:51)
Kontrak sudah berakhir Des 2024</t>
      </text>
    </comment>
    <comment authorId="0" ref="G451">
      <text>
        <t xml:space="preserve">======
ID#AAABgrZwE4g
Fitri Sim    (2025-03-22 16:41:13)
sebelumnya masuk ke Cleaning namun sekarang masuk ke manpower karena pekerjaannya semua SDM (tanpa peralatan)</t>
      </text>
    </comment>
  </commentList>
  <extLst>
    <ext uri="GoogleSheetsCustomDataVersion2">
      <go:sheetsCustomData xmlns:go="http://customooxmlschemas.google.com/" r:id="rId1" roundtripDataSignature="AMtx7mi8//yalY30rp/EPJTAkQF+eBLI2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4">
      <text>
        <t xml:space="preserve">Kontrak tidak di Perpanjang
======</t>
      </text>
    </comment>
  </commentList>
</comments>
</file>

<file path=xl/sharedStrings.xml><?xml version="1.0" encoding="utf-8"?>
<sst xmlns="http://schemas.openxmlformats.org/spreadsheetml/2006/main" count="9855" uniqueCount="1924">
  <si>
    <t>MONITORING KINERJA DIREKTORAT LAYANAN ALIH DAYA DAN FASILITAS</t>
  </si>
  <si>
    <t>NO</t>
  </si>
  <si>
    <t>PROPINSI</t>
  </si>
  <si>
    <t>RKAP 2025</t>
  </si>
  <si>
    <t>REVENUE S/D MARET 2025</t>
  </si>
  <si>
    <t>PROGRAM</t>
  </si>
  <si>
    <t>REVENUE</t>
  </si>
  <si>
    <t>RKAP</t>
  </si>
  <si>
    <t>PRODUKSI</t>
  </si>
  <si>
    <t>DEVIASI</t>
  </si>
  <si>
    <t>%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</si>
  <si>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</si>
  <si>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</si>
  <si>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</si>
  <si>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</si>
  <si>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</si>
  <si>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</si>
  <si>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</si>
  <si>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</si>
  <si>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</si>
  <si>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</si>
  <si>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</si>
  <si>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</si>
  <si>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IASS</t>
  </si>
  <si>
    <t>APS</t>
  </si>
  <si>
    <t>TOTAL</t>
  </si>
  <si>
    <t>CAPAIAN</t>
  </si>
  <si>
    <t>I</t>
  </si>
  <si>
    <t>SUMATERA</t>
  </si>
  <si>
    <t>Aceh - Banda Aceh (BTJ)</t>
  </si>
  <si>
    <t>Sumatra Utara - Medan (MES)</t>
  </si>
  <si>
    <t>Sumatra Selatan - Palembang (PLM)</t>
  </si>
  <si>
    <t>Sumatra Barat - Padang (PDG)</t>
  </si>
  <si>
    <t>Bengkulu - Bengkulu (BKS)</t>
  </si>
  <si>
    <t>Riau - Pekanbaru (PKU)</t>
  </si>
  <si>
    <t>Kepulauan Riau - Tanjung Pinang (TNJ)</t>
  </si>
  <si>
    <t>Jambi - Jambi (DJB)</t>
  </si>
  <si>
    <t>Lampung - Bandar Lampung (TKG)</t>
  </si>
  <si>
    <t>Bangka Belitung - Pangkal Pinang (PGK)</t>
  </si>
  <si>
    <t>II</t>
  </si>
  <si>
    <t>JAWA</t>
  </si>
  <si>
    <t>DKI Jakarta - Jakarta (JKT)</t>
  </si>
  <si>
    <t>Banten - Serang</t>
  </si>
  <si>
    <t>Jawa Barat - Bandung (BDO)</t>
  </si>
  <si>
    <t>Jawa Tengah - Semarang (SRG)</t>
  </si>
  <si>
    <t>DI Yogyakarta - Yogyakarta (JOG)</t>
  </si>
  <si>
    <t>Jawa Timur - Surabaya (SUB)</t>
  </si>
  <si>
    <t>III</t>
  </si>
  <si>
    <t>NUSA TENGGARA &amp; BALI</t>
  </si>
  <si>
    <t>Bali - Denpasar (DPS)</t>
  </si>
  <si>
    <t>Nusa Tenggara Barat - Mataram (</t>
  </si>
  <si>
    <t>Nusa Tenggara Timur- Kupang</t>
  </si>
  <si>
    <t>IV</t>
  </si>
  <si>
    <t>KALIMANTAN</t>
  </si>
  <si>
    <t>Kalimantan Timur - Samarinda</t>
  </si>
  <si>
    <t>Kalimantan Barat - Pontianak</t>
  </si>
  <si>
    <t>Kalimantan Tengah - Palangkaraya</t>
  </si>
  <si>
    <t>Kalimantan Selatan - Banjarmasin BDJ</t>
  </si>
  <si>
    <t>Kalimantan Utara - Tanjung Selor</t>
  </si>
  <si>
    <t>V</t>
  </si>
  <si>
    <t>SULAWESI</t>
  </si>
  <si>
    <t>Sulawesi Utara - Manado</t>
  </si>
  <si>
    <t>Sulawesi Barat - Mamuju</t>
  </si>
  <si>
    <t>Sulawesi Tengah - Palu</t>
  </si>
  <si>
    <t>Gorontalo - Gorontalo</t>
  </si>
  <si>
    <t>Sulawesi Tenggara - Kendari</t>
  </si>
  <si>
    <t>Sulawesi Selatan - Makassar</t>
  </si>
  <si>
    <t>VI</t>
  </si>
  <si>
    <t>MALUKU</t>
  </si>
  <si>
    <t>Maluku Utara - Sofifi</t>
  </si>
  <si>
    <t>Maluku - Ambon</t>
  </si>
  <si>
    <t>VII</t>
  </si>
  <si>
    <t>PAPUA</t>
  </si>
  <si>
    <t>Papua Barat - Manokwari</t>
  </si>
  <si>
    <t>Papua - Jayapura</t>
  </si>
  <si>
    <t>Papua Selatan - Merauke</t>
  </si>
  <si>
    <t>Papua Tengah - Nabire</t>
  </si>
  <si>
    <t>Papua Pegunungan - Jayawijaya</t>
  </si>
  <si>
    <t>Papua Barat Daya - Sorong</t>
  </si>
  <si>
    <t>TOTAL PROGRAM KERJA</t>
  </si>
  <si>
    <t>BAU</t>
  </si>
  <si>
    <t>LOB</t>
  </si>
  <si>
    <t>Jumlah Program</t>
  </si>
  <si>
    <t>Revenue</t>
  </si>
  <si>
    <t>Building Management</t>
  </si>
  <si>
    <t>Rp35.230.959.116</t>
  </si>
  <si>
    <t>Cleaning Services</t>
  </si>
  <si>
    <t>Rp354.390.304.880</t>
  </si>
  <si>
    <t>Licensed Manpower Services</t>
  </si>
  <si>
    <t>Rp363.976.300.203</t>
  </si>
  <si>
    <t>Manpower Service</t>
  </si>
  <si>
    <t>Rp130.370.867.764</t>
  </si>
  <si>
    <t>Maintenance</t>
  </si>
  <si>
    <t>Rp200.176.100.516</t>
  </si>
  <si>
    <t>Rental</t>
  </si>
  <si>
    <t>Rp10.000.000.000</t>
  </si>
  <si>
    <t>Parking</t>
  </si>
  <si>
    <t>Rp21.352.341.806</t>
  </si>
  <si>
    <t>Others</t>
  </si>
  <si>
    <t>Rp7.578.689.193</t>
  </si>
  <si>
    <t>Total</t>
  </si>
  <si>
    <t>Rp1.123.075.563.479</t>
  </si>
  <si>
    <t>PORTOPOLIO</t>
  </si>
  <si>
    <t>Facility Management</t>
  </si>
  <si>
    <t>Rp410.973.605.803</t>
  </si>
  <si>
    <t>Rp494.347.167.967</t>
  </si>
  <si>
    <t>Equipment Supplies &amp; Maintenance</t>
  </si>
  <si>
    <t>Rp210.176.100.516</t>
  </si>
  <si>
    <t>KINERJA PER LOB</t>
  </si>
  <si>
    <t xml:space="preserve">DIREKTORAT MAN POWER &amp; FASILITAS </t>
  </si>
  <si>
    <t>TAHUN 2025</t>
  </si>
  <si>
    <t>NO.</t>
  </si>
  <si>
    <t>URAIAN</t>
  </si>
  <si>
    <t xml:space="preserve">RKAP </t>
  </si>
  <si>
    <t>REALISASI</t>
  </si>
  <si>
    <t>KETERANGAN</t>
  </si>
  <si>
    <t>JAN</t>
  </si>
  <si>
    <t>PEB</t>
  </si>
  <si>
    <t>MAR</t>
  </si>
  <si>
    <t>APR</t>
  </si>
  <si>
    <t>MEI</t>
  </si>
  <si>
    <t>JUN</t>
  </si>
  <si>
    <t>JUL</t>
  </si>
  <si>
    <t>AUG</t>
  </si>
  <si>
    <t>SEP</t>
  </si>
  <si>
    <t>OKT</t>
  </si>
  <si>
    <t>NOP</t>
  </si>
  <si>
    <t>DES</t>
  </si>
  <si>
    <t>FACILITY MANAGEMENT</t>
  </si>
  <si>
    <t>a.</t>
  </si>
  <si>
    <t>Cleaning services</t>
  </si>
  <si>
    <t>b.</t>
  </si>
  <si>
    <t>Parking Management</t>
  </si>
  <si>
    <t>c.</t>
  </si>
  <si>
    <t>MANPOWER SERVICE</t>
  </si>
  <si>
    <t>Manpower Services</t>
  </si>
  <si>
    <t>CHALLENGE</t>
  </si>
  <si>
    <t>GRAND TOTAL</t>
  </si>
  <si>
    <t>MONITORING KINERJA CABANG</t>
  </si>
  <si>
    <t>DIREKTORAT LAYANAN ALIH DAYA DAN FASILITAS</t>
  </si>
  <si>
    <t>Posisi :  s/d Agustus 2025</t>
  </si>
  <si>
    <t>TARGET RKAP
s/d JULI 2025</t>
  </si>
  <si>
    <t>KINERJA PENDAPATAN</t>
  </si>
  <si>
    <t xml:space="preserve">KETERANGAN
(Ketidaktercapaian &amp; Upaya yang akan dilakukan)
</t>
  </si>
  <si>
    <t>Acrued</t>
  </si>
  <si>
    <t>ACV</t>
  </si>
  <si>
    <t>Ranking</t>
  </si>
  <si>
    <t>invoice</t>
  </si>
  <si>
    <t>Terbayar</t>
  </si>
  <si>
    <t>Target</t>
  </si>
  <si>
    <t>Accrued</t>
  </si>
  <si>
    <t>Regional 1</t>
  </si>
  <si>
    <t>Regional 2</t>
  </si>
  <si>
    <t>Belitung - Tanjung Pandan (TJQ)</t>
  </si>
  <si>
    <t xml:space="preserve">TOTAL </t>
  </si>
  <si>
    <t>No.</t>
  </si>
  <si>
    <t>Nama Program</t>
  </si>
  <si>
    <t>Category Program</t>
  </si>
  <si>
    <t>PORTOFOLIO</t>
  </si>
  <si>
    <t>SUB 
LOB</t>
  </si>
  <si>
    <t>Intercompany/Third Parties</t>
  </si>
  <si>
    <t>Kode 
Cabang</t>
  </si>
  <si>
    <t>NILAI KONTRAK/ ADDENDUM</t>
  </si>
  <si>
    <t>NOMOR &amp;
TGL. KONTRAK/ ADDENDUM</t>
  </si>
  <si>
    <t>Bentuk Kontrak</t>
  </si>
  <si>
    <t>DURASI</t>
  </si>
  <si>
    <t>Pendapatan / Akrual</t>
  </si>
  <si>
    <t>CONTROL</t>
  </si>
  <si>
    <t>Sisa Akrual</t>
  </si>
  <si>
    <t>Company</t>
  </si>
  <si>
    <t>Category</t>
  </si>
  <si>
    <t>START</t>
  </si>
  <si>
    <t>FINISH</t>
  </si>
  <si>
    <t>Sisa AR</t>
  </si>
  <si>
    <t>A</t>
  </si>
  <si>
    <t xml:space="preserve">B </t>
  </si>
  <si>
    <t>C</t>
  </si>
  <si>
    <t>D</t>
  </si>
  <si>
    <t>E</t>
  </si>
  <si>
    <t>F</t>
  </si>
  <si>
    <t>G</t>
  </si>
  <si>
    <t>H</t>
  </si>
  <si>
    <t>J</t>
  </si>
  <si>
    <t>K</t>
  </si>
  <si>
    <t>L</t>
  </si>
  <si>
    <t>Pekerjaan Jasa Kebersihan (Cleaning Service) Indoor Dan Outdoor Gedung Terminal Bandar Udara Sultan Iskandar Muda Aceh _BTJ</t>
  </si>
  <si>
    <t>Business as Usual</t>
  </si>
  <si>
    <t>API</t>
  </si>
  <si>
    <t>Injourney Member</t>
  </si>
  <si>
    <t>BTJ</t>
  </si>
  <si>
    <t>PJJ.12.01.02/09/05/2024/0044 ; 16/05/2024</t>
  </si>
  <si>
    <r>
      <rPr>
        <rFont val="Montserrat"/>
        <color rgb="FF000000"/>
        <sz val="10.0"/>
        <u/>
      </rPr>
      <t>PJJ.BTJ.GM</t>
    </r>
    <r>
      <rPr>
        <rFont val="Montserrat"/>
        <color rgb="FF000000"/>
        <sz val="10.0"/>
      </rPr>
      <t>.0102/KB.02.02/2025</t>
    </r>
  </si>
  <si>
    <r>
      <rPr>
        <rFont val="Montserrat"/>
        <color rgb="FF000000"/>
        <sz val="10.0"/>
        <u/>
      </rPr>
      <t>PJJ.BTJ.GM</t>
    </r>
    <r>
      <rPr>
        <rFont val="Montserrat"/>
        <color rgb="FF000000"/>
        <sz val="10.0"/>
      </rPr>
      <t>.0105/KB.02.03/2025 ; 17/06/2025</t>
    </r>
  </si>
  <si>
    <r>
      <rPr>
        <rFont val="Montserrat"/>
        <color theme="1"/>
        <sz val="10.0"/>
      </rPr>
      <t xml:space="preserve">PYMHD / </t>
    </r>
    <r>
      <rPr>
        <rFont val="Montserrat"/>
        <i/>
        <color theme="1"/>
        <sz val="10.0"/>
      </rPr>
      <t>Accrual</t>
    </r>
  </si>
  <si>
    <t>Account Receivable / Invoice</t>
  </si>
  <si>
    <r>
      <rPr>
        <rFont val="Montserrat"/>
        <i val="0"/>
        <color theme="1"/>
        <sz val="10.0"/>
      </rPr>
      <t xml:space="preserve">Terbayar / </t>
    </r>
    <r>
      <rPr>
        <rFont val="Montserrat"/>
        <i/>
        <color theme="1"/>
        <sz val="10.0"/>
      </rPr>
      <t>Cash</t>
    </r>
  </si>
  <si>
    <t>Pekerjaan Jasa Kebersihan (Cleaning Service) Indoor Dan Outdoor Perkantoran Bandar Udara Sultan Iskandar Muda Aceh_BTJ</t>
  </si>
  <si>
    <t>PJJ.12.01.02/09/04/2024/0038; 24/04/2024</t>
  </si>
  <si>
    <t>PJJ.BTJ.V.AT.0102/TK.10/2025.; 27/03/2025</t>
  </si>
  <si>
    <r>
      <rPr>
        <rFont val="Montserrat"/>
        <color rgb="FF000000"/>
        <sz val="10.0"/>
        <u/>
      </rPr>
      <t>PJJ.BTJ.V.AT</t>
    </r>
    <r>
      <rPr>
        <rFont val="Montserrat"/>
        <color rgb="FF000000"/>
        <sz val="10.0"/>
      </rPr>
      <t>.         /TK.10/2025 ; 25/06/2025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</si>
  <si>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</si>
  <si>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</si>
  <si>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Tenaga Kerja Penunjang Di Bandara Sultan Iskandar Muda Aceh_BTJ (OS)</t>
  </si>
  <si>
    <t>Unlicensed Manpower</t>
  </si>
  <si>
    <t>PJJ.03.02.02/09/01/2024/0008 ; 24/01/2024</t>
  </si>
  <si>
    <r>
      <rPr>
        <rFont val="Montserrat"/>
        <color rgb="FF1155CC"/>
        <sz val="10.0"/>
        <u/>
      </rPr>
      <t>PJJ.BTJ.GM</t>
    </r>
    <r>
      <rPr>
        <rFont val="Montserrat"/>
        <color theme="1"/>
        <sz val="10.0"/>
      </rPr>
      <t>.0008/II/2025 ; 3/2/2025</t>
    </r>
  </si>
  <si>
    <t>PJJ.BTJ.GM.0107/PL.02.03/2025; 29/04/2025</t>
  </si>
  <si>
    <t>Menunggu Draft Kontrak Dari Apindo BTJ</t>
  </si>
  <si>
    <t>Proses Adenddum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</si>
  <si>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</si>
  <si>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</si>
  <si>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Customer Service Officer Bandara Sultan Iskandar Muda Aceh_BTJ (CSO)</t>
  </si>
  <si>
    <t>PJJ.03.02.02/09/03/2022/A.0044 ;  30/04/2024</t>
  </si>
  <si>
    <r>
      <rPr>
        <rFont val="Montserrat"/>
        <color rgb="FF000000"/>
        <sz val="10.0"/>
        <u/>
      </rPr>
      <t>PJJ.BTJ.GM</t>
    </r>
    <r>
      <rPr>
        <rFont val="Montserrat"/>
        <color rgb="FF000000"/>
        <sz val="10.0"/>
      </rPr>
      <t>.01.03/PL.02.03/2025; 6/05/2025</t>
    </r>
  </si>
  <si>
    <t>Proses Addendum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</si>
  <si>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</si>
  <si>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</si>
  <si>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Tenaga Kerja Fungsi Pengamamanan Di Bandara Sultan Iskandar Muda - Aceh</t>
  </si>
  <si>
    <t>Licensed Manpower</t>
  </si>
  <si>
    <t>PJJ.03.02.02/09/01/2024/0009 ; 24/01/2024</t>
  </si>
  <si>
    <t>PJJ.BTJ.GM.0009/II/2025 ; 3/2/2025</t>
  </si>
  <si>
    <t>PJJ.BTJ.GM.0009/II/2025 ; 29/4/2025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</si>
  <si>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</si>
  <si>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</si>
  <si>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</si>
  <si>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</si>
  <si>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t>Kekurangan Invoice</t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</si>
  <si>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</si>
  <si>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t>kekurangan pembayaran</t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</si>
  <si>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</si>
  <si>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KNO</t>
  </si>
  <si>
    <t>Pekerjaan Pemeliharaan Kebersihan Gedung Di Bandara Internasional Silangit _DTB</t>
  </si>
  <si>
    <t>DTB</t>
  </si>
  <si>
    <t>PJJ.06.02/13/12/2023/0041 : 29/12/2023</t>
  </si>
  <si>
    <t>Draft kontrak di legal IASS</t>
  </si>
  <si>
    <t>Addendum I</t>
  </si>
  <si>
    <t>Menunggu addendum I selesai</t>
  </si>
  <si>
    <t>Addendum II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</si>
  <si>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</si>
  <si>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</si>
  <si>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Kegiatan Pendukung/Supporting Di Bandara Raja sisingamaraja _DTB</t>
  </si>
  <si>
    <t>PJJ.06.02/13/01/2024/0007 ; 
29 /01/2024</t>
  </si>
  <si>
    <r>
      <rPr>
        <rFont val="Montserrat"/>
        <color rgb="FF000000"/>
        <sz val="10.0"/>
        <u/>
      </rPr>
      <t>PJJ.DTB.GM</t>
    </r>
    <r>
      <rPr>
        <rFont val="Montserrat"/>
        <color rgb="FF000000"/>
        <sz val="10.0"/>
      </rPr>
      <t>.0045/XII/2024; 17/12/2024</t>
    </r>
  </si>
  <si>
    <t>Proses ttd BAK di Apindo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</si>
  <si>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</si>
  <si>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</si>
  <si>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Kegiatan Pengamanan Penerbangan di Bandara Silangit-DTB</t>
  </si>
  <si>
    <t>PJJ.06.02/13/12/2023/0039 ; 29/12/2023</t>
  </si>
  <si>
    <t>PJJ.06.02/13/04/2024/0013 ; 
19/04/2024</t>
  </si>
  <si>
    <r>
      <rPr>
        <rFont val="Montserrat"/>
        <color rgb="FF000000"/>
        <sz val="10.0"/>
        <u/>
      </rPr>
      <t>PJJ.DTB.GM</t>
    </r>
    <r>
      <rPr>
        <rFont val="Montserrat"/>
        <color rgb="FF000000"/>
        <sz val="10.0"/>
      </rPr>
      <t>.0044/XII/2024; 31/12/2024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</si>
  <si>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</si>
  <si>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</si>
  <si>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Kebersihan Kantor Qatar Airways Group Q.C.S.C Medan _KNO</t>
  </si>
  <si>
    <t>Other</t>
  </si>
  <si>
    <t>Third Parties</t>
  </si>
  <si>
    <t>QTR-GS-2023-0289 ; 4/12/2023</t>
  </si>
  <si>
    <t>Kontrak tidak dilanjutkan karena sudah tidak ada penerbangan 
TMT Juli 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</si>
  <si>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</si>
  <si>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</si>
  <si>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(Cleaning Service) Gudang Kargo, Gudang Operasional,  Jasa Hygiene  Dan Pengharum Ruangan Bandara Internasional Kualanamu Medan _KNO</t>
  </si>
  <si>
    <t>PJJ.AVI.04.04.01/24/10/2023/A.0507; 31/10/2023</t>
  </si>
  <si>
    <t>PJJ.AVI.04.04.01/24/10/2024/A.0401; 22/10/2024</t>
  </si>
  <si>
    <t>31/04/2025</t>
  </si>
  <si>
    <t>Pengiriman Berkas Lampiran Kontrak ke KNO dari Komersial
tanggal 11 Juli 2025</t>
  </si>
  <si>
    <t>Proses Addendum II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</si>
  <si>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</si>
  <si>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</si>
  <si>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(Cleaning Service) Gedung Toilet Airport Railink Station, Gedung Dan Toilet Terminal Serta Kaca Gedung Luar Dan Dalam Bandar Udara Internasional Kualanamu Medan_KNO</t>
  </si>
  <si>
    <t>PJJ.AVI.04.04.01/24/05/2024/A.0260 : 2/5/2024</t>
  </si>
  <si>
    <t>Proses review kontrak di Legal IASS</t>
  </si>
  <si>
    <t>Proses Addendum I</t>
  </si>
  <si>
    <t>Menunggu selesai addendum 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</si>
  <si>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</si>
  <si>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</si>
  <si>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Cleaning Service Kantor GMF Aero Asia di Kualanamu - Medan</t>
  </si>
  <si>
    <t>TLK/BA-01/2024; 26/9/2024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</si>
  <si>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</si>
  <si>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</si>
  <si>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Gedung GMR Infrastructure Indonesia Medan _KNO</t>
  </si>
  <si>
    <t>001/GMR/GII/X/2024 ; 1 /8/2024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</si>
  <si>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</si>
  <si>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</si>
  <si>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Gedung Perkantoran PT Mark Dynamic Indonesia Medan _KNO</t>
  </si>
  <si>
    <t>237/Legal.MDI/XII/2023; 22/12/2023</t>
  </si>
  <si>
    <t>140/Legal.MDI/II/2025; 17/02/2025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</si>
  <si>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</si>
  <si>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</si>
  <si>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Tenaga Kerja Outsourcing Fungsi Customer Service Officer (CSO), Pelayanan Tamu (Receptionist) Dan Terminal Inspection Service (TIS) Di Bandara Internasional Kualanamu_KNO</t>
  </si>
  <si>
    <t>PJJ.AVI.04.04.01/24/10/2023/A.0498 ; 
02/10/20243</t>
  </si>
  <si>
    <t>Kontrak tidak berlanjut (tmt Febr 2025 kalah tender)</t>
  </si>
  <si>
    <t>PJJ.AVI.04.04.01/24/09/2024/A.0440; 26 September 2024</t>
  </si>
  <si>
    <t xml:space="preserve">Kontrak addendum I Review Legal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</si>
  <si>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</si>
  <si>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</si>
  <si>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Tenaga Kerja Outsourcing Fungsi Pengamanan dan ARFF di Bandara Internasional Kualanamu_KNO</t>
  </si>
  <si>
    <t>PJJ.AVI.04.04.01/24/11/2023/A.0582 ; 01/11/2023 (add 1)</t>
  </si>
  <si>
    <t>PJJ.AVI.04.04.01/24/10/2024/. ; 29/10/2024</t>
  </si>
  <si>
    <t>Addendum III</t>
  </si>
  <si>
    <t>Proses draft addendum di AVI</t>
  </si>
  <si>
    <t>Addendum IV</t>
  </si>
  <si>
    <t>Addendum V</t>
  </si>
  <si>
    <t>Addendum VI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</si>
  <si>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</si>
  <si>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</si>
  <si>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Perawatan Fasilitas Air kotor di Bandar Udara Internasional Kualanamu - Deli Serdang_KNO</t>
  </si>
  <si>
    <t>Equipment Supply &amp; Maintenance</t>
  </si>
  <si>
    <t>ME Maintenance</t>
  </si>
  <si>
    <t>Kontak berakhir Oktober 2024 dan tidak berlanjut</t>
  </si>
  <si>
    <t xml:space="preserve">                                                                                                                                                                                             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</si>
  <si>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</si>
  <si>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</si>
  <si>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Pemeliharaan Electrical Facility, Energy, Power Supply Di Bandara Kualanamu - Deli Serdang _KNO</t>
  </si>
  <si>
    <t>PJJ. 04.04.01/24/11/2023/A.0572 ; 22/11/2023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</si>
  <si>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</si>
  <si>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</si>
  <si>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Peralatan Air Conditioning System Bandara Kualanamu Medan_KNO</t>
  </si>
  <si>
    <t>PJJ.AVI.04.04.01/24/11/2023/A.0572 ; 3/11/2023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</si>
  <si>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</si>
  <si>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</si>
  <si>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Perjanjian Kerjasama Pemanfaatan Fasilitas Komersial PT Angkasa Pura Aviasi</t>
  </si>
  <si>
    <t>Hotel</t>
  </si>
  <si>
    <t xml:space="preserve">Revenue sharing 25,8 %  atau senilai (Rp 100.000.000) per bulan untuk AVI ; 74,2% IASS </t>
  </si>
  <si>
    <t>PJJ.AVI.04.04.01/24/05/2023/A.0087 ; 03/05/2023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</si>
  <si>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</si>
  <si>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</si>
  <si>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Spare Part Genset Kualanamu</t>
  </si>
  <si>
    <t>One shot project</t>
  </si>
  <si>
    <t>Equipment Supplies</t>
  </si>
  <si>
    <t>ME Project Engineering</t>
  </si>
  <si>
    <t>PJJ.AVI.04.04.01/24/08/2024/a.0275; 27/8/2024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</si>
  <si>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</si>
  <si>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</si>
  <si>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Accu/Battery Genset Kualanamu</t>
  </si>
  <si>
    <t>PJJ.AVI.04.04.01/24/03/2025/a.0060; 21/3/2025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</si>
  <si>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</si>
  <si>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</si>
  <si>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Pemborongan Pengumpul dan Perawatan Trolley Bandara Internasional Kualanamu</t>
  </si>
  <si>
    <t>PJJ.AVI.04.04.01/24/04/2024/A.0373; 30/4/2024</t>
  </si>
  <si>
    <t>Penerbitan nomor kontrak di AVI</t>
  </si>
  <si>
    <t>Proses addendum II</t>
  </si>
  <si>
    <t>Proses tender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</si>
  <si>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</si>
  <si>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</si>
  <si>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</si>
  <si>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</si>
  <si>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</si>
  <si>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</si>
  <si>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PLM</t>
  </si>
  <si>
    <t>Pekerjaan Pengadaan Kebersihan (Cleaning Service) Gedung Terminal Penumpang Bandar Udara Internasional  Sultan  Mahmud Badaruddin II Palembang_PLM</t>
  </si>
  <si>
    <t>PJJ.06.02/03/02/2024/0039; 20/2/2024</t>
  </si>
  <si>
    <t>Proses Surat Kesanggupan dan Draft Kontrak di IASS</t>
  </si>
  <si>
    <t>PJJ.PLM.GM.0212/XII/2204; 16/12/2024</t>
  </si>
  <si>
    <t>SPK.PLM.GM.0001/KB02.02/2025; 18/3/2025</t>
  </si>
  <si>
    <t>Add III review di legal IASS</t>
  </si>
  <si>
    <t>Proses ADD</t>
  </si>
  <si>
    <t>19- Agust-2025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</si>
  <si>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</si>
  <si>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</si>
  <si>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Kebersihan (Cleaning Service) Gedung Perkantoran Dan Gedung Operasional Bandar Udara Internasional  Sultan  Mahmud Badaruddin II Palembang _PLM</t>
  </si>
  <si>
    <t>PJJ.06.02/03/04/2024/0063; 1/4/2024</t>
  </si>
  <si>
    <t>PJJ.PLM.GM.0206/XII/2024; 9/12/2024</t>
  </si>
  <si>
    <t>PJJ.PLM.GM.0101/TK.10/2025;14/03/2025</t>
  </si>
  <si>
    <t>Usulan perpanjangan 10 Maret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</si>
  <si>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</si>
  <si>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</si>
  <si>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Kebersihan (Cleaning Service) Terminal Kargo Bandar Udara Internasional  Sultan  Mahmud Badaruddin II Palembang _PLM</t>
  </si>
  <si>
    <t>IAS</t>
  </si>
  <si>
    <t>IAS Member</t>
  </si>
  <si>
    <t>PO.001/IAS.EGH.RG1/04/2025;14/04/2025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</si>
  <si>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</si>
  <si>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</si>
  <si>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Pemborongan Jasa Tenaga Kerja Outsourcing Administrasi Bandara SM Badaruddin II Palembang - PLM OS</t>
  </si>
  <si>
    <t>PJJ.06.02/03/03/2024/0041; 1/3/2024</t>
  </si>
  <si>
    <t>PJJ.PLM.GM.0214/XII/2024;31/12/2024</t>
  </si>
  <si>
    <t>PJJ.PLM.GM.0214/III/2025;31/03/2025</t>
  </si>
  <si>
    <t>Berita Acara Kesepakatan</t>
  </si>
  <si>
    <t>Proses ADD III</t>
  </si>
  <si>
    <t>30-Agust-2025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</si>
  <si>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</si>
  <si>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</si>
  <si>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Pemborongan Jasa Tenaga Kerja Outsourcing Customer Service Bandara SM Badaruddin II Palembang - PLM CSO</t>
  </si>
  <si>
    <t>PJJ.06.02/03/03/2024/0040; 1/3/2024</t>
  </si>
  <si>
    <t>PJJ.PLM.GM.0215/XII/2024;31/12/2024</t>
  </si>
  <si>
    <t>PJJ.PLM.GM.0215/III/2025; 31/03/2025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</si>
  <si>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</si>
  <si>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</si>
  <si>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Pemborongan Jasa Tenaga Kerja Outsourcing Pengamanan Bandara SM Badaruddin II Palembang - PLM</t>
  </si>
  <si>
    <t>PJJ.06.02/03/03/2024/0042; 1/3/2024</t>
  </si>
  <si>
    <t>PJJ.PLM.GM.0216/XII/2024; 31/12/2024</t>
  </si>
  <si>
    <t>PJJ.PLM.GM.0216/III/2025; 31/03/2025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</si>
  <si>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</si>
  <si>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</si>
  <si>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Peralatan AC Dan Ventilasi Bandara SM Badaruddin II Palembang_PLM</t>
  </si>
  <si>
    <t>PJJ.14.07/03/08/2024/0165</t>
  </si>
  <si>
    <t>PJJ.PLM.V.AT.0213/XII/2024;31/12/2024</t>
  </si>
  <si>
    <t>PJJ.PLM.V.AT.0028/II/2025; 25/2/2025</t>
  </si>
  <si>
    <t>Draf kontrak ..... dimana?</t>
  </si>
  <si>
    <t>Proses Add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</si>
  <si>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</si>
  <si>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</si>
  <si>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Instalasi Air bersih, Air Kotor dan Hydran Bandara SM Badaruddin II Palembang_PLM</t>
  </si>
  <si>
    <t>PJJ.06.02/03/07/2024/0146; 1/7/2024</t>
  </si>
  <si>
    <t>PJJ.PLM.V.AT.0127/TK.08/2025; 30/06/2025</t>
  </si>
  <si>
    <t>30-Sept-2025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</si>
  <si>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</si>
  <si>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</si>
  <si>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Peralatan Mekanikal (Traction Equipment) Bandara SM Badaruddin II Palembang _PLM</t>
  </si>
  <si>
    <t>PJJ.06.02/03/07/2024/0145; 01/07/2024</t>
  </si>
  <si>
    <t>PJJ.PLM.TTE.106/TK.07/2025; 30/06/2025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</si>
  <si>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</si>
  <si>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</si>
  <si>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</si>
  <si>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Pekerjaan Perawatan Taman outdoor dan pemangkasan pohon Bandara SM Badaruddin II Palembang-PLM</t>
  </si>
  <si>
    <t>PJJ.06.02/03/06/2024/0105; 27/6/2024</t>
  </si>
  <si>
    <t>Proses ADD I</t>
  </si>
  <si>
    <t>26-Sept-2025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</si>
  <si>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</si>
  <si>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</si>
  <si>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Pemotongan Rumput Sisi Udara Bandara SM Badaruddin II Palembang - PLM</t>
  </si>
  <si>
    <t>PJJ.06.02/03/07/2024/0104; 16/7/2024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</si>
  <si>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</si>
  <si>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</si>
  <si>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Pemotongan Rumput &amp; Kebersihan Sisi darat Bandara SM Badaruddin II Palembang - PLM</t>
  </si>
  <si>
    <t>PJJ.06.02/03/08/2024/0127; 22/8/2024</t>
  </si>
  <si>
    <t>23-Ags-24</t>
  </si>
  <si>
    <t>22-Ags-25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</si>
  <si>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</si>
  <si>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</si>
  <si>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Perbaikan Dan Penggantian AC Central Gedung Terminal Palembang</t>
  </si>
  <si>
    <t>PJJ.06.02/03/07/2024/0113; 19/7/2024</t>
  </si>
  <si>
    <t>Proses Berita Acara Penyelesaian Pekerjaan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</si>
  <si>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</si>
  <si>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</si>
  <si>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Pengadaan dan Pemasangan CCR Runway, Taxiway, PALS dan TGS Bandara Sultan Mahmud Badaruddin II Palembang</t>
  </si>
  <si>
    <t xml:space="preserve">PJJ.06.02/03/07/2024/0114;17/7/2024 ;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</si>
  <si>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</si>
  <si>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</si>
  <si>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Personil Avsec Solitare Airport Lounge SMB II Palembang</t>
  </si>
  <si>
    <t>SPK.SOL/001.03/III/2025; 3/3/2025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</si>
  <si>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</si>
  <si>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</si>
  <si>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</si>
  <si>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</si>
  <si>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</si>
  <si>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</si>
  <si>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PDG</t>
  </si>
  <si>
    <t>Pekerjaan Jasa Kebersihan (Cleaning Service) Gedung Dan Toilet Terminal Bandara Internasional Minangkabau_PDG</t>
  </si>
  <si>
    <t>PJJ.PDG.GM.0128/X/2014; 31/10/2024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</si>
  <si>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</si>
  <si>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</si>
  <si>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(Cleaning service) Gedung Perkantoran dan gedung lainnnya Bandara Internasional Minangkabau _PDG</t>
  </si>
  <si>
    <t>PJJ.06.02/06/05/2024/0053; 31/5/2024</t>
  </si>
  <si>
    <t>PJJ.06.02/06/05/2024/0053</t>
  </si>
  <si>
    <t>Nomor kontrak diisi PIC PDG</t>
  </si>
  <si>
    <t>Surat Perpanjangan tgl 07 Juli 2025</t>
  </si>
  <si>
    <t xml:space="preserve">Proses Add II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</si>
  <si>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</si>
  <si>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</si>
  <si>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(Cleaning Service) Terminal Kargo Bandara Internasional Minangkabau_PDG</t>
  </si>
  <si>
    <t>IAS.I25-A.21.02/SP.22.01/2024/DCC</t>
  </si>
  <si>
    <t>Surat Penawaran dari Region 1 ke IAS 16 April 2025</t>
  </si>
  <si>
    <t>Proses Perpanjangan Kontrak dengan IAS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</si>
  <si>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</si>
  <si>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</si>
  <si>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Penyedia Jasa Pendukung Di Bandar Udara Internasional Minangkabau_PDG</t>
  </si>
  <si>
    <t>PJJ.06.02/06/07/2024; 30/07/2024</t>
  </si>
  <si>
    <t xml:space="preserve">Proses add di Apindo </t>
  </si>
  <si>
    <t>Add 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</si>
  <si>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</si>
  <si>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</si>
  <si>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Pengamanan Avsec dan Non Avsec Tahun 2024 - 2025 Bandar Udara Internasional Minangkabau_PDG</t>
  </si>
  <si>
    <t>PJJ.06.02/06/04/2024/0043; 29/04/2024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</si>
  <si>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</si>
  <si>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</si>
  <si>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Pemeliharaan Fasilitas Dan Peralatan Mekanikal Di Bandara Internasional Minangkabau Tahun 2024_PDG</t>
  </si>
  <si>
    <t>PJJ.06.02/06/05/2024/0067</t>
  </si>
  <si>
    <t>Belum ada pembayaran tahun 2025 menunggu sparepart</t>
  </si>
  <si>
    <t>PJJ.06.02/06/05/2024/0067; 31/05/2024</t>
  </si>
  <si>
    <t>Proses takah addendum di apindo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</si>
  <si>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</si>
  <si>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</si>
  <si>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</si>
  <si>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</si>
  <si>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</si>
  <si>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</si>
  <si>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BKS</t>
  </si>
  <si>
    <t>Pengadaan Pekerjaan Jasa Kebersihan di Bandara Fatmawati Soekarno Bengkulu_BKS</t>
  </si>
  <si>
    <t>ADD PJJ.BKS.GM.0065/IX/2024; 29/11/2024</t>
  </si>
  <si>
    <r>
      <rPr>
        <rFont val="Montserrat"/>
        <color rgb="FF1155CC"/>
        <sz val="10.0"/>
        <u/>
      </rPr>
      <t>PJJ.BKS.GM</t>
    </r>
    <r>
      <rPr>
        <rFont val="Montserrat"/>
        <color rgb="FFFF0000"/>
        <sz val="10.0"/>
      </rPr>
      <t>.0017/II/2025; 26/02/2025</t>
    </r>
  </si>
  <si>
    <t>menunggu draft addendum dari APINDO</t>
  </si>
  <si>
    <t>PROSES ADD III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</si>
  <si>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</si>
  <si>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</si>
  <si>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Penunjang Tenaga Operasional Dan Administrasi Kantor Cabang Bandara Fatmawati Soekarno_BKS</t>
  </si>
  <si>
    <t>PJJ.06.02/19/03/2024/0004; 28/03/2024</t>
  </si>
  <si>
    <r>
      <rPr>
        <rFont val="Montserrat"/>
        <color rgb="FF000000"/>
        <sz val="10.0"/>
        <u/>
      </rPr>
      <t>PJJ.BKS.GM</t>
    </r>
    <r>
      <rPr>
        <rFont val="Montserrat"/>
        <color rgb="FF000000"/>
        <sz val="10.0"/>
      </rPr>
      <t>.0114/KP.02.04/2025; 27/03/2025</t>
    </r>
  </si>
  <si>
    <t>ON PROSES ADD II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</si>
  <si>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</si>
  <si>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</si>
  <si>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</si>
  <si>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</si>
  <si>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</si>
  <si>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</si>
  <si>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PKU</t>
  </si>
  <si>
    <t>Pekerjaan Jasa Kebersihan Gedung Terminal, Perkantoran, Airside Landside Bandar Udara Internasional Sultan Syarif Kasim II_PKU</t>
  </si>
  <si>
    <t>PJJ.14.10.02/07/07/08/2024/0193; 30/08/2024</t>
  </si>
  <si>
    <t>31-Ags-25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</si>
  <si>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</si>
  <si>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</si>
  <si>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Terminal Kargo Bandar Udara Internasional Sultan Syarif Kasim II_PKU</t>
  </si>
  <si>
    <t>PJJ.APK.06.02/20/10/2023/A.0322 ; 09/10/2023</t>
  </si>
  <si>
    <t>Penyampaian penawaran dari IASS (Maret 2024 belum dibayar)</t>
  </si>
  <si>
    <t>Proses penunjukan langsung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</si>
  <si>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</si>
  <si>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</si>
  <si>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pengoperasian dan pemeliharaan Fasilitas electrical &amp; Mechanical Facility, Electronic Facility &amp; IT, Terminal &amp; General Building</t>
  </si>
  <si>
    <t>PJJ.03.02.02/07/08/2024/0178 ; 1/8/2024</t>
  </si>
  <si>
    <t>1-agust-2024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</si>
  <si>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</si>
  <si>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</si>
  <si>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Tenaga Kerja Outsourcing Bandar Udara Internasional Sultan Syarif Kasim II_PKU</t>
  </si>
  <si>
    <t>PJJ.03.02.02/07/08/2024/0172 ; 30/8/2024</t>
  </si>
  <si>
    <t>Proses addendum I UMK &amp; Tunjangan Uang makan, Menunggu Draft Addendum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</si>
  <si>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</si>
  <si>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</si>
  <si>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</si>
  <si>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</si>
  <si>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</si>
  <si>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</si>
  <si>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TNJ</t>
  </si>
  <si>
    <t>Pengadaan Jasa Tenaga Kerja Outsourcing Airport Maintenance Penunjang Operasional di Bandara Raja Haji Fisabilillah Tanjung Pinang - TNJ</t>
  </si>
  <si>
    <t>PJJ.03.02.02/10/04/2024/0019; 03/04/2024</t>
  </si>
  <si>
    <t>PJJ.03.02/10/04/2024/0019; 03 April 2024</t>
  </si>
  <si>
    <r>
      <rPr>
        <rFont val="Montserrat"/>
        <color rgb="FF000000"/>
        <sz val="10.0"/>
        <u/>
      </rPr>
      <t>PJJ.TNJ.GM</t>
    </r>
    <r>
      <rPr>
        <rFont val="Montserrat"/>
        <color rgb="FF000000"/>
        <sz val="10.0"/>
      </rPr>
      <t>.0010/I/2025; 28/01/2025</t>
    </r>
  </si>
  <si>
    <r>
      <rPr>
        <rFont val="Montserrat"/>
        <color rgb="FF000000"/>
        <sz val="10.0"/>
        <u/>
      </rPr>
      <t>PJJ.TNJ.GM</t>
    </r>
    <r>
      <rPr>
        <rFont val="Montserrat"/>
        <color theme="1"/>
        <sz val="10.0"/>
      </rPr>
      <t>.0104/PL.02.03/2025; 23/04/2025</t>
    </r>
  </si>
  <si>
    <t>Proses BA Kesepakatan dan draft kontrak di Apindo</t>
  </si>
  <si>
    <t>31-Aug-2025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</si>
  <si>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</si>
  <si>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</si>
  <si>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Tenaga Kerja Outsourcing Security dan Non Security penunjang opersional Bandara Raja Fisabilillah Tanjung Pinang - TNJ</t>
  </si>
  <si>
    <t>PJJ.03.02.02/10/04/2024/0018 ; 03 April 2024</t>
  </si>
  <si>
    <t>PJJ.03.02.02/10/05/2024/0043 ; 13 Mei 2024</t>
  </si>
  <si>
    <r>
      <rPr>
        <rFont val="Montserrat"/>
        <color rgb="FF000000"/>
        <sz val="10.0"/>
        <u/>
      </rPr>
      <t>PJJ.TNJ.GM</t>
    </r>
    <r>
      <rPr>
        <rFont val="Montserrat"/>
        <color rgb="FF000000"/>
        <sz val="10.0"/>
      </rPr>
      <t>.0009/I/2025; 28/02/2025</t>
    </r>
  </si>
  <si>
    <r>
      <rPr>
        <rFont val="Montserrat"/>
        <color rgb="FF000000"/>
        <sz val="10.0"/>
        <u/>
      </rPr>
      <t>PJJ.TNJ.GM</t>
    </r>
    <r>
      <rPr>
        <rFont val="Montserrat"/>
        <color theme="1"/>
        <sz val="10.0"/>
      </rPr>
      <t>.0105/PL.02.03/2025; 23/04/2025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</si>
  <si>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</si>
  <si>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</si>
  <si>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Taman Airside dan Landside Bandara Raja Fisabilillah Tanjung Pinang - TNJ</t>
  </si>
  <si>
    <t>PJJ.TNJ.GM.0074/XII/2024; 09/12/2024</t>
  </si>
  <si>
    <t xml:space="preserve">Proses Penawaran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</si>
  <si>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</si>
  <si>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</si>
  <si>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(Cleaning Service) Bandara Raja Haji Fisabilillah - TNJ</t>
  </si>
  <si>
    <t>PJJ.TNJ.GM.0078/XII/2024; 01/01/2025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</si>
  <si>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</si>
  <si>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</si>
  <si>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</si>
  <si>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</si>
  <si>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</si>
  <si>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</si>
  <si>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DJB</t>
  </si>
  <si>
    <t>Pekerjaan Jasa Kebersihan (Cleaning Service) Gedung Terminal Bandara Sultan Thaha Jambi Tahun 2024_DJB</t>
  </si>
  <si>
    <t>PJJ.04.04.01/12/04/2024/0014</t>
  </si>
  <si>
    <t>PJJ.04.04.01/12/04/2024/0014; 01/04/2024</t>
  </si>
  <si>
    <r>
      <rPr>
        <rFont val="Montserrat"/>
        <color rgb="FF1155CC"/>
        <sz val="10.0"/>
        <u/>
      </rPr>
      <t>PJJ.DJB.GM</t>
    </r>
    <r>
      <rPr>
        <rFont val="Montserrat"/>
        <color rgb="FFFF0000"/>
        <sz val="10.0"/>
      </rPr>
      <t>.0103/HK.04/2025; 27/3/2025</t>
    </r>
  </si>
  <si>
    <t>draft kontrak add masih menunggu dari apindo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</si>
  <si>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</si>
  <si>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</si>
  <si>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Tenaga Pengamanan di lingkungan Bandara Sultan Thaha Jambi- DJB</t>
  </si>
  <si>
    <t>PJJ.04.04.01/12/04/2024/0016</t>
  </si>
  <si>
    <t>PJJ.04.04.01/12/04/2024/0016; 01/04/2024</t>
  </si>
  <si>
    <r>
      <rPr>
        <rFont val="Montserrat"/>
        <color rgb="FF000000"/>
        <sz val="10.0"/>
        <u/>
      </rPr>
      <t>PJJ.DJB.GM</t>
    </r>
    <r>
      <rPr>
        <rFont val="Montserrat"/>
        <color rgb="FF000000"/>
        <sz val="10.0"/>
      </rPr>
      <t>.0102/HK.04/2025</t>
    </r>
  </si>
  <si>
    <t>masih belum terbit BAK, hanya berupa BA evaluasi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</si>
  <si>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</si>
  <si>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</si>
  <si>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Personil pendukung ARFF di lingkungan Bandara Sultan Thaha Jambi- DJB</t>
  </si>
  <si>
    <t>SPBJ.DJB.V.AC.0076/PL.02.03/2025; 26/6/2025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</si>
  <si>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</si>
  <si>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</si>
  <si>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</si>
  <si>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</si>
  <si>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</si>
  <si>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</si>
  <si>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TKG</t>
  </si>
  <si>
    <t>Pengadaan Jasa Kebersihan (Cleaning Service) Di Bandara Radin Inten II Lampung _TKG</t>
  </si>
  <si>
    <t>PJJ.06.02/17/03/2024/0009; 28/03/2024</t>
  </si>
  <si>
    <r>
      <rPr>
        <rFont val="Montserrat"/>
        <color rgb="FF000000"/>
        <sz val="10.0"/>
        <u/>
      </rPr>
      <t>PJJ.TKG.GM</t>
    </r>
    <r>
      <rPr>
        <rFont val="Montserrat"/>
        <color rgb="FF000000"/>
        <sz val="10.0"/>
      </rPr>
      <t>.0105/KP.02/2025; 27/03/2025</t>
    </r>
  </si>
  <si>
    <t>proses TTD BAK di GM APINDO TKG</t>
  </si>
  <si>
    <t>PJJ.TKG.GM.0109/PL.02.03/2025; 30-6-2025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</si>
  <si>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</si>
  <si>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</si>
  <si>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Penyedia Jasa Pengelolaan Tenaga Kerja Penunjang Di Kantor Cabang Bandar Udara Radin Inten II_TKG</t>
  </si>
  <si>
    <t>PJJ.06.02.03/17/03/2024/0012; 29/03/2024</t>
  </si>
  <si>
    <t>PJJ.06.02.03/17/07/2024/0027; 01/07/2024</t>
  </si>
  <si>
    <t>Addendum Penyesuaian Paket Lembur</t>
  </si>
  <si>
    <r>
      <rPr>
        <rFont val="Montserrat"/>
        <color rgb="FF1155CC"/>
        <sz val="10.0"/>
        <u/>
      </rPr>
      <t>PJJ.TKG.GM</t>
    </r>
    <r>
      <rPr>
        <rFont val="Montserrat"/>
        <color rgb="FF000000"/>
        <sz val="10.0"/>
      </rPr>
      <t>.0103/KP.02/2025; 24/03/2025</t>
    </r>
  </si>
  <si>
    <t>proses kirim dan ttd BAK oleh GM APINDO TKG</t>
  </si>
  <si>
    <r>
      <rPr>
        <rFont val="Montserrat"/>
        <color rgb="FFFF0000"/>
        <sz val="10.0"/>
        <u/>
      </rPr>
      <t>PJJ.TKG.GM</t>
    </r>
    <r>
      <rPr>
        <rFont val="Montserrat"/>
        <color rgb="FFFF0000"/>
        <sz val="10.0"/>
      </rPr>
      <t>.0110/PL.02.03/2025; 30/06/2025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</si>
  <si>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</si>
  <si>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</si>
  <si>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Pembangunan PLTS di Lampung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</si>
  <si>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</si>
  <si>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</si>
  <si>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</si>
  <si>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</si>
  <si>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</si>
  <si>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</si>
  <si>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PGK</t>
  </si>
  <si>
    <t>Pekerjaan Cleaning Service Bandar Udara Depati Amir Tahun 2024_PGK</t>
  </si>
  <si>
    <t>PJJ.12.01.03/11/04/2024/0032; 30/04/2024</t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</si>
  <si>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.0123/XII/2024; 27/12/2024</t>
    </r>
  </si>
  <si>
    <t>Draft Addendum 3 di Legal IASS 
TMT PGK ke Region 17 Juni 2025</t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</si>
  <si>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.0019/II/2025; 27/02/2025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</si>
  <si>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</si>
  <si>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</si>
  <si>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Pengelolaan Jasa Pengamanan (Airport Security) Bandar Udara Depati Amir Pangkalpinang _PGK</t>
  </si>
  <si>
    <t>PJJ.03.02.02/11/04/2024/0033; 30/04/2024</t>
  </si>
  <si>
    <t>PJJ.03.02.02/11/08/2024/0066; 01/08/2024</t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</si>
  <si>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.0117/XII/2024; 31/12/2024</t>
    </r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</si>
  <si>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.0113/KP.05/2025; 27/03/2025</t>
    </r>
  </si>
  <si>
    <t>Proses e-takkah apindo 
Surat kesanggupan TMT 30 Juni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</si>
  <si>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</si>
  <si>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</si>
  <si>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Kerjasama Jasa Pelayanan Bandara Depati Amir - Bangka _PGK</t>
  </si>
  <si>
    <t>PJJ.03.02.02/11/03/2024/0017; 01/03/2024</t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</si>
  <si>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.0103/X/2024; 31/10/2024</t>
    </r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</si>
  <si>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.0124/XII/2024; 31/12/2024</t>
    </r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</si>
  <si>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.0104/KP.05/2025; 26/03/2024</t>
    </r>
  </si>
  <si>
    <t>Proses e-takkah apindo
Proses BAK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</si>
  <si>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</si>
  <si>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</si>
  <si>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Tenaga Bantu Kebersihan dan Perawatan Fasilitas EME 2024 _PGK</t>
  </si>
  <si>
    <t>PJJ.14.07/11/03/2024/0018</t>
  </si>
  <si>
    <t>PJJ.14.07/11/03/2024/0018; 01/03/2024</t>
  </si>
  <si>
    <r>
      <rPr>
        <rFont val="Montserrat"/>
        <color rgb="FF000000"/>
        <sz val="10.0"/>
        <u/>
      </rPr>
      <t>PJJ.PGK.GM</t>
    </r>
    <r>
      <rPr>
        <rFont val="Montserrat"/>
        <color rgb="FF000000"/>
        <sz val="10.0"/>
      </rPr>
      <t>.0014/II/2025; 28/02/2025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</si>
  <si>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</si>
  <si>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</si>
  <si>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Tenaga Kerja Bantu Kebersihan dan Perawatan Fasilitas airport technology 2025 Bandar Udara Depati Amir Pangkalpinang _PGK</t>
  </si>
  <si>
    <r>
      <rPr>
        <rFont val="Montserrat"/>
        <color rgb="FF000000"/>
        <sz val="10.0"/>
        <u/>
      </rPr>
      <t>PJJ.PGK.V.AT</t>
    </r>
    <r>
      <rPr>
        <rFont val="Montserrat"/>
        <color rgb="FF000000"/>
        <sz val="10.0"/>
      </rPr>
      <t>.0102/PR.03.01.02/2025; 13/03/2025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</si>
  <si>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</si>
  <si>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</si>
  <si>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Pemeliharaan dan Perawatan Gedung Terminal &amp; Non Terminal Bandara Depati Amir</t>
  </si>
  <si>
    <t>PJJ.PGK.V.AT.0107/TK.10/2025; 28/05/2025</t>
  </si>
  <si>
    <t xml:space="preserve">Review legal IASS 
TMT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</si>
  <si>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</si>
  <si>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</si>
  <si>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</si>
  <si>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</si>
  <si>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</si>
  <si>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</si>
  <si>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TJQ</t>
  </si>
  <si>
    <t>Pekerjaan Jasa Kebersihan Gedung Terminal Dan Perkantoran Bandara Internasional H.As.Hanandjoeddin Belitung _TJQ</t>
  </si>
  <si>
    <t>PJJ.06.02.03/18/07/2024/0014; 01/07/2024</t>
  </si>
  <si>
    <t>PJJ.TJQ.GM.0018/XII/2024; 31/12/2024</t>
  </si>
  <si>
    <t xml:space="preserve">Proses surat kesanggupan di Region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</si>
  <si>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</si>
  <si>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</si>
  <si>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Penyedia Jasa Pengelolaan Tenaga Kerja Penunjang Di Bandara Has Hanandjoeddin Belitung_TJQ</t>
  </si>
  <si>
    <t>PJJ.03.02.02/18/02/2024/0002; 29/02/2024</t>
  </si>
  <si>
    <t>PJJ.TJQ.GM.0017/XII/2024; 31/12/2024</t>
  </si>
  <si>
    <r>
      <rPr>
        <rFont val="Montserrat"/>
        <color rgb="FF000000"/>
        <sz val="10.0"/>
        <u/>
      </rPr>
      <t>PJJ.TJQ.GM</t>
    </r>
    <r>
      <rPr>
        <rFont val="Montserrat"/>
        <color rgb="FF000000"/>
        <sz val="10.0"/>
      </rPr>
      <t>.01.03/PL.02.03/2025; 27/03/2024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</si>
  <si>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</si>
  <si>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</si>
  <si>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Penyempurnaan Fasilitas Airfield Lighting System (AFL)</t>
  </si>
  <si>
    <t xml:space="preserve">PJJ.14.05/18/09/2024/0015; 9/9/2024 </t>
  </si>
  <si>
    <t>Sudah ditagihkan 95%
Retensi 5% akan ditagihkan bulan Juli 2025</t>
  </si>
  <si>
    <r>
      <rPr>
        <rFont val="Montserrat"/>
        <color rgb="FF00B050"/>
        <sz val="10.0"/>
        <u/>
      </rPr>
      <t>PJJ.TJQ.GM</t>
    </r>
    <r>
      <rPr>
        <rFont val="Montserrat"/>
        <color rgb="FF00B050"/>
        <sz val="10.0"/>
      </rPr>
      <t>.0020/XI/2024; 11/11/2024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</si>
  <si>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</si>
  <si>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</si>
  <si>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</si>
  <si>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</si>
  <si>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</si>
  <si>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</si>
  <si>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HLP</t>
  </si>
  <si>
    <t>Pekerjaan Pemeliharaan Kebersihan Terminal Penumpang Beserta Seluruh Fasilitasnya Bandara Halim Perdanakusuma _HLP</t>
  </si>
  <si>
    <t>KSO.HLP-SPK.015/III/2024 ; 24/3/24</t>
  </si>
  <si>
    <t>Belum ada keputusan dari KSO untuk anggaran 2025</t>
  </si>
  <si>
    <t>Proses Penunjukan Langsung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</si>
  <si>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</si>
  <si>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</si>
  <si>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Kebersihan Gedung Non Terminal Di Bandara Halim Perdanakusuma _HLP</t>
  </si>
  <si>
    <t>KSO.HLP-SPK.022/III/2025 ; 21/3/25</t>
  </si>
  <si>
    <t>Proses Review Legal (25/7/2025)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</si>
  <si>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</si>
  <si>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</si>
  <si>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Tenaga Pelayanan Di Bandara Halim Perdanakusuma_HLP (KSO)</t>
  </si>
  <si>
    <t>KSO.HLP-SPK.091/XII/2024 ; 31/12/24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</si>
  <si>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</si>
  <si>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</si>
  <si>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Tenaga Pelayanan Di Bandara Halim Perdanakusuma_HLP (ATS)</t>
  </si>
  <si>
    <t>Perubahan durasi dari 12 bulan menjadi 6 bulan, mulai Juli personil under ATS
Menunggu kontrak dari ATS</t>
  </si>
  <si>
    <t>BA Nego nomor : 010-1/BA/VIC/XII/2024
31 Desember 2024</t>
  </si>
  <si>
    <t>31-Juni-2025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</si>
  <si>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</si>
  <si>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</si>
  <si>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Pelayanan Keamanan &amp; Keselamatan di Bandara Halim Perdanakusuma_HLP</t>
  </si>
  <si>
    <t>KSO.HLP-SPK.092/XII/2024 ; 31/12/24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</si>
  <si>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</si>
  <si>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</si>
  <si>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Maintenance Terminal &amp; General Building Tahun 2025 Di Bandara Halim Perdanakusuma_HLP</t>
  </si>
  <si>
    <t>KSO.HLP-SPK.011/II/2025 ; 18/2/25</t>
  </si>
  <si>
    <t>Kontrak jadi 25 Juli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</si>
  <si>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</si>
  <si>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</si>
  <si>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Operation Dan Maintenance Peralatan Elektrikal Dan Mekanikal Tahun 2025 HLP_HLP</t>
  </si>
  <si>
    <t>KSO.HLP-SPK.010/II/2025 ; 18/2/25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</si>
  <si>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</si>
  <si>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</si>
  <si>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Kebersihan Halaman Perkantoran dan Halaman Lainnya, Pengangkutan Sampah ke TPA Tahun 2025 di Bandara Halim Perdanakusuma</t>
  </si>
  <si>
    <t>KSO.HLP-SPK.088/XII/2024 ; 31/12/24</t>
  </si>
  <si>
    <t>Kontrak jadi 5 Mei 2025
Tagihan 20 juni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</si>
  <si>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</si>
  <si>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</si>
  <si>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Fasilitas Sisi Udara dan Aksesibilitas di Bandara Halim Perdana Kusuma tahun 2025-HLP</t>
  </si>
  <si>
    <t>KSO.HLP-SPK.083/XII/2024 ; 31/12/24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</si>
  <si>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</si>
  <si>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</si>
  <si>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Pekerja Alih Daya Mekanik di Bandara Halim Perdana Kusuma - HLP</t>
  </si>
  <si>
    <t>GP/US/PERJ.1-096/DEC/2024
24 Desember 2024</t>
  </si>
  <si>
    <t>Menunggu draft kontrak dari Gapura</t>
  </si>
  <si>
    <t>BA Negosiasi : BAC.GAPURA/08/05/2025/0004
20 Juni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</si>
  <si>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</si>
  <si>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</si>
  <si>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Penataan Gedung Terminal untuk Peningkatan Pelayanan di Bandara Halim Perdanakusuma</t>
  </si>
  <si>
    <t>KSO.HLP-SPK.059/XII/2023 ; 29/12/23</t>
  </si>
  <si>
    <t>KSO.HLP-SPK.073-1/X/2024 ; 25/10/24</t>
  </si>
  <si>
    <t>Proses addendum 2 (posisi ada di panpel menunggu negosiasi)</t>
  </si>
  <si>
    <t>Penawaran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</si>
  <si>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</si>
  <si>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</si>
  <si>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</si>
  <si>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t>JKT</t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</si>
  <si>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</si>
  <si>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t>HLP/JKT</t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</si>
  <si>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</si>
  <si>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</si>
  <si>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CGK</t>
  </si>
  <si>
    <t>Pekerjaan Jasa Kebersihan Gedung Terminal 1, 2 &amp; 3 Bandara Internasional Soekarno-Hatta  _CGK</t>
  </si>
  <si>
    <t>PJJ.14.10.02/01/06/2023/0623 ; 30/06/2023</t>
  </si>
  <si>
    <t>PJJ.14.10.02/01/03/2024/0340 ; 12/03/2024</t>
  </si>
  <si>
    <t>PJJ.14.10.02/01/05/2024/0638 ; 30/05.2024</t>
  </si>
  <si>
    <t>PJJ.14.10.02/01/06/2024/1333 ; 28/06/2024</t>
  </si>
  <si>
    <r>
      <rPr>
        <rFont val="Montserrat"/>
        <color rgb="FF1155CC"/>
        <sz val="10.0"/>
        <u/>
      </rPr>
      <t>PJJ.CGK.GM</t>
    </r>
    <r>
      <rPr>
        <rFont val="Montserrat"/>
        <color rgb="FFFF0000"/>
        <sz val="10.0"/>
      </rPr>
      <t>.1520/IX/2024 ; 30/09/2024</t>
    </r>
  </si>
  <si>
    <r>
      <rPr>
        <rFont val="Montserrat"/>
        <color rgb="FF1155CC"/>
        <sz val="10.0"/>
        <u/>
      </rPr>
      <t>PJJ.CGK.GM</t>
    </r>
    <r>
      <rPr>
        <rFont val="Montserrat"/>
        <color rgb="FFFF0000"/>
        <sz val="10.0"/>
      </rPr>
      <t>.0109/PL.02.03/2025 ; 29/04/2025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</si>
  <si>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</si>
  <si>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</si>
  <si>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Gedung Terminal Kargo Bandara Internasional Soekarno-Hatta _CGK</t>
  </si>
  <si>
    <t>IAS.126-A.21.02/SP.22.01/2024/DCC Tanggal 17 Mei 2024</t>
  </si>
  <si>
    <t>Belum dibayarkan dari Periode Juni 2024 s.d Desember 2024</t>
  </si>
  <si>
    <t>Surat Penawarai Tertanggal ... di sampaikan tgl ..07 Mei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</si>
  <si>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</si>
  <si>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</si>
  <si>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Mega Lounge Bandara Internasional Soekarno-Hatta _CGK</t>
  </si>
  <si>
    <t>IASH</t>
  </si>
  <si>
    <t>SPK/KSO/APSGLOBAL/IASS/November/2024/001 ; 30/11/2024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</si>
  <si>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</si>
  <si>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</si>
  <si>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HR</t>
  </si>
  <si>
    <t>Pekerjaan Jasa Kebersihan Gedung ACS Bandara Internasional Soekarno-Hatta_CGK</t>
  </si>
  <si>
    <t>8060/PERJ-BJO/ACS/VI/2024 ; 26/7/24</t>
  </si>
  <si>
    <t>Sudah negosiasi (Menunggu feedback)</t>
  </si>
  <si>
    <t>Proses addendum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</si>
  <si>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</si>
  <si>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</si>
  <si>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Pengendapan Taksi Bandara Internasional Soekarno-Hatta_CGK</t>
  </si>
  <si>
    <t>Rev sharing 35%</t>
  </si>
  <si>
    <t>PJJ.04.04/00/08/2023/0407 ; 31/01/2023</t>
  </si>
  <si>
    <t>Kesanggupan tgl 19 Januari 2025 Rp 14.003.084.459</t>
  </si>
  <si>
    <t>Rev Sharing 25 : 75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</si>
  <si>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</si>
  <si>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</si>
  <si>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Sport Center_</t>
  </si>
  <si>
    <t>Sport Center</t>
  </si>
  <si>
    <t>Tidak dilanjutkan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</si>
  <si>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</si>
  <si>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</si>
  <si>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</si>
  <si>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</si>
  <si>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Tenaga Kerja (Outsourcing) di Lingkungan PT. Integrasi Aviasi Solusi - IAS</t>
  </si>
  <si>
    <t>IAS.036.21.02/SP.16.00/2024/DU ; 17/5/24</t>
  </si>
  <si>
    <t>Invoice Juni 2024 - Desember 2024 belum dibayarkan</t>
  </si>
  <si>
    <t>PROSES REVIEW KONTRAK</t>
  </si>
  <si>
    <t>Proses tanda tangan direksi IAS</t>
  </si>
  <si>
    <t>BWX</t>
  </si>
  <si>
    <t>KJT</t>
  </si>
  <si>
    <t>PNK</t>
  </si>
  <si>
    <t>CGK - CSA</t>
  </si>
  <si>
    <t>CGK - CARGO BUSINESS GD 528</t>
  </si>
  <si>
    <t>CGK - GUDANG 530</t>
  </si>
  <si>
    <t>CGK - GUDANG 540</t>
  </si>
  <si>
    <t>CGK - KANTOR PUSAT</t>
  </si>
  <si>
    <t>CGK - REGULATED AGENT</t>
  </si>
  <si>
    <t>CGK - TRADING &amp; SUPPLY CHAIN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</si>
  <si>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</si>
  <si>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</si>
  <si>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Kerja sama pengelolaan dan penyediaan jasa keamanan antara PT Citilink Indonesia dengan PT APS_Citilink</t>
  </si>
  <si>
    <t>CITILINK/JKTFLQG/PERJ-6201/1022; 9/11/22 
CITILINK/JKTGQG/AMEND-1/01/6201/1223; 11/1/24</t>
  </si>
  <si>
    <t>CITILINK/JKTIGQG/AMEND-II/01/6201/0624; 20/3/24</t>
  </si>
  <si>
    <t>CITILINK/JKTIGQG/AMEND-III/01/6201/0125 ; 10/2/25</t>
  </si>
  <si>
    <t>Menunggu pengumuman pemenang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</si>
  <si>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</si>
  <si>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</si>
  <si>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Kerjasama Penyedia Jasa Aviation Security di Bandara Soekarno Hatta - CGK</t>
  </si>
  <si>
    <t>PJJ.03.02.02/01/12/2023/1481</t>
  </si>
  <si>
    <t>PJJ.CGK.A.PR.1804/XII/2024 ; 31/12/2024</t>
  </si>
  <si>
    <r>
      <rPr>
        <rFont val="Montserrat"/>
        <color rgb="FF000000"/>
        <sz val="10.0"/>
        <u/>
      </rPr>
      <t>PJJ.CGK.GM</t>
    </r>
    <r>
      <rPr>
        <rFont val="Montserrat"/>
        <color rgb="FF000000"/>
        <sz val="10.0"/>
      </rPr>
      <t>.0103/PL.02.03/2025 : 27/03/2025</t>
    </r>
  </si>
  <si>
    <t>Menunggu draft kontrak dari apindo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</si>
  <si>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</si>
  <si>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</si>
  <si>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SDM  Aviation Security_Gapura</t>
  </si>
  <si>
    <t>GP/US/ADD.II.2-091/SEP/2024 ; 26 September 2024</t>
  </si>
  <si>
    <t>Proses negosiasi addendum UMK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</si>
  <si>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</si>
  <si>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</si>
  <si>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Keamanan Sisi Darat dan Udara Hanggar FL Technics Bandara Internasional Soekarno-Hatta_FL Technics</t>
  </si>
  <si>
    <t>PTATD-AO-C-2024-06-04/371 ; 4/6/24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</si>
  <si>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</si>
  <si>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</si>
  <si>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Penyedia Jasa  Man Power Contact Center Operation &amp; Support Bandara Soekarno Hatta _ CGK</t>
  </si>
  <si>
    <t>PJJ.06.02.03/00/12/2023/0725 ; 29/12/2023</t>
  </si>
  <si>
    <t>periode Oktober 2024 s.d Desember 2024 (sudah invoice belum dibayarkan)</t>
  </si>
  <si>
    <t>PJJ.DHH.1323/XII/2024; 24/12/2024</t>
  </si>
  <si>
    <t>menunggu surat konfirmasi Addendum dari Apindo pusat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</si>
  <si>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</si>
  <si>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</si>
  <si>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Penyedia Jasa Tenaga Kerja Penunjang Komersial, Cargo Village &amp; Protokoler Bandara Soekarno Hatta - CGK</t>
  </si>
  <si>
    <t>PJJ.06.02.03/00/04/2024/1015 ; 30/04/2024</t>
  </si>
  <si>
    <t>PJJ.DHH.1344/X/2024; 31/12/2024</t>
  </si>
  <si>
    <t>menunggu surat konfirmasi Addendum dan pembayaran dari Apindo pusat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</si>
  <si>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</si>
  <si>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</si>
  <si>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Penyedia Jasa Pengumpul Baki Bagasi Terminal 3 Bandara Soekarno Hatta - CGK_</t>
  </si>
  <si>
    <t>PJJ.12.01/01/11/2023/1248 ; 30/11/2023</t>
  </si>
  <si>
    <t>PJJ.CGK.A.LP.1857/XI/2024; 06 /11/2024</t>
  </si>
  <si>
    <t>PJJ.CGK.A.LP.0176/II/2025 ; 27/02/2025</t>
  </si>
  <si>
    <t>Surat Permohonan Perpanjangan kontrak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</si>
  <si>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</si>
  <si>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</si>
  <si>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Pelayanan Jasa Pengumpul Trolley Terminal 1, 2 ,3 dan Shelter APMS Bandara Internasional Soekarno - Hatta</t>
  </si>
  <si>
    <t>PJJ.12.03/01/10/2023/0984 ; 01/10/2024</t>
  </si>
  <si>
    <r>
      <rPr>
        <rFont val="Montserrat"/>
        <color rgb="FF1155CC"/>
        <sz val="10.0"/>
        <u/>
      </rPr>
      <t>PJJ.CGK.GM</t>
    </r>
    <r>
      <rPr>
        <rFont val="Montserrat"/>
        <color theme="1"/>
        <sz val="10.0"/>
      </rPr>
      <t>.Y.1836/X/2024 ; 01/10/2024</t>
    </r>
  </si>
  <si>
    <r>
      <rPr>
        <rFont val="Montserrat"/>
        <color rgb="FF1155CC"/>
        <sz val="10.0"/>
        <u/>
      </rPr>
      <t>PJJ.CGK.GM</t>
    </r>
    <r>
      <rPr>
        <rFont val="Montserrat"/>
        <color theme="1"/>
        <sz val="10.0"/>
      </rPr>
      <t>.1910/XII/2025 : 20/12/2024</t>
    </r>
  </si>
  <si>
    <t>proses revisi dokumen penawaran oleh komersil region 2 (redaksional)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</si>
  <si>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</si>
  <si>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</si>
  <si>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Operation Dan Maintenance Unit Water Treatment Bandara Soekarno Hatta (601)_CGK</t>
  </si>
  <si>
    <t>PJJ.14.08/01/08/2024/1083 ; 21/08/2024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</si>
  <si>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</si>
  <si>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</si>
  <si>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Pengoperasian Dan Pemeliharaan Instalasi listrik Unit Facility Terminal-1 Di Bandara Soeta (601)_CGK</t>
  </si>
  <si>
    <t>PJJ.14.06.01/12/2023/1363; 27/12/2023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</si>
  <si>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</si>
  <si>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</si>
  <si>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Pengoperasian Dan Pemeliharaan Instalasi Listrik Unit Facility Non Terminal Di Bandara Soeta _CGK</t>
  </si>
  <si>
    <t>PJJ.14.06/01/11/2023/1375 Tanggal 27 November 2023</t>
  </si>
  <si>
    <t>digabung ke 47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</si>
  <si>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</si>
  <si>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</si>
  <si>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Pengoperasian Dan Pemeliharaan Instalasi Listrik Main Power Station, Electrical Network, Elektrical Protection Visual AIDS, UPS &amp; Rectifier, High &amp; Medium Voltage Di Bandara Soeta (601)_CGK</t>
  </si>
  <si>
    <t>PJJ.14.06/01/12/2023/1412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</si>
  <si>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</si>
  <si>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</si>
  <si>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Pengoperasian Dan Pemeliharaan Fasilitas Peralatan Elektrikal, Mekanikal dan Elektronika Di Terminal 3 Bandara Soekarno-Hatta_CGK</t>
  </si>
  <si>
    <t>PJJ.14.07/01/02/2024/0084 Tanggal 01 Februari 2024 dan PJJ.CGK.GM.1626/IX/2024 Tanggal 30 September 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</si>
  <si>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</si>
  <si>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</si>
  <si>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Pengoperasian dan Pemeliharaan Peralatan Airport Electrical Services Bandara Internasional Soekarno-Hatta - CGK</t>
  </si>
  <si>
    <t>PJJ.CGK.GM.0131/II/2025 ; 13/02/2025</t>
  </si>
  <si>
    <t>gabungan kontrak No. 22, 23, 26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</si>
  <si>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</si>
  <si>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</si>
  <si>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Pengoperasian Dan Pemeliharaan Peralatan Travelator, Escalator &amp; Elevator Dan Garbarata Terminal-2 Di Bandara Soeta_CGK</t>
  </si>
  <si>
    <t>PJJ.CGK.V.RB.1416/IX/2024 ; 30/09/2024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</si>
  <si>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</si>
  <si>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</si>
  <si>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Pengoperasian Dan Pemeliharaan Instalasi Listrik Unit Facility Terminal 2 Di Bandara Soeta _CGK</t>
  </si>
  <si>
    <t>PJJ.14.06/01/07/2024/0464 ; 23/07/2024</t>
  </si>
  <si>
    <t>Surat Permohonan perpanjangan kontrak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</si>
  <si>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</si>
  <si>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</si>
  <si>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Maintenance Unit Water Treatment dan Sanitation Terminal 3 Bandara Soeta_CGK</t>
  </si>
  <si>
    <t>PJJ.14.08/01/02/2024/0078 ; 01 /02/2024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</si>
  <si>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</si>
  <si>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</si>
  <si>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Kerjasama Parkir Inap 2 Bandara Soeta - CGK</t>
  </si>
  <si>
    <t xml:space="preserve">Rev Sharing 40% </t>
  </si>
  <si>
    <t>PJJ.APP.01.04/22/04/2024/A.0045 ; 24/04/2024</t>
  </si>
  <si>
    <t>Biaya Konsesi 20% dari Rp 300.000.000</t>
  </si>
  <si>
    <t>PJJ.15.02/01/03/2024/0330 ; 12/03/2024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</si>
  <si>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</si>
  <si>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</si>
  <si>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Kerjasama Parkir TOD M1 Bandara Soeta - CGK</t>
  </si>
  <si>
    <t>Rev Sharing 30%</t>
  </si>
  <si>
    <t>PJJ.APP.01.04/22/04/2024/A.0046 ; 23/04/2024</t>
  </si>
  <si>
    <t>Proses Addendum kontrak (Menunggu proses draft HOA)</t>
  </si>
  <si>
    <t>Biaya konsesi 17,5% dari Rp 815.625.000 (MOB)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</si>
  <si>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</si>
  <si>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</si>
  <si>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Gedung Non-Terminal Bandara Soekarno Hatta - CGK</t>
  </si>
  <si>
    <t>PJJ.14.10.02/01/10/2023/0994</t>
  </si>
  <si>
    <t>Kontrak selesai dan sudah gabung ke Kebersihan Terminal BSH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</si>
  <si>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</si>
  <si>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</si>
  <si>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Terpadu  Gedung 600 Kantor Pusat Bandara Internasional Soekarno-Hatta PT API</t>
  </si>
  <si>
    <t>PJJ.06.02.03/00/09/2023/0485 ; 29/09/2023</t>
  </si>
  <si>
    <t>PJJ.06.02.01/00/06/2024/0289 ; 03/06/2024</t>
  </si>
  <si>
    <t>PJJ.DHC.1075/IX/2024 ; 27/09/2024</t>
  </si>
  <si>
    <t>PJJ.DHC.1368/XII/2024 ; 30/12/2024</t>
  </si>
  <si>
    <t>Pekerjaan Pemeliharaan Terpadu  Gedung 600 Kantor Cabang Bandara Internasional Soekarno-Hatta PT API</t>
  </si>
  <si>
    <t>PJJ..CGK.A.PR.0101/PL.02.03/2025 ; 27/03/2025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</si>
  <si>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</si>
  <si>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</si>
  <si>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gedung Kantor ALC - CGK</t>
  </si>
  <si>
    <t>Kontrak Selesai</t>
  </si>
  <si>
    <t>pindah ke AP Support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</si>
  <si>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</si>
  <si>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</si>
  <si>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Perawatan Rumah Dinas walikota &amp; wakil walikota Tangsel</t>
  </si>
  <si>
    <t>Kontrak Selesai tidak dilanjutkan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</si>
  <si>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</si>
  <si>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</si>
  <si>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Kebersihan Sisi udara dan sisi Darat Bandara Soeta Periode 1 Tahun- CGK</t>
  </si>
  <si>
    <t>PJJ.14.11/01/05/2024/0237 ; 14/05/2024</t>
  </si>
  <si>
    <t>Proses Addendum kontrak (draft HOA) sudah diserahkan ke unit ST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</si>
  <si>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</si>
  <si>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</si>
  <si>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gedung Terpadu Basecamp Airport Construction &amp; Development PT API</t>
  </si>
  <si>
    <t>PJJ.ADF.1296/XII/2024 ; 31/12/2024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</si>
  <si>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</si>
  <si>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</si>
  <si>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Kebersihan Outdoor Sisi Darat Terminal Kargo Bandara Soekarno-Hatta Periode 1 Tahun</t>
  </si>
  <si>
    <t>PJJ.06.02.03/00/08/2024/1056 ; 30/08/2024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</si>
  <si>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</si>
  <si>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</si>
  <si>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Pendukung Proyek (TPP) di Lingkungan Airport Construction Division PT Angkasa Pura II</t>
  </si>
  <si>
    <t>PJJ.03.02.02/00/05/2024/0187 ; 30/05/2024</t>
  </si>
  <si>
    <t>TMT Juni 2025 pekerjaan digabung dengan kontrak (UPG)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</si>
  <si>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</si>
  <si>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</si>
  <si>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Kebersihan Gedung Perkantoran PT IAS Bandara Soekarno-Hatta</t>
  </si>
  <si>
    <t>IAS.118-A.21.02/SP.1602/2024/DHG ; 01 April 2024</t>
  </si>
  <si>
    <t xml:space="preserve">Sudah mengajukan permohonan perpanjangan ke IAS, menunggu konfirmasi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</si>
  <si>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</si>
  <si>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</si>
  <si>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Penyedia Jasa Non Aviation Security di Bandara Soeta - CGK</t>
  </si>
  <si>
    <t>PJJ.03.02/01/07/2023/0697 ; 31/07/2023</t>
  </si>
  <si>
    <t xml:space="preserve">PJJ.03.02.02/01/12/2023/1411 ; </t>
  </si>
  <si>
    <r>
      <rPr>
        <rFont val="Montserrat"/>
        <color rgb="FF000000"/>
        <sz val="10.0"/>
        <u/>
      </rPr>
      <t>PJJ.CGK.GM</t>
    </r>
    <r>
      <rPr>
        <rFont val="Montserrat"/>
        <color rgb="FF000000"/>
        <sz val="10.0"/>
      </rPr>
      <t>.0105./PL.02.03/2025 ; 27/03/2025</t>
    </r>
  </si>
  <si>
    <t xml:space="preserve">Addendum VI </t>
  </si>
  <si>
    <t>BA Addendum di Apindo (pic Avianti)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</si>
  <si>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</si>
  <si>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</si>
  <si>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Pengamanan Parkir di Bandara Soeta - CGK</t>
  </si>
  <si>
    <t>PJJ.03.02.02/01/12/2023/1264</t>
  </si>
  <si>
    <t>PJJ.CGK.D.HB.1805/XII/2024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</si>
  <si>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</si>
  <si>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</si>
  <si>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Facility Management diluar API - CGK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</si>
  <si>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</si>
  <si>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</si>
  <si>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Manpower Services_HR Services_Di Bandara Soeta - CGK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</si>
  <si>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</si>
  <si>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</si>
  <si>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Dan Pemasangan AC Unitary Di Area Internasional Dan Domestik T3 BSH</t>
  </si>
  <si>
    <t>ME Rental</t>
  </si>
  <si>
    <r>
      <rPr>
        <rFont val="Montserrat"/>
        <color rgb="FF000000"/>
        <sz val="10.0"/>
        <u/>
      </rPr>
      <t>PJJ.CGK.GM</t>
    </r>
    <r>
      <rPr>
        <rFont val="Montserrat"/>
        <color rgb="FF000000"/>
        <sz val="10.0"/>
      </rPr>
      <t>.0137/TK/07/2025 ; 15/05/2025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</si>
  <si>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</si>
  <si>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</si>
  <si>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OS di CGK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</si>
  <si>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</si>
  <si>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</si>
  <si>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Penunjang (Driver) - Agrenasia</t>
  </si>
  <si>
    <t>Invoice dari Okt 2024 - Maret 2025 belum terbayarkan</t>
  </si>
  <si>
    <t>001/SCM/SDO/DST/I/2025</t>
  </si>
  <si>
    <t>001/SCM/SDO/DST/II/2025</t>
  </si>
  <si>
    <t>001/SCM/SDO/DST/III/2025</t>
  </si>
  <si>
    <t>001/SCM/SDO/DST/IV/2025</t>
  </si>
  <si>
    <t>001/SCM/SDO/DST/V/2025</t>
  </si>
  <si>
    <t>Tidak dilanjutkan setelah Mei - Juni</t>
  </si>
  <si>
    <t>001/SCM/SDO/DST/VI/2025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</si>
  <si>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</si>
  <si>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</si>
  <si>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Terpadu Kantor PT Aviata Sarinah</t>
  </si>
  <si>
    <t>PJJ.INJ.07.01/23/09/2023/A.0180 ; 1/9/23</t>
  </si>
  <si>
    <t>Invoive dari september 2023 sampai agustus 2024 saat ini belum dibayarkan</t>
  </si>
  <si>
    <t>Proses tandata tangan Aviata
7/7/25 dikirim ke Aviata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</si>
  <si>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</si>
  <si>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</si>
  <si>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Tanaman Hias Kantor PT Aviata Sarinah</t>
  </si>
  <si>
    <t>PJJ.INJ.07.01/23/12/2023/A.0174 ; 1/12/23</t>
  </si>
  <si>
    <t>Invoice februari 2024 sampai November 2024 belum dibayarkan</t>
  </si>
  <si>
    <t>Proses Perpanjangan Kontrak di aviata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</si>
  <si>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</si>
  <si>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</si>
  <si>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Tenaga Keamanan di Gedung Milik Sarinah</t>
  </si>
  <si>
    <t>Market Penetration Growth</t>
  </si>
  <si>
    <t>0080/DIREKSI/PKS/VI/2024
 13 Juni 2024</t>
  </si>
  <si>
    <t>Persetujuan penambahan waktu 25/6/2025 (Menunggu draft kontrak dari sarinah)</t>
  </si>
  <si>
    <t>Proses perpanjangan kontrak</t>
  </si>
  <si>
    <t>Penawaran harga perpanjangan dari 1/8/2025 (Menunggu feedback)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</si>
  <si>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</si>
  <si>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t>Proses masa jeda kontrak baru di bulan agustus 2025</t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</si>
  <si>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</si>
  <si>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DAN PEMASANGAN LIFT GEDUNG SARINAH JAKARTA PUSAT_JKT</t>
  </si>
  <si>
    <t>SARINAH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</si>
  <si>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</si>
  <si>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</si>
  <si>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DAN PEMASANGAN AC GEDUNG SARINAH JAKARTA PUSAT_JKT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</si>
  <si>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</si>
  <si>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</si>
  <si>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SDM Outsourcing Kantor Pusat PT Gapura Angkasa</t>
  </si>
  <si>
    <t>Gapura</t>
  </si>
  <si>
    <t>Kontrak dalam proses, penawaran untuk Addendum 17/6/2025</t>
  </si>
  <si>
    <t>BAC.GAPURA/00/04/2025/0065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</si>
  <si>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</si>
  <si>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</si>
  <si>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KEAMAAN AVSEC PT. WAHANA DIRGANTARA (RPX GROUP)</t>
  </si>
  <si>
    <t>029/WDI-Avsec/LGL-PKS/VII/2024 tanggal 12 Juli 2024</t>
  </si>
  <si>
    <t>Kontrak Pekerjaan tidak dilanjutkan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</si>
  <si>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</si>
  <si>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</si>
  <si>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Airport Rescue &amp; Fire Fighting di Bandara Soeta - CGK</t>
  </si>
  <si>
    <t>PJJ.03.02.02/01/08/2024/0542</t>
  </si>
  <si>
    <t>PJJ.CGK.A.BS.1861/XII/2024; 30 DESEMBER 2024</t>
  </si>
  <si>
    <t>PJJ.CGK.A.BS.0101/PL.02.03/2025; 27 Maret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</si>
  <si>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</si>
  <si>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</si>
  <si>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Pengoperasian dan Pemeliharaan Fasilitas/Peralatan Listrik, Mekanikal dan Elektronikal/IT di Area Kargo Bandara Internasional Soekarno-Hatta - CGK</t>
  </si>
  <si>
    <t>PJJ.15.04/00/07/2024/0270 ;01/07/2024</t>
  </si>
  <si>
    <t xml:space="preserve">Invoice September 2024 s.d Desember 2024 akan disubmit tgl 14 Juli 2025 (proses tandatangan Depthead cctv) </t>
  </si>
  <si>
    <t>Kontrak selesai 30 Juni 2025</t>
  </si>
  <si>
    <t xml:space="preserve">Konfirmasi terkiat kelanjutan pekerjaan akan digabung ke pekerjaan yang mana ?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</si>
  <si>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</si>
  <si>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</si>
  <si>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Kerja sama Pekerjaan Jasa Avsec Blue Sky Lounge Terminal 1 Bandara Soeta - CGK</t>
  </si>
  <si>
    <t>IASS/BOD/PKS/XI/2024/005 ; 5/11/2024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</si>
  <si>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</si>
  <si>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</si>
  <si>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Tenaga Kerja Outsourcing Petugas Operasional Concierge Express dan Lounge (CGK + KNO)</t>
  </si>
  <si>
    <t>IASH.036/LGL.CA/II/2025 ; 25/02/2025</t>
  </si>
  <si>
    <t>Sudah mengajukan surat minat, menunggu proses konfirmasi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</si>
  <si>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</si>
  <si>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</si>
  <si>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Penyedia Jasa Tenaga Kerja Outsourcing Petugas Pengamanan di Saphire Precious Terminal 1 Bandara Soekarno Hatta _ CGK</t>
  </si>
  <si>
    <t>Proses Pengajuan Perpanjangan</t>
  </si>
  <si>
    <t>Sudah ditagihkan sampai dengan Desember 2024 (belum ada pembayaran)</t>
  </si>
  <si>
    <t>Sudah mengajukan surat minat , menunggu proses konfirmasi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</si>
  <si>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</si>
  <si>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</si>
  <si>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Keamanan Untuk PT Purantara Mitra Angkasa Dua</t>
  </si>
  <si>
    <t>20/PMAD/II/2025/DIR tanggal 11 Feb 2025</t>
  </si>
  <si>
    <t>Proses sirkuler tandatangan kedua belah pihak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</si>
  <si>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</si>
  <si>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</si>
  <si>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SDM Safety, Security &amp; Quality (SSQ) Cabang Pergudangan Bandara - Cengkareng (CGO)</t>
  </si>
  <si>
    <t>SPK.Gapura/00/10/2024/0116 tgl 18-Okt-24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</si>
  <si>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</si>
  <si>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</si>
  <si>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SDM Administrasi Operasi dan SDM Administrasi Umum di Bandara Soetta (CGK)</t>
  </si>
  <si>
    <t>Gapura/US/PERJ.1-073/OCT/2024 tgl 9 Okt 2024</t>
  </si>
  <si>
    <t>31-Ags-2026</t>
  </si>
  <si>
    <t>Proses kelengkapan dokumen tagihan periode September 2024 s.d Juni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</si>
  <si>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</si>
  <si>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</si>
  <si>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Pengoperasian dan Pemeliharaan Fasilitas Peralatan T3 Mekanikal Services BSH</t>
  </si>
  <si>
    <t>PJJ.CGK.GM.0114/II/2025 ; 12/02/2025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</si>
  <si>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</si>
  <si>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</si>
  <si>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Pengoperasian dan Pemeliharaan Peralatan Tata Udara T3 BSH</t>
  </si>
  <si>
    <r>
      <rPr>
        <rFont val="Montserrat"/>
        <color rgb="FF000000"/>
        <sz val="10.0"/>
        <u/>
      </rPr>
      <t>PJJ.CGK.GM</t>
    </r>
    <r>
      <rPr>
        <rFont val="Montserrat"/>
        <color rgb="FF000000"/>
        <sz val="10.0"/>
      </rPr>
      <t>.0113/II/2025 ; 12/02/2025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</si>
  <si>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</si>
  <si>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</si>
  <si>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Tenaga Pendukung Proyek (TPP) Airport Construction &amp; Development PT Angkasa Pura Indonesia Periode 01 Januari 2025 s.d 31 Mei 2025</t>
  </si>
  <si>
    <t>PJJ.ADF/1282/XII/2024 ; 31/12/2024</t>
  </si>
  <si>
    <t>Penyedia Jasa Tenaga Pendukung Proyek (TPP) Airport Construction &amp; Development PT Angkasa Pura Indonesia Periode 01 Juni 2025 s.d 31 Mei 2027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</si>
  <si>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</si>
  <si>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</si>
  <si>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Perbaikan Roller Chain Eskalator Dan Travelator T3 BSH</t>
  </si>
  <si>
    <t>PJJ.CGK.A.AAM.0046/I/2025</t>
  </si>
  <si>
    <t>nggak sama nilai program dan invoice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</si>
  <si>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</si>
  <si>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</si>
  <si>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Perbaikan Ducting Air Handling Unit (AHU) Dan Exhaust T3 BSH</t>
  </si>
  <si>
    <r>
      <rPr>
        <rFont val="Montserrat"/>
        <color rgb="FF000000"/>
        <sz val="10.0"/>
      </rPr>
      <t>PJJ.CGK.A.AM</t>
    </r>
    <r>
      <rPr>
        <rFont val="Montserrat"/>
        <color rgb="FF000000"/>
        <sz val="10.0"/>
      </rPr>
      <t>.0140/II/2025</t>
    </r>
  </si>
  <si>
    <t>Pekerjaan belum selesai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</si>
  <si>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</si>
  <si>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</si>
  <si>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Revitalisasi Gedung Garuda City Center Kcu. BSH</t>
  </si>
  <si>
    <r>
      <rPr>
        <rFont val="Montserrat"/>
        <color rgb="FF000000"/>
        <sz val="10.0"/>
      </rPr>
      <t>PJJ.CGK.D.AF</t>
    </r>
    <r>
      <rPr>
        <rFont val="Montserrat"/>
        <color rgb="FF000000"/>
        <sz val="10.0"/>
      </rPr>
      <t>.1701/XII/2024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</si>
  <si>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</si>
  <si>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</si>
  <si>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Penyelesaian Interior Hotel, Furniture, Fixtures &amp; Equipment (FF&amp;E) Hotel Terminal 3 Domestik Bandara Soekarno - Hatta</t>
  </si>
  <si>
    <t>PKS/0612/VI/2024;
MTS/SPK-ANARA02/NOV/2024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</si>
  <si>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</si>
  <si>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</si>
  <si>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Pembuatan Interior Ruang Kerja Angkasa Pura Indonesia</t>
  </si>
  <si>
    <t>PJJ.CGK.D.AF.1458/XII/2024; 19/12/2024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</si>
  <si>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</si>
  <si>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</si>
  <si>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Penataan Taman Smmile Center di Terminal 3 Bandara Soekarno - Hatta</t>
  </si>
  <si>
    <t xml:space="preserve">PJJ.CGK.A.PR.1479/XI/2024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</si>
  <si>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</si>
  <si>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</si>
  <si>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Pengadaan Renovasi Ruang Tunggu Lantai 3 Gedung Gapura Angkasa</t>
  </si>
  <si>
    <t>SPK.GAPURA/00/012/2024/0020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</si>
  <si>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</si>
  <si>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</si>
  <si>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Perpindahan dan Renovasi Perkantoran 2D Bandara Soekarno – Hatta</t>
  </si>
  <si>
    <t>Proses tandatangan kontrak</t>
  </si>
  <si>
    <t>-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</si>
  <si>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</si>
  <si>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</si>
  <si>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PENYEDIAAN JASA PENATAAN DAN PEMELIHARAAN TAMAN INDOOR DI TERMINAL 3 BSH _BSH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</si>
  <si>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</si>
  <si>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</si>
  <si>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Perjanjian Kerjasama Pemanfaatan Fasilitas Komersial PT Angkasa Pura II (Anara Airport Hotel Terminal 3 Internasional)</t>
  </si>
  <si>
    <t>Revenue sharing 20% Apindo ; 80% IASS dari MOB  (Rp 5.879.250.417)</t>
  </si>
  <si>
    <t>PJJ.04.04/00/12/2023/0747 ; 29/12/2023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</si>
  <si>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</si>
  <si>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</si>
  <si>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Manajemen Fee Terminal 3 Internasional</t>
  </si>
  <si>
    <t>sudah include diatas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</si>
  <si>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</si>
  <si>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</si>
  <si>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 xml:space="preserve">Grand Anara Airport Hotel Terminal 3 Domestik </t>
  </si>
  <si>
    <t>TAF Rp 1.800.000.000 ; Biaya Jasa Pengelolaan Hotel ( Basic fee 2% dari GR ; Biaya insentif pengelolaan hotel 3 s.d 5% dari GOP)</t>
  </si>
  <si>
    <t>BAC.APP.02.01.01/22/02/2024/A.0088 ; 07/02/2024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</si>
  <si>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</si>
  <si>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</si>
  <si>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Loyalty Program_</t>
  </si>
  <si>
    <t>MICE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</si>
  <si>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</si>
  <si>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</si>
  <si>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Bazar Ramadhan_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</si>
  <si>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</si>
  <si>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</si>
  <si>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Customer Happines T1 T2_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</si>
  <si>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</si>
  <si>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</si>
  <si>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Konsinyering Perusahaan_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</si>
  <si>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</si>
  <si>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</si>
  <si>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Rakernis Perusahaan_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</si>
  <si>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</si>
  <si>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</si>
  <si>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Employee Gathering_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</si>
  <si>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</si>
  <si>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</si>
  <si>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Reorientasi_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</si>
  <si>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</si>
  <si>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</si>
  <si>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Golf Tournament_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</si>
  <si>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</si>
  <si>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</si>
  <si>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BULAN K3 NASIONAL &amp; FIRE SAFETY CAMPAIGN_</t>
  </si>
  <si>
    <t>Training Center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</si>
  <si>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</si>
  <si>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</si>
  <si>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KERJASAMA PELAKSANAAN PROGRAM PELATIHAN INITIAL BASIC PK-PPK_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</si>
  <si>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</si>
  <si>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</si>
  <si>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SERVICE MONITORING MISTERY TRAVELLER_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</si>
  <si>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</si>
  <si>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</si>
  <si>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KOLABORASI TEKNIS DIKLAT IATA &amp; ICAO 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</si>
  <si>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</si>
  <si>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</si>
  <si>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PELATIHAN GADA MADYA 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</si>
  <si>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</si>
  <si>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</si>
  <si>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KOLABORASI TEKNIS DIKLAT JUNIOR PKP-PK_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</si>
  <si>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</si>
  <si>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</si>
  <si>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PROGRAM FGD (FORUM GROUP DISCUSSION)_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</si>
  <si>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</si>
  <si>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</si>
  <si>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Konsultan Pelayanan &amp; Hospitality Bandar Udara_</t>
  </si>
  <si>
    <t>Consulting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</si>
  <si>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</si>
  <si>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</si>
  <si>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penyediaan outsourcing di RPX_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</si>
  <si>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</si>
  <si>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</si>
  <si>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Maintenance_Managed Service Perangkat Keamanan dan Jaringan Data Di Kantor Pusat Angkasa Pura I_JKT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</si>
  <si>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</si>
  <si>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</si>
  <si>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CLEANING SERVICE_JKT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</si>
  <si>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</si>
  <si>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</si>
  <si>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BBM Kantor Cabang CGK</t>
  </si>
  <si>
    <t>Retail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</si>
  <si>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</si>
  <si>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</si>
  <si>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BBM &amp; Etoll Direksi AP2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</si>
  <si>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</si>
  <si>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</si>
  <si>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BBM &amp; Etoll ACD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</si>
  <si>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</si>
  <si>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</si>
  <si>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Pemasangan Kaca Film T3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</si>
  <si>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</si>
  <si>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</si>
  <si>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Sewa AC Floor Standing T3</t>
  </si>
  <si>
    <t>tidak akan terealisasi sudah masuk di AC T3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</si>
  <si>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</si>
  <si>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</si>
  <si>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Cleaning Service Purantara</t>
  </si>
  <si>
    <t>001/PKS/PMAD-IASS/IV/2025</t>
  </si>
  <si>
    <t>menunggu ttd dari purantara</t>
  </si>
  <si>
    <t>kontrak belum selesai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</si>
  <si>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</si>
  <si>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</si>
  <si>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Manpower Services Airnav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</si>
  <si>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</si>
  <si>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</si>
  <si>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 xml:space="preserve">Pengadaan Jasa SDM Air Side CGK di PT Gapura Angkasa 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</si>
  <si>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</si>
  <si>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</si>
  <si>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</si>
  <si>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</si>
  <si>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</si>
  <si>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</si>
  <si>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BDO</t>
  </si>
  <si>
    <t>Pekerjaan Jasa Kebersihan (Celaning Service) Gedung Terminal Bandara Husein Sastranegara Bandung _BDO</t>
  </si>
  <si>
    <t>PJJ.06.02/08/2024/0011 ; 28/3/2024</t>
  </si>
  <si>
    <t>Proses review add di legal IASS</t>
  </si>
  <si>
    <t>Proses add I</t>
  </si>
  <si>
    <t>31-sept-2025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</si>
  <si>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</si>
  <si>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</si>
  <si>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(Cleaning Service) Perkantoran Bandara Husein Sastranegara Bandung_BDO</t>
  </si>
  <si>
    <t>PJJ.06.06/08/03/2024/0006; 29/03/2024</t>
  </si>
  <si>
    <r>
      <rPr>
        <rFont val="Montserrat"/>
        <color rgb="FF000000"/>
        <sz val="10.0"/>
        <u/>
      </rPr>
      <t>PJJ.BDO.V.AT</t>
    </r>
    <r>
      <rPr>
        <rFont val="Montserrat"/>
        <color rgb="FF000000"/>
        <sz val="10.0"/>
      </rPr>
      <t>.0101/PL.02.03/2025; 10/03/2025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</si>
  <si>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</si>
  <si>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</si>
  <si>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Tenaga Fasilitas Bangunan Terminal Dan Bangunan Umum Bandara Husein Sastranegara Bandung _BDO</t>
  </si>
  <si>
    <t>PJJ.06.02/08/03/2024/0008; 28/03/2024</t>
  </si>
  <si>
    <r>
      <rPr>
        <rFont val="Montserrat"/>
        <color rgb="FF000000"/>
        <sz val="10.0"/>
        <u/>
      </rPr>
      <t>PJJ.BDO.GM</t>
    </r>
    <r>
      <rPr>
        <rFont val="Montserrat"/>
        <color rgb="FF000000"/>
        <sz val="10.0"/>
      </rPr>
      <t>.0105/PL.0203/2025; 10/03/2025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</si>
  <si>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</si>
  <si>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</si>
  <si>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Sisi Udara Bandara Husein Sastranegara Bandung _BDO</t>
  </si>
  <si>
    <t>PJJ.06.02/08/03/2024/0007; 28/03/2024</t>
  </si>
  <si>
    <r>
      <rPr>
        <rFont val="Montserrat"/>
        <color rgb="FF000000"/>
        <sz val="10.0"/>
        <u/>
      </rPr>
      <t>PJJ.BDO.GM</t>
    </r>
    <r>
      <rPr>
        <rFont val="Montserrat"/>
        <color rgb="FF000000"/>
        <sz val="10.0"/>
      </rPr>
      <t>.0106/PL.0203/2025; 10/03/2025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</si>
  <si>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</si>
  <si>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</si>
  <si>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Outsourcing SDM Operasional Bandara Internasional Kertajati - KJT</t>
  </si>
  <si>
    <t>1/SPJ-DIR/BIJB/XI/2023; 03/11/2023
APS/BOD/PKS/XI/2023/030</t>
  </si>
  <si>
    <t>Nov 2024 s.d April 2025 belum dibayarkan
Mei s.d Juni 2025 Proses ttd BA</t>
  </si>
  <si>
    <t>7/SPJ-DIR/BIJB/XI/2024; 1 Nov 2024
IASS/MRS/PKS/XI/2024/004.8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</si>
  <si>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</si>
  <si>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</si>
  <si>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Personil Layanan Penumpang di Stasiun KCIC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</si>
  <si>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</si>
  <si>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</si>
  <si>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</si>
  <si>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</si>
  <si>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</si>
  <si>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</si>
  <si>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PWL,SOC,SRG</t>
  </si>
  <si>
    <t>Pekerjaan Jasa Kebersihan Area Sisi Udara, Parkir, Perawatan Taman, Dan Pemotongan Rumput Bandara Jenderal Besar Soedirman Purbalingga_PWL</t>
  </si>
  <si>
    <t>PWL</t>
  </si>
  <si>
    <t>PJJ.14.10/00/04/2024/0332</t>
  </si>
  <si>
    <t>Draft kontrak di Apindo (Legal)</t>
  </si>
  <si>
    <t>Proses Addendum III</t>
  </si>
  <si>
    <t>29-Feb-2025</t>
  </si>
  <si>
    <t>ADD TERBARU PROSES REVIEW</t>
  </si>
  <si>
    <t>Periode Juli 2024 s.d Feb 2025 belum invoice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</si>
  <si>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</si>
  <si>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</si>
  <si>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Penunjang Support Manpower Avsec, PKPPK, AMC, CSO, Teknik</t>
  </si>
  <si>
    <t>PJJ.06.02.03/00/04/2023/0148; 18 April 2023</t>
  </si>
  <si>
    <t>PJJ.05.02.03/00/2024/1014; 22 April 2024</t>
  </si>
  <si>
    <t>Adendum II Legal IASS; 21 Oktober 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</si>
  <si>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</si>
  <si>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</si>
  <si>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Airfield Lighting System di Bandara Adi Soemarmo Surakarta_SOC</t>
  </si>
  <si>
    <t>SOC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</si>
  <si>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</si>
  <si>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</si>
  <si>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Pemotongan Rumput Runway dan Taxiway Strip Serta Kebersihan Outdoor Airside Apron GSE dan Kargo sert_SRG</t>
  </si>
  <si>
    <t>SRG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</si>
  <si>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</si>
  <si>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</si>
  <si>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Rutin Power Supply, Lampu Penerangan dan Airfield Lighting System di SRG_SRG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</si>
  <si>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</si>
  <si>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</si>
  <si>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Paket Pekerjaan Loading Unloading dan Aircraft Cleaning di Bandara Adi Soemarmo</t>
  </si>
  <si>
    <t>GP/US/PERJ.1-068.2/Oktober/2024 tanggal 2 Okt 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</si>
  <si>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</si>
  <si>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</si>
  <si>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SDM Outsourcing di Bandara Adi Soemarmo Solo</t>
  </si>
  <si>
    <t>GP/US/PERJ.1-068.1/Oktober/2024 tanggal 2 Okt 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</si>
  <si>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</si>
  <si>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</si>
  <si>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</si>
  <si>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</si>
  <si>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</si>
  <si>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</si>
  <si>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YIA</t>
  </si>
  <si>
    <t>PENYEDIAAN DAN PEMASANGAN HYGIENE SERVICE TERMINAL BANDARA INTERNASIONAL ADISUTJIPTO YOGYAKARTA_JOG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</si>
  <si>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</si>
  <si>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</si>
  <si>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PENGENDALIAN DAN PEMBERANTASAN HAMA (PEST CONTROL)_JOG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</si>
  <si>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</si>
  <si>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</si>
  <si>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Waste Management YIA_JOG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</si>
  <si>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</si>
  <si>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</si>
  <si>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</si>
  <si>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</si>
  <si>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</si>
  <si>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</si>
  <si>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SUB,DHX,BWX</t>
  </si>
  <si>
    <t>PEKERJAAN PEMELIHARAAN KEBERSIHAN FASILITAS AIRSIDE DI BANDAR UDARA DHOHO KEDIRI_SUB</t>
  </si>
  <si>
    <t>SUB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</si>
  <si>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</si>
  <si>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</si>
  <si>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Pekerjaan Pembangunan IAS Lounge Bandar Udara Dhoho-Kediri</t>
  </si>
  <si>
    <t>DHX</t>
  </si>
  <si>
    <t>IASH.045/LGL.GA/IX/2024</t>
  </si>
  <si>
    <t>TIDAK SESUAI DENGAN DURASI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</si>
  <si>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</si>
  <si>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</si>
  <si>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Terminal Di Bandar Udara Banyuwangi_BWX</t>
  </si>
  <si>
    <t>Dipecah menjadi 2 kontrak pekerjaan</t>
  </si>
  <si>
    <t>Pekerjaan Jasa Kebersihan Cleaning Service di Bandara Banyuwangi_BWX</t>
  </si>
  <si>
    <t>APINDO</t>
  </si>
  <si>
    <t>SPR.BWX.GM.0004/I/2025; 30/12/2024</t>
  </si>
  <si>
    <t>SPR.BWX.GM.0006/II/2025; 20/02/2025</t>
  </si>
  <si>
    <t>Proses draft kontrak di Apindo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</si>
  <si>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</si>
  <si>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</si>
  <si>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Kebersihan Cleaning Toilet di Bandara Banyuwangi_BWX</t>
  </si>
  <si>
    <t>SPR.BWX.GM.0033X/II/2024</t>
  </si>
  <si>
    <t>SPR.BWX.GM.0005/II/2025; 20/02/2025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</si>
  <si>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</si>
  <si>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</si>
  <si>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Kebersihan Gedung Rumah Sakit Umum Daerah Blambangan Banyuwangi</t>
  </si>
  <si>
    <t>Pekerjaan Kebersihan Gedung Rumah Sakit Umum Daerah Blambangan Banyuwangi (sisi barat)</t>
  </si>
  <si>
    <t>027/2688/429.401/2024; 31/12/2024</t>
  </si>
  <si>
    <t>Pekerjaan Kebersihan Gedung Rumah Sakit Umum Daerah Blambangan Banyuwangi (sisi timur)</t>
  </si>
  <si>
    <t>027/2686/429.401/2024; 31/12/2024</t>
  </si>
  <si>
    <t>027/122/429.401/2025; 31/01/2025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</si>
  <si>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</si>
  <si>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</si>
  <si>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Pendukung  3S + 1C Bandara Banyuwangi ( 3S) - BWX</t>
  </si>
  <si>
    <t>SPR.BWX.GM.0035/XII/2024; 30/12/2024</t>
  </si>
  <si>
    <r>
      <rPr>
        <rFont val="Montserrat"/>
        <color rgb="FF1155CC"/>
        <sz val="10.0"/>
        <u/>
      </rPr>
      <t>SPR.BWX.GM</t>
    </r>
    <r>
      <rPr>
        <rFont val="Montserrat"/>
        <color theme="1"/>
        <sz val="10.0"/>
      </rPr>
      <t>.0009/II/2025; 24/02/2025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</si>
  <si>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</si>
  <si>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</si>
  <si>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Pendukung Non 3S + 1C Bandara Banyuwangi (Non 3S) - BWX</t>
  </si>
  <si>
    <t>SPR.BWX.GM.0034/XII/2024; 30/12/2024</t>
  </si>
  <si>
    <r>
      <rPr>
        <rFont val="Montserrat"/>
        <color rgb="FF1155CC"/>
        <sz val="10.0"/>
        <u/>
      </rPr>
      <t>SPR.BWX.GM</t>
    </r>
    <r>
      <rPr>
        <rFont val="Montserrat"/>
        <color theme="1"/>
        <sz val="10.0"/>
      </rPr>
      <t>.0008/II/2025; 21/02/2025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</si>
  <si>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</si>
  <si>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</si>
  <si>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TENAGA KERJA FUNGSI PENGAMANAN (AVSEC) DI BANDAR UDARA INTERNASIONAL BANYUWANGI_BWX</t>
  </si>
  <si>
    <t>Pengadaan Tenaga Kerja Fungsi Pengamanan (Avsec) di Bandara Internasional Banyuwangi - BWX</t>
  </si>
  <si>
    <t>SPR.BWX.GM.0036/XII/2024; 30/12/2024</t>
  </si>
  <si>
    <r>
      <rPr>
        <rFont val="Montserrat"/>
        <color rgb="FF1155CC"/>
        <sz val="10.0"/>
        <u/>
      </rPr>
      <t>SPR.BWX.GM</t>
    </r>
    <r>
      <rPr>
        <rFont val="Montserrat"/>
        <color theme="1"/>
        <sz val="10.0"/>
      </rPr>
      <t>.0007/II/2025; 21/02/2025</t>
    </r>
  </si>
  <si>
    <r>
      <rPr>
        <rFont val="Montserrat"/>
        <color rgb="FF1155CC"/>
        <sz val="10.0"/>
        <u/>
      </rPr>
      <t>SPK.BWX.GM</t>
    </r>
    <r>
      <rPr>
        <rFont val="Montserrat"/>
        <color theme="1"/>
        <sz val="10.0"/>
      </rPr>
      <t>.0001/PL.02.03/2025; 29/04/2025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</si>
  <si>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</si>
  <si>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</si>
  <si>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Pemeliharaan dan Perawatan Fasilitas unit Airport Facilities, Equipment &amp; Technology Bandara Banyuwangi Tahap I tahun 2025 - BWX</t>
  </si>
  <si>
    <t>SPR.BWX.GM.0037/XII/2024; 31/12/2024</t>
  </si>
  <si>
    <r>
      <rPr>
        <rFont val="Montserrat"/>
        <color rgb="FF00B050"/>
        <sz val="10.0"/>
        <u/>
      </rPr>
      <t>SPR.BWX.GM</t>
    </r>
    <r>
      <rPr>
        <rFont val="Montserrat"/>
        <color rgb="FF00B050"/>
        <sz val="10.0"/>
      </rPr>
      <t>.0010/II/2025; 24/02/2025</t>
    </r>
  </si>
  <si>
    <t>Pekerjaan Pemeliharaan dan Perawatan Fasilitas unit Airport Facilities, Equipment &amp; Technology Bandara Banyuwangi Tahap II tahun 2025 - BWX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</si>
  <si>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</si>
  <si>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</si>
  <si>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Penggantian Dan Pemasangan Battery UPS Banyuwangi</t>
  </si>
  <si>
    <r>
      <rPr>
        <rFont val="Montserrat"/>
        <color rgb="FF000000"/>
        <sz val="10.0"/>
        <u/>
      </rPr>
      <t>PJJ.BWX.GM</t>
    </r>
    <r>
      <rPr>
        <rFont val="Montserrat"/>
        <color rgb="FF000000"/>
        <sz val="10.0"/>
      </rPr>
      <t>.0103/PL.0203/2025; 09/04/2025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</si>
  <si>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</si>
  <si>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</si>
  <si>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Sewa AC Packaged Warehouse Pasuruan</t>
  </si>
  <si>
    <r>
      <rPr>
        <rFont val="Montserrat"/>
        <color rgb="FF000000"/>
        <sz val="10.0"/>
        <u/>
      </rPr>
      <t>SP.1.HK.06.01/2024/DUZ-B</t>
    </r>
    <r>
      <rPr>
        <rFont val="Montserrat"/>
        <color rgb="FF000000"/>
        <sz val="10.0"/>
      </rPr>
      <t>; 23/09/2024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</si>
  <si>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</si>
  <si>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</si>
  <si>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 xml:space="preserve">Penyedia Jasa Tenaga Kerja Outsourcing (Ticketing, Cleaning &amp; Security) di Angkutan Sungai, Danau dan Penyeberangan (ASDP) di 8 wilayah
</t>
  </si>
  <si>
    <t>Pekerjaan batal diberikan untuk anak usaha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</si>
  <si>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</si>
  <si>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</si>
  <si>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 xml:space="preserve">Penyedia Jasa Tenaga Kerja Outsourcing (Security, Cleaning &amp; Driver) di Kantor Imigrasi Banyuwangi
</t>
  </si>
  <si>
    <t>Pekerjaan batal under UMK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</si>
  <si>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</si>
  <si>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</si>
  <si>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</si>
  <si>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</si>
  <si>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</si>
  <si>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</si>
  <si>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DPS</t>
  </si>
  <si>
    <t>Pekerjaan Jasa Pengaturan dan Penataan Trolley di Bandar Udara Internasional I Gusti_DPS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</si>
  <si>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</si>
  <si>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</si>
  <si>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Aviation Security (AVSEC) dan Security Guards Novotel Bali Ngurah Rai Airport_DPS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</si>
  <si>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</si>
  <si>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</si>
  <si>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Pemeliharaan Kebersihan Bangunan Terminal, Gedung Parkir, Gedung VIP,_DPS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</si>
  <si>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</si>
  <si>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</si>
  <si>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PERKANTORAN &amp; TOWER AIRNAV DENPASAR_DPS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</si>
  <si>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</si>
  <si>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</si>
  <si>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Outlet Bali Banana Terminal Domestik (PT JASMINE)_DPS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</si>
  <si>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</si>
  <si>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</si>
  <si>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Bali Sukses Transportasi (PT BALI SUKSES TRANSPORTASI)_DPS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</si>
  <si>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</si>
  <si>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</si>
  <si>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Booth XL Kedatangan Terminal Internasional (PT Surya Kumala Abadi)_DPS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</si>
  <si>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</si>
  <si>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</si>
  <si>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Kebersihan Outlet Flight Club Terminal Internasional Bandar Udara Internasional I Gusti Ngurah_DPS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</si>
  <si>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</si>
  <si>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</si>
  <si>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Pesawat Garuda - Rute Internasional_DPS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</si>
  <si>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</si>
  <si>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</si>
  <si>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Hard Rock Cafe Keberangkatan Terminal Internasional (PT Harapan Rahayu Citra)_DPS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</si>
  <si>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</si>
  <si>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</si>
  <si>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BOOTH IM3 DI KEDATANGAN INTERNASIONAL_DPS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</si>
  <si>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</si>
  <si>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</si>
  <si>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Pesawat Internasional PT JAS_DPS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</si>
  <si>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</si>
  <si>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</si>
  <si>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OUTLET LE PETIT JEMME TERMINAL INTERNASIONAL_DPS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</si>
  <si>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</si>
  <si>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</si>
  <si>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di Outlet Mixue Gate 6 Keberangkatan Internasional Bandar Udara Internasion_DPS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</si>
  <si>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</si>
  <si>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</si>
  <si>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Pengumpulan Sampah Di Premier Lounge Terminal Internasional Lantai 3 Bandar Udara Dps (Jas)_DPS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</si>
  <si>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</si>
  <si>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</si>
  <si>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OFFICE CLEANING PT JAS_DPS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</si>
  <si>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</si>
  <si>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</si>
  <si>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OUTLET REVOLVER TERMINAL INTERNASIONAL_DPS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</si>
  <si>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</si>
  <si>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</si>
  <si>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Pesawat Internasional Singapore Airlines_DPS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</si>
  <si>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</si>
  <si>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</si>
  <si>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Di Area Telkomsel Terminal Internasional Bandara Ngurah Rai Bali_DPS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</si>
  <si>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</si>
  <si>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</si>
  <si>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OUTLET TG FOOD CORNER KEBERANGKATAN INTERNASIONAL (PT TAURUS GEMILANG)_DPS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</si>
  <si>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</si>
  <si>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</si>
  <si>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TRS DINER TERMINAL DOMESTIK_DPS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</si>
  <si>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</si>
  <si>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</si>
  <si>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Pengumpulan Sampah Made'S Warung (Pt. Taurus Gemilang)_DPS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</si>
  <si>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</si>
  <si>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</si>
  <si>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Di Area Xl Axiata Terminal Internasional Bandara Ngurah Rai_DPS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</si>
  <si>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</si>
  <si>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</si>
  <si>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XL Axiata Terminal Domestik (PT SARANA INTI MAKMUR BERSAMA)_DPS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</si>
  <si>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</si>
  <si>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</si>
  <si>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Jhonny Rocket Terminal Kedatangan Internasional_DPS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</si>
  <si>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</si>
  <si>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</si>
  <si>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Outlet Burger King Bandar Udara Internasional I Gusti Ngurah Rai-Bali_DPS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</si>
  <si>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</si>
  <si>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</si>
  <si>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</si>
  <si>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</si>
  <si>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angkut sampah concordia lounge Denpasar_DPS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</si>
  <si>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</si>
  <si>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</si>
  <si>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TERMINAL INTERNASIONAL_DPS ACS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</si>
  <si>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</si>
  <si>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</si>
  <si>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DAN PERBAIKAN ALAT PRODUKSI DAN ALAT PENDUKUNG APHIC BALI_DPS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</si>
  <si>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</si>
  <si>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</si>
  <si>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SDM Outsorcing Cabang Bandara I Gusti Ngurah Rai - Denpasar (DPS)</t>
  </si>
  <si>
    <t>GP/UL/PERJ.1-015.1/MAR/2025</t>
  </si>
  <si>
    <t>kenapa belum di accrue pendapatan 2 bln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</si>
  <si>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</si>
  <si>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</si>
  <si>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</si>
  <si>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</si>
  <si>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</si>
  <si>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</si>
  <si>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LOP</t>
  </si>
  <si>
    <t>Pekerjaan Jasa Tenaga Trolleyman di BIZAM_LOP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</si>
  <si>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</si>
  <si>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</si>
  <si>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</si>
  <si>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</si>
  <si>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</si>
  <si>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</si>
  <si>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Nusa Tenggara Timur-  Kupang (</t>
  </si>
  <si>
    <t>KOE,LBJ</t>
  </si>
  <si>
    <t>Pemeliharaan Kebersihan Landasan, Taxiway, Apron, GSE, dan Saluran Air di Bandara El tari Kupang_KOE</t>
  </si>
  <si>
    <t>KOE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</si>
  <si>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</si>
  <si>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</si>
  <si>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Penyediaan Jasa SDM Outsourcing di Bandara Komodo Labuan Bajo</t>
  </si>
  <si>
    <t>LBJ</t>
  </si>
  <si>
    <t>GP/US/PERJ.1-070.1/okt/2024 tanggal 2 okt 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</si>
  <si>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</si>
  <si>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</si>
  <si>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</si>
  <si>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</si>
  <si>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</si>
  <si>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</si>
  <si>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BPN</t>
  </si>
  <si>
    <t>Pekerjaan Pemeliharaan Kebersihan Terminal Baru, Sebagian Terminal Lama, Gedung Operasional dan Hang_BPN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</si>
  <si>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</si>
  <si>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</si>
  <si>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Perbaikan dan Pemeliharaan Fasilitas Terminal, Airside dan Landside_BPN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</si>
  <si>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</si>
  <si>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</si>
  <si>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SDM TAD ADM dan KEU SPOKE Balikpapan</t>
  </si>
  <si>
    <t>SPK.Gapura/00/01/2025/0005</t>
  </si>
  <si>
    <t>Kontrak Proses Review Legal IASS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</si>
  <si>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</si>
  <si>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</si>
  <si>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</si>
  <si>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</si>
  <si>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</si>
  <si>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</si>
  <si>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Pekerjaan Jasa Kebersihan (Cleaning Service) Indoor Dan Outdoor Gedung Terminal Bandar Udara Supadio Pontianak _PNK</t>
  </si>
  <si>
    <t>PJJ.14.10.02/04/04/2024/0017;01/4/2024</t>
  </si>
  <si>
    <r>
      <rPr>
        <rFont val="Montserrat"/>
        <color rgb="FF1155CC"/>
        <sz val="10.0"/>
        <u/>
      </rPr>
      <t>PJJ.PNK.GM</t>
    </r>
    <r>
      <rPr>
        <rFont val="Montserrat"/>
        <color theme="1"/>
        <sz val="10.0"/>
      </rPr>
      <t>.0105/TK.10/2025;27/03/2025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</si>
  <si>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</si>
  <si>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</si>
  <si>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Pekerjaan Jasa Penunjang Operasional &amp; Tenaga Pengamanan Di Lingkungan Bandara Internasional Supadio_PNK</t>
  </si>
  <si>
    <t>PJJ.03.02.02/04/04/2024/0029 ; 30 April 2024</t>
  </si>
  <si>
    <r>
      <rPr>
        <rFont val="Montserrat"/>
        <color rgb="FF1155CC"/>
        <sz val="10.0"/>
        <u/>
      </rPr>
      <t>PJJ.PNK.GM</t>
    </r>
    <r>
      <rPr>
        <rFont val="Montserrat"/>
        <color theme="1"/>
        <sz val="10.0"/>
      </rPr>
      <t>.PNK.0106/KP.02.04/2025 ; 25 April 2025</t>
    </r>
  </si>
  <si>
    <t>Addendum III Review Legal IASS</t>
  </si>
  <si>
    <r>
      <rPr>
        <rFont val="Montserrat"/>
        <color rgb="FF1155CC"/>
        <sz val="10.0"/>
        <u/>
      </rPr>
      <t>PJJ.PNK.GM</t>
    </r>
    <r>
      <rPr>
        <rFont val="Montserrat"/>
        <color theme="1"/>
        <sz val="10.0"/>
      </rPr>
      <t>.PNK.0115/KP.02.04/2025 ; 25 April 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</si>
  <si>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</si>
  <si>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</si>
  <si>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paket pekerjaan ground handling di kantor cabang Bandara Supadio Pontianak - PNK</t>
  </si>
  <si>
    <t>GP/UL/PERJ.1-017/APR/2025;11/04/2025</t>
  </si>
  <si>
    <t>SURAT MINAT 18 JUNI 2025</t>
  </si>
  <si>
    <t>PROSES ADDENDUM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</si>
  <si>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</si>
  <si>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</si>
  <si>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Electrical Mechanical Operation &amp; Maintenance di Bandara Supadio Pontianak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</si>
  <si>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</si>
  <si>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</si>
  <si>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 xml:space="preserve">Jasa Pemeliharaan Cleaning &amp; Security di Bank Mandiri di Wilayah   Kalimantan Barat
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</si>
  <si>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</si>
  <si>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</si>
  <si>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</si>
  <si>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</si>
  <si>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</si>
  <si>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</si>
  <si>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PKY</t>
  </si>
  <si>
    <t>Pekerjaan Jasa Kebersihan Terminal Bandar Udara Tijik Riwut Palangkaraya _PKY</t>
  </si>
  <si>
    <t>PJJ.06.02/16/01/2024/0002; 03/01/2024</t>
  </si>
  <si>
    <t>PJJ.PKY.GM.1022/XII/2024; 31/12/2024</t>
  </si>
  <si>
    <r>
      <rPr>
        <rFont val="Montserrat"/>
        <color rgb="FF1155CC"/>
        <sz val="10.0"/>
        <u/>
      </rPr>
      <t>PJJ.PKY.GM</t>
    </r>
    <r>
      <rPr>
        <rFont val="Montserrat"/>
        <color theme="1"/>
        <sz val="10.0"/>
      </rPr>
      <t>.0106/PL.02.03/2025; 24/04/2025</t>
    </r>
  </si>
  <si>
    <r>
      <rPr>
        <rFont val="Montserrat"/>
        <color rgb="FF000000"/>
        <sz val="10.0"/>
        <u/>
      </rPr>
      <t>PJJ.PKY.GM</t>
    </r>
    <r>
      <rPr>
        <rFont val="Montserrat"/>
        <color rgb="FF000000"/>
        <sz val="10.0"/>
      </rPr>
      <t>.0110/PL.02.03/2025; 27/05/2025</t>
    </r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</si>
  <si>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</si>
  <si>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</si>
  <si>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Tenaga Kerja Penunjang Frontliner &amp; Back Office di Bandara Tjilik Riwut - PKY</t>
  </si>
  <si>
    <t>Sejak januari 2024 digabung ke no.3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</si>
  <si>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</si>
  <si>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</si>
  <si>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Penyedia Jasa Tenaga Kerja Penunjang Avsec dan ARFF di Bandara Tjilik Riwut - PKY</t>
  </si>
  <si>
    <t>Penyedia Jasa Tenaga Kerja Penunjang Operation, Technical &amp; Commercial PT Angkasa Pura Indonesia Kantor Region VI Kantor Cabang Bandara Tjilik Riwut - PKY</t>
  </si>
  <si>
    <t>PJJ.PKY.GM.1021/XII/2024; 24/12/2024</t>
  </si>
  <si>
    <r>
      <rPr>
        <rFont val="Montserrat"/>
        <color rgb="FF1155CC"/>
        <sz val="10.0"/>
        <u/>
      </rPr>
      <t>PJJ.PKY.GM</t>
    </r>
    <r>
      <rPr>
        <rFont val="Montserrat"/>
        <color theme="1"/>
        <sz val="10.0"/>
      </rPr>
      <t>.0105/PL.02.03/2025; 23/04/2025</t>
    </r>
  </si>
  <si>
    <t>Proses draft kontrak di Legal IASS
TMT bulan Juni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</si>
  <si>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</si>
  <si>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</si>
  <si>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</si>
  <si>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</si>
  <si>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</si>
  <si>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</si>
  <si>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BDJ</t>
  </si>
  <si>
    <t>PEMELIHARAAN FASILITAS TERMINAL LANDSIDE SERTA BANGNAN PENUNJANG DI BANDAR UDARA SYAMSUDIN NOOR BANJ_BDJ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</si>
  <si>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</si>
  <si>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</si>
  <si>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Fasilitas Sisi Udara di Bandar Udara Internasional Syamsudin Noor Banjar_BDJ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</si>
  <si>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</si>
  <si>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</si>
  <si>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Kebersihan Area Airside Bandara Syamsudin Noor Banjarmasin_BDJ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</si>
  <si>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</si>
  <si>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</si>
  <si>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</si>
  <si>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</si>
  <si>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</si>
  <si>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</si>
  <si>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Sulawesi Utara - Manado (MDC)</t>
  </si>
  <si>
    <t>MDC</t>
  </si>
  <si>
    <t>PEMELIHARAAN KEBERSIHAN TERMINAL, CARGO DAN PKPPK DI BANDAR UDARA SAM RATULANGI MANADO_MDC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</si>
  <si>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</si>
  <si>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</si>
  <si>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Fasilitas Listrik di Bandar Udara Sam Ratulangi Manado_MDC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</si>
  <si>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</si>
  <si>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</si>
  <si>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</si>
  <si>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</si>
  <si>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</si>
  <si>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</si>
  <si>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MOH</t>
  </si>
  <si>
    <t>Penyediaan Tenaga Kerja AVSEC &amp; SECURITY NON AVSEC - IMIP</t>
  </si>
  <si>
    <t>218/PKS/IMIP-APSI/VII/JKT/2024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</si>
  <si>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</si>
  <si>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</si>
  <si>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</si>
  <si>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</si>
  <si>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</si>
  <si>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</si>
  <si>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KDI,WNI,LUW</t>
  </si>
  <si>
    <t>Penyediaan Tenaga Kerja Outsourcing di Bandara Haluoleo Kendari - KDI</t>
  </si>
  <si>
    <t>KDI</t>
  </si>
  <si>
    <t>PL.107/SPP.02/I/2025; 20/01/2025</t>
  </si>
  <si>
    <t>EP-01JSB2Y007JXZS33PFFGHINMHQ3; 20/04/2025</t>
  </si>
  <si>
    <t>EP-01JSB2Y007JXZS33PFFGHINMHQ3/ADD-1; 20/06/2025</t>
  </si>
  <si>
    <t>Proses pesanan addendum</t>
  </si>
  <si>
    <t>EP-01K0NT6KXGE68JFDDVGE1N6148; 21/07/2025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</si>
  <si>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</si>
  <si>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t>Manpower</t>
  </si>
  <si>
    <t>UPBU</t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</si>
  <si>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</si>
  <si>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rgb="FFFF0000"/>
        <sz val="10.0"/>
      </rPr>
      <t>BANDARA INTERNASIONAL KERTAJATI/</t>
    </r>
    <r>
      <rPr>
        <rFont val="Montserrat"/>
        <b/>
        <i/>
        <color rgb="FF0000FF"/>
        <sz val="10.0"/>
      </rPr>
      <t>WAKATOBI</t>
    </r>
    <r>
      <rPr>
        <rFont val="Montserrat"/>
        <i/>
        <color rgb="FFFF0000"/>
        <sz val="10.0"/>
      </rPr>
      <t>_WNI</t>
    </r>
  </si>
  <si>
    <t>WNI</t>
  </si>
  <si>
    <t>Kontrak selesai TMT 28 Februari 2025</t>
  </si>
  <si>
    <t>SPL.107/SPP.01/UPBU.MTH-2025 ; 3 Januari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</si>
  <si>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</si>
  <si>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</si>
  <si>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Biaya Tenaga Outsourcing - UPBU Luwuk</t>
  </si>
  <si>
    <t>LUW</t>
  </si>
  <si>
    <t>SP.P2/01/PPK/I/LWK-2025; 23/1/2025</t>
  </si>
  <si>
    <t>Kontrak selesai TMT 31 Maret 2025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</si>
  <si>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</si>
  <si>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</si>
  <si>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Tenaga Outsourcing Perum LPPNI (Airnav Indonesia) KC. Kendari</t>
  </si>
  <si>
    <t>PO-2025-07-08-614042112; 08/07/2025</t>
  </si>
  <si>
    <t>Menunggu verifikasi eproc (komersil PST)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</si>
  <si>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</si>
  <si>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</si>
  <si>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</si>
  <si>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</si>
  <si>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</si>
  <si>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</si>
  <si>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UPG</t>
  </si>
  <si>
    <t>Penyedia Jasa Keamanan PT Aero Prima UPG (SO: 847)_UPG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</si>
  <si>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</si>
  <si>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</si>
  <si>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Pemeliharaan Jasa Kebersihan Jalan, Halaman, Taman, Tempat Parkir Kendaraan Js Pemotong Rumput MATSC_UPG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</si>
  <si>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</si>
  <si>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</si>
  <si>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Pengangkutan Sampah Di PT. Bogajaya Internasional Jaya Abadi_UPG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</si>
  <si>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</si>
  <si>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</si>
  <si>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di outlet Circel K PT Bogajaya Internasional Jaya Abadi area Bandara Sultan_UPG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</si>
  <si>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</si>
  <si>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</si>
  <si>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Pengangkutan sampah di outlet Starbucks PT.Sari Coffee Indonesia_UPG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</si>
  <si>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</si>
  <si>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</si>
  <si>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Pengangkutan Sampah di concordia Lounge Bandar Udara Internasional Sultan Hasanuddin Makassar_UPG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</si>
  <si>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</si>
  <si>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</si>
  <si>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Jasa Pengumpulan Sampah di IBMA (APH) - Makassar_UPG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</si>
  <si>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</si>
  <si>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</si>
  <si>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t>Pengadaan Jasa SDM UPG PT Gapura Angkasa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</si>
  <si>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</si>
  <si>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</si>
  <si>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</si>
  <si>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</si>
  <si>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</si>
  <si>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</si>
  <si>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 xml:space="preserve">Maluku Utara - Sofifi </t>
  </si>
  <si>
    <t>DJJ</t>
  </si>
  <si>
    <t>PENGADAAN JASA TENAGA ALIH DAYA (OUTSOURCING) DI WILAYAH KERJA PERUM LPPNPI CABANG SENTANI TAHUN 202_DJJ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</si>
  <si>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</si>
  <si>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</si>
  <si>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</si>
  <si>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</si>
  <si>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</si>
  <si>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</si>
  <si>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Pengadaan Jasa Tenaga Keamanan (Security), Administrasi dan Kebersihan di Perum LPPNPI Cabang Merauke_MKQ</t>
  </si>
  <si>
    <t>MKQ</t>
  </si>
  <si>
    <r>
      <rPr>
        <rFont val="Montserrat"/>
        <color theme="1"/>
      </rPr>
      <t xml:space="preserve">PYMHD / </t>
    </r>
    <r>
      <rPr>
        <rFont val="Montserrat"/>
        <i/>
        <color theme="1"/>
      </rPr>
      <t>Accrual</t>
    </r>
  </si>
  <si>
    <r>
      <rPr>
        <rFont val="Montserrat"/>
        <i val="0"/>
        <color theme="1"/>
      </rPr>
      <t xml:space="preserve">Terbayar / </t>
    </r>
    <r>
      <rPr>
        <rFont val="Montserrat"/>
        <i/>
        <color theme="1"/>
      </rPr>
      <t>Cash</t>
    </r>
  </si>
  <si>
    <r>
      <rPr>
        <rFont val="Montserrat"/>
        <i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i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</si>
  <si>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</si>
  <si>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</si>
  <si>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</si>
  <si>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SUB TOTAL IAS SUPPORT</t>
  </si>
  <si>
    <r>
      <rPr>
        <rFont val="Montserrat"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color theme="1"/>
        <sz val="10.0"/>
      </rPr>
      <t>) all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</si>
  <si>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</si>
  <si>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</si>
  <si>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</si>
  <si>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SUB TOTAL PERALIHAN AP SUPPORT</t>
  </si>
  <si>
    <r>
      <rPr>
        <rFont val="Montserrat"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</si>
  <si>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</si>
  <si>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</si>
  <si>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</si>
  <si>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 xml:space="preserve">TOTAL PROGRAM KERJA </t>
  </si>
  <si>
    <r>
      <rPr>
        <rFont val="Montserrat"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</si>
  <si>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</si>
  <si>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</si>
  <si>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</si>
  <si>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PROGRAM KERJA BARU</t>
  </si>
  <si>
    <r>
      <rPr>
        <rFont val="Montserrat"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</si>
  <si>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</si>
  <si>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</si>
  <si>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</si>
  <si>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PROGRAM KERJA CHALLENGE</t>
  </si>
  <si>
    <r>
      <rPr>
        <rFont val="Montserrat"/>
        <color theme="1"/>
        <sz val="10.0"/>
      </rPr>
      <t>Sub Total Sumber Produksi (</t>
    </r>
    <r>
      <rPr>
        <rFont val="Montserrat"/>
        <b/>
        <i/>
        <color theme="1"/>
        <sz val="10.0"/>
      </rPr>
      <t>berkontrak</t>
    </r>
    <r>
      <rPr>
        <rFont val="Montserrat"/>
        <color theme="1"/>
        <sz val="10.0"/>
      </rPr>
      <t>)</t>
    </r>
  </si>
  <si>
    <r>
      <rPr>
        <rFont val="Montserrat"/>
        <i/>
        <color theme="1"/>
        <sz val="10.0"/>
      </rPr>
      <t xml:space="preserve">Sub total  </t>
    </r>
    <r>
      <rPr>
        <rFont val="Montserrat"/>
        <b/>
        <i/>
        <color theme="1"/>
        <sz val="10.0"/>
      </rPr>
      <t>PYMHD / Accrual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</si>
  <si>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Account Receivable / Invoice</t>
    </r>
  </si>
  <si>
    <r>
      <rPr>
        <rFont val="Montserrat"/>
        <i/>
        <color theme="1"/>
        <sz val="10.0"/>
      </rPr>
      <t xml:space="preserve">Sub total </t>
    </r>
    <r>
      <rPr>
        <rFont val="Montserrat"/>
        <b/>
        <i/>
        <color theme="1"/>
        <sz val="10.0"/>
      </rPr>
      <t>Terbayar / Cash</t>
    </r>
  </si>
  <si>
    <t>PROGRAM KERJA</t>
  </si>
  <si>
    <t>Total Sumber Produksi (berkontrak)</t>
  </si>
  <si>
    <t>Total  PYMHD / Accrual</t>
  </si>
  <si>
    <t>Total Account Receivable / Invoice</t>
  </si>
  <si>
    <t>Total Terbayar / Cash</t>
  </si>
  <si>
    <t>KETERANGAN :</t>
  </si>
  <si>
    <t>Tidak boleh menambah kolom (Pekerjaan yg sudah kontrak tidak ada dalam program atau belum selesai pembayarannya s/d 2025 dengan menambah baris/row kebawah)</t>
  </si>
  <si>
    <t>RKAP 2025/target revenue bulanan (Font Merah) tidak boleh diganti (angka absolut)</t>
  </si>
  <si>
    <t>Kolom No 5, 6, 7 dan 8 harus diisi sesuai data kontrak tual atau yg dalam proses addendum (dikasih penjelasan di kolom 6 status &amp; posisi dokumennya)</t>
  </si>
  <si>
    <t>Kolom 7 dan 8 (durasi kontrak) diisi dengan effektif kontrak/Addendum  (kapan dimulai dan kapan berakhirnya)</t>
  </si>
  <si>
    <r>
      <rPr>
        <rFont val="Calibri"/>
        <color theme="1"/>
        <sz val="11.0"/>
      </rPr>
      <t>Kolom 9 dan seterusnya merupakan</t>
    </r>
    <r>
      <rPr>
        <rFont val="Calibri"/>
        <i/>
        <color theme="1"/>
        <sz val="11.0"/>
      </rPr>
      <t xml:space="preserve"> breakdown bulanan RKAP</t>
    </r>
    <r>
      <rPr>
        <rFont val="Calibri"/>
        <color theme="1"/>
        <sz val="11.0"/>
      </rPr>
      <t xml:space="preserve">, </t>
    </r>
    <r>
      <rPr>
        <rFont val="Calibri"/>
        <i/>
        <color theme="1"/>
        <sz val="11.0"/>
      </rPr>
      <t>breakdown target alat produksi (sesuai kontrak/addendum)</t>
    </r>
    <r>
      <rPr>
        <rFont val="Calibri"/>
        <color theme="1"/>
        <sz val="11.0"/>
      </rPr>
      <t xml:space="preserve"> dan </t>
    </r>
    <r>
      <rPr>
        <rFont val="Calibri"/>
        <i/>
        <color theme="1"/>
        <sz val="11.0"/>
      </rPr>
      <t>breakdown prestasi pekerjaan.</t>
    </r>
  </si>
  <si>
    <t>Nilai Invoising / Asumsi Prestasi pekerjaan row ke tiga masing-masing program juga diisi dengan satuan</t>
  </si>
  <si>
    <t>ALAT KONTROL</t>
  </si>
  <si>
    <t>KEGUNAAN DATA ISIAN INI :</t>
  </si>
  <si>
    <t>Monitoring kinerja Cabang, Regional dan dan komersil pusat</t>
  </si>
  <si>
    <t>Bahan evaluasi sekaligus langkah-langkah yg harus diambil oleh korporasi dalam hal terdapat cabang/regional/komersil pusat yg tidak tercapai.</t>
  </si>
  <si>
    <t>MOHON KERJASAMA</t>
  </si>
  <si>
    <t xml:space="preserve"> </t>
  </si>
  <si>
    <t>SUB LOB</t>
  </si>
  <si>
    <t>Cabang</t>
  </si>
  <si>
    <t>Target Revenue</t>
  </si>
  <si>
    <t>INJOURNEY MEMBER</t>
  </si>
  <si>
    <t>Manpower Services Modul Production_Manpower Services_Penyediaan Jasa Tenaga Kerja Penunjang Di Bandara Sultan Iskandar Muda Aceh_BTJ (OS)</t>
  </si>
  <si>
    <t>DTB/ KNO</t>
  </si>
  <si>
    <t>THIRD PARTIES</t>
  </si>
  <si>
    <t>Pekerjaan Jasa Kebersihan (Cleaning Service) Gudang Kargo, Gudang Operasional, Jasa Nygiene Dan Pengharum Ruangan Bandara Internasional Kualanamu Medan _KNO</t>
  </si>
  <si>
    <t>Pekerjaan Kebersihan Kantor GMF Medan _KNO</t>
  </si>
  <si>
    <t>Penyedia Jasa Tenaga Kerja Outsourcing Fungsi Pengamanan di Bandara Internasional Kualanamu_KNO</t>
  </si>
  <si>
    <t>Anara SKY Kualanamu</t>
  </si>
  <si>
    <t>Pekerjaan Pengadaan Kebersihan (Cleaning Service) Gedung Terminal Penumpang Bandar Udara Internasional Sultan Mahmud Badaruddin II Palembang_PLM</t>
  </si>
  <si>
    <t>Pekerjaan Pemeliharaan Kebersihan (Cleaning Service) Gedung Perkantoran Dan Gedung Operasional Bandar Udara Internasional Sultan Mahmud Badaruddin II Palembang _PLM</t>
  </si>
  <si>
    <t>Pekerjaan Pemeliharaan Kebersihan (Cleaning Service) Terminal Kargo Bandar Udara Internasional Sultan Mahmud Badaruddin II Palembang _PLM</t>
  </si>
  <si>
    <t>IAS MEMBER</t>
  </si>
  <si>
    <t>PEKERJAAN PEMBORONGAN JASA TENAGA KERJA OUTSOURCING ADMINISTRASI BANDARA SULTAN MAHMUD BADARUDDIN II PALEMBANG_PLM OS</t>
  </si>
  <si>
    <t>PEKERJAAN PEMBORONGAN JASA TENAGA KERJA OUTSORCING CUSTOMER SERVICE BANDARA SULTAN MAHMUD BADARUDDIN II PALEMBANG_PLM CSO</t>
  </si>
  <si>
    <t>PEKERJAAN PEMBORONGAN JASA TENAGA KERJA OUTSOURCING PENGAMANAN BANDAR UDARA INTERNASIONAL SULTAN MAHMUD BADARUDDIN II PALEMBANG_PLM</t>
  </si>
  <si>
    <t>Pekerjaan Pemeliharaan Peralatan AC Dan Ventilasi (PLM)_PLM</t>
  </si>
  <si>
    <t>Pemeliharaan Instalasi Listrik Air Kotor dan Hydran (PLM)_PLM</t>
  </si>
  <si>
    <t>Pemeliharaan Peralatan Mekanikal (Traction Equipment) (PLM)_PLM</t>
  </si>
  <si>
    <t>Pekerjaan Perawatan Taman PLM SMB II</t>
  </si>
  <si>
    <t>Pemotongan Rumput Sisi Udara PLM</t>
  </si>
  <si>
    <t>Pemotongan Rumput &amp; Penyapuan Sisi darat PLM</t>
  </si>
  <si>
    <t>PERBAIKAN DAN PENGGANTIAN JARINGAN AC CENTRAL GEDUNG TERMINAL BANDARA SMB II_PLM</t>
  </si>
  <si>
    <t>PENGADAAN DAN PEMASANGAN CCR RUNWAY,TAXIWAY,PALS DAN TGS BANDARA SMB II_PLM</t>
  </si>
  <si>
    <t>Pekerjaan Jasa Kebersihan Gedung Perkantoran Bandara Internasional Minangkabau _PDG</t>
  </si>
  <si>
    <t>Perjanjian Pengadaan Jasa Penyedia Jasa Pendukung Di Bandar Udara Internasional Minangkabau_PDG</t>
  </si>
  <si>
    <t>PENGADAAN JASA PENGAMANAN AVSEC DAN NON AVSEC_PDG</t>
  </si>
  <si>
    <t>Jasa Pemeliharaan Fasilitas Dan Peralatan Mekanikal Di Bandara Internasional Minangkabau _PDG</t>
  </si>
  <si>
    <t>Pekerjaan Jasa Kebersihan Di Bandara Fatmawati Soekarno Bengkulu_BKS</t>
  </si>
  <si>
    <t>Pengadaan Jasa Tenaga Kerja Outsourcing Fungsi Avsec_PKU</t>
  </si>
  <si>
    <t>JASA TENAGA KERJA OUTSOURCING UNIT AIRPORT MAINTENANCE PENUNJANG OPERASIONAL BANDARA RAJA HAJI FISABILILLAH TANJUNGPINANG_TNJ</t>
  </si>
  <si>
    <t>JASA TENAGA KERJA OUTSOURCING SECURITY DAN NON SECURITY PENUNJANG OPERASIONAL_TNJ</t>
  </si>
  <si>
    <t>Pekerjaan Jasa Kebersihan (Cleaning Service) Gedung Terminal Bandara Sultan Thaha Jambi _DJB</t>
  </si>
  <si>
    <t>PENGADAAN TENAGA PENGAMANAN DI LINGKUNGAN BANDARA SULTAN THAHA JAMBI_JAMBI</t>
  </si>
  <si>
    <t>Pekerjaan Jasa Kebersihan (Cleaning Service) Di Bandara Radin Inten II Lampung _TKG</t>
  </si>
  <si>
    <t>Pekerjaan Jasa Kebersihan Gedung Terminal Bandar Udara Depati Amir Pangkalpinang _PGK</t>
  </si>
  <si>
    <t>PENGELOLAAN JASA PENGAMANAN (AIRPORT SECURITY)_PGK</t>
  </si>
  <si>
    <t>Tenaga OS PGK</t>
  </si>
  <si>
    <t>Jasa Kebersihan EME PGK</t>
  </si>
  <si>
    <t>HLP/jkt</t>
  </si>
  <si>
    <t>PEKERJAAN JASA PELAYANAN KEAMANAN &amp; KESELAMATAN DI BANDARA HALIM PERDANAKUSUMA TAHUN 2024_HLP</t>
  </si>
  <si>
    <t>Maintenance Terminal &amp; General Building Tahun 2024 Di Bandara Halim Perdanakusuma_HLP</t>
  </si>
  <si>
    <t>Operation Dan Maintenance Peralatan Elektrikal Dan Mekanikal Tahun 2024 HLP_HLP</t>
  </si>
  <si>
    <t>Jasa Kebersihan Halim Perdana Kusuma</t>
  </si>
  <si>
    <t>Pekerjaan Pemeliharaan Fasilitas Sisi Udara dan Aksesibilitas HLP</t>
  </si>
  <si>
    <t>Pekerjaan Jasa Kebersihan Gedung Terminal 1, 2 &amp; 3 Bandara Internasional Soekarno-Hatta Periode _CGK</t>
  </si>
  <si>
    <t>Pekerjaan Jasa Kebersihan Gedung ACS CGK_CGK</t>
  </si>
  <si>
    <t>Parking Soekarno-Hatta - Pengendapan Taksi_CGK</t>
  </si>
  <si>
    <t>Building Management_Sport Center_</t>
  </si>
  <si>
    <t>PENYEDIA JASA TENAGA KERJA (OUTSOURCING) DI LINGKUNGAN PT INTEGRASI AVIASI SOLUSI_IAS</t>
  </si>
  <si>
    <t>KERJA SAMA PENYEDIA JASA AVIATION SECURITY DI BANDARA SOEKARNO-HATTA_CGK</t>
  </si>
  <si>
    <t>Penyedia Jasa SDM Aviation Security_Gapura</t>
  </si>
  <si>
    <t>Manpower Services_Contact Center 138_</t>
  </si>
  <si>
    <t>Manpower Services_Commercial &amp; Protokoler_</t>
  </si>
  <si>
    <t>Manpower Services_Pengumpul Baki_</t>
  </si>
  <si>
    <t>Pengumpul Trolley_</t>
  </si>
  <si>
    <t>Operation Dan Maintenance Unit Water Treatment Bandara Soekarno Hatta (601)_BSH</t>
  </si>
  <si>
    <t>Pekerjaan Pengoperasian Dan Pemeliharaan Instalasi listrik Unit Facility Terminal-1 Di Bandara Soeta 2024 (601)_BSH</t>
  </si>
  <si>
    <t>Pekerjaan Pengoperasian Dan Pemeliharaan Instalasi Listrik Unit Facility Non Terminal Di Bandara Soeta 2024_BSH</t>
  </si>
  <si>
    <t>Pekerjaan Pengoperasian Dan Pemeliharaan Instalasi Listrik Main Power Station, Electrical Network, Elektrical Protection Visual AIDS, UPS &amp; Rectifier, High &amp; Medium Voltage Di Bandara Soeta 2024 (601)_BSH</t>
  </si>
  <si>
    <t>Jasa Pengoperasian Dan Pemeliharaan Fasilitas Peralatan Elektrikal, Mekanikal dan Elektronika Di Terminal 3 Bandara Soekarno-Hatta_BSH</t>
  </si>
  <si>
    <t>Pekerjaan Pengoperasian Dan Pemeliharaan Peralatan Travelator, Escalator &amp; Elevator Dan Garbarata Terminal-2 Di Bandara Soeta_BSH</t>
  </si>
  <si>
    <t>Pekerjaan Pengoperasian Dan Pemeliharaan Instalasi Listrik Unit Facility Terminal 2 Di Bandara Soeta 2024_BSH</t>
  </si>
  <si>
    <t>Maintenance Unit Water Treatment dan Sanitation Terminal 3 _BSH</t>
  </si>
  <si>
    <t>Kerjasama Parkir Inap 2</t>
  </si>
  <si>
    <t>Kerjasama Parkir TOD M1</t>
  </si>
  <si>
    <t>Pekerjaan Jasa Kebersihan Gedung Non-Terminal</t>
  </si>
  <si>
    <t>Pekerjaan Jasa Kebersihan Gedung 600</t>
  </si>
  <si>
    <t>Pemeliharaan gedung Kantor ALC</t>
  </si>
  <si>
    <t>Pekerjaan Kebersihan Sisi udara dan sisi Darat BSH</t>
  </si>
  <si>
    <t>Pekerjaan Jasa Kebersihan Gedung ACD</t>
  </si>
  <si>
    <t>Kebersihan Terminal Kargo</t>
  </si>
  <si>
    <t>Tenaga Pendukung Proyek ACD</t>
  </si>
  <si>
    <t>Jasa Kebersihan kantor APK &amp; 528</t>
  </si>
  <si>
    <t>Pekerjaan Penyedia Jasa Non Aviation Security di BSH</t>
  </si>
  <si>
    <t>Pekerjaan Pengamanan Parkir di BSH</t>
  </si>
  <si>
    <t>Pekerjaan Facility Management diluar API</t>
  </si>
  <si>
    <t xml:space="preserve">Manpower Services_HR Services_Di </t>
  </si>
  <si>
    <t xml:space="preserve">AC T3 </t>
  </si>
  <si>
    <t>AC T3</t>
  </si>
  <si>
    <t>PENYEDIA JASA PENUNJANG (DRIVER)_AGRINESIA</t>
  </si>
  <si>
    <t>Pengelolaan Kantor Aviata</t>
  </si>
  <si>
    <t>Perawatan Tanaman Hias Kantor Aviata</t>
  </si>
  <si>
    <t>PEKERJAAN PENGADAAN JASA TENAGA KEAMANAN_Sarinah</t>
  </si>
  <si>
    <t>INJOURNER MEMBER</t>
  </si>
  <si>
    <t>Jasa Tenaga Kerja Pengamanan Avsec di Warehouse RPX BSH_RPX</t>
  </si>
  <si>
    <t>AnaraTerminal 3 Internasional</t>
  </si>
  <si>
    <t>Management Fee Terminal 3 Internasional</t>
  </si>
  <si>
    <t>AnaraTerminal 3 Domestik</t>
  </si>
  <si>
    <t>Manpower Services_Bazar Ramadhan_</t>
  </si>
  <si>
    <t>Manpower Services_Customer Happines T1 T2_</t>
  </si>
  <si>
    <t>Manpower Services_Konsinyering Perusahaan_</t>
  </si>
  <si>
    <t>Manpower Services_Reorientasi_</t>
  </si>
  <si>
    <t>Managed Service Perangkat Keamanan dan Jaringan Data Di Kantor Pusat Angkasa Pura I_JKT</t>
  </si>
  <si>
    <t>Personil layanan Penumpang di Stasiun_KCIC</t>
  </si>
  <si>
    <t>SOC/PWL/SRG</t>
  </si>
  <si>
    <t>Manpower Services_OS Purbalingga_</t>
  </si>
  <si>
    <t>Cleaning Services_Cleaning Services_Waste Management YIA_JOG</t>
  </si>
  <si>
    <t>SUB/BWX</t>
  </si>
  <si>
    <t>x</t>
  </si>
  <si>
    <t>Pekerjaan Kebersihan Gedung Rumah Sakit Umum Daerah Blambangan Banyuwangi_Non AP2</t>
  </si>
  <si>
    <t>PENGADAAN JASA PENDUKUNG 3S +1C FUNGSI CS &amp; TIS SERTA ARFF BANDARA BANYUWANGI_BWX 3S</t>
  </si>
  <si>
    <t>PENGADAAN JASA PENDUKUNG NON 3S +1C BANDARA BANYUWANGI _BWX NON 3S</t>
  </si>
  <si>
    <t>Pekerjaan Pemeliharaan dan Perawatan Fasilitas Unit Airport Maintenance BWX</t>
  </si>
  <si>
    <t>PSRN</t>
  </si>
  <si>
    <t>Kontrak Payung Pekerjaan Jasa Pengaturan dan Penataan Trolley di Bandar Udara Internasional I Gusti_DPS</t>
  </si>
  <si>
    <t>Kontrak Payung Pekerjaan Jasa Pemeliharaan Kebersihan Bangunan Terminal, Gedung Parkir, Gedung VIP,_DPS</t>
  </si>
  <si>
    <t>Cleaning Services_JASA OFFICE CLEANING PT JAS_DPS</t>
  </si>
  <si>
    <t>KOE/LBJ</t>
  </si>
  <si>
    <t>HR Services_Di Labuan Bajo</t>
  </si>
  <si>
    <t>BPerbaikan dan Pemeliharaan Fasilitas Terminal, Airside dan Landside_BPN</t>
  </si>
  <si>
    <t>Manpower Services_Pekerjaan Jasa Penunjang Operasional &amp; Tenaga Pengamanan Di Lingkungan Bandara Internasional Supadio_PNK</t>
  </si>
  <si>
    <t>PENYEDIA JASA TENAGA KERJA PENUNJANG FRONTLINER &amp; BACK OFFICE DI BANDAR UDARA TJILIK RIWUT_PKY</t>
  </si>
  <si>
    <t>PENYEDIA JASA TENAGA KERJA PENUNJANG AVSEC DAN ARFF DI BANDAR UDARA TJILIK RIWUT_PKY</t>
  </si>
  <si>
    <t>PENYEMPURNAAN FASILITAS AIRFILD LIGHTING SYSTEM (AFL) PKY_PKY</t>
  </si>
  <si>
    <t>Kontrak Payung Pemeliharaan Fasilitas Sisi Udara di Bandar Udara Internasional Syamsudin Noor Banjar_BDJ</t>
  </si>
  <si>
    <t>Manpower Services_AVSEC &amp; SECURITY NON AVSEC - IMIP_</t>
  </si>
  <si>
    <t>KDI/WNI</t>
  </si>
  <si>
    <t>BANDARA INTERNASIONAL KERTAJATI Haluoleo_KDI</t>
  </si>
  <si>
    <r>
      <rPr>
        <rFont val="Montserrat"/>
        <i/>
        <color rgb="FFFF0000"/>
        <sz val="10.0"/>
      </rPr>
      <t>BANDARA INTERNASIONAL KERTAJATI/</t>
    </r>
    <r>
      <rPr>
        <rFont val="Montserrat"/>
        <b/>
        <i/>
        <color rgb="FF0000FF"/>
        <sz val="10.0"/>
      </rPr>
      <t>WAKATOBI</t>
    </r>
    <r>
      <rPr>
        <rFont val="Montserrat"/>
        <i/>
        <color rgb="FFFF0000"/>
        <sz val="10.0"/>
      </rPr>
      <t>_WNI</t>
    </r>
  </si>
  <si>
    <t>BANDARA Wakatobi INTERNASIONAL KERTAJATI_WNI</t>
  </si>
  <si>
    <t>Jasa Pengangkutan Sampah Di PT. Bogajaya Internasional Jaya Abadi_UPG</t>
  </si>
  <si>
    <t>Jasa Pengangkutan sampah di outlet Starbucks PT.Sari Coffee Indonesia_UPG</t>
  </si>
  <si>
    <t>Pengadaan Jasa Tenaga Keamanan (Security), Administrasi dan Kebersihan di Perum LPPNPI Cabang Merauke_DJJ</t>
  </si>
  <si>
    <t>LoB</t>
  </si>
  <si>
    <t>No</t>
  </si>
  <si>
    <t>List Project</t>
  </si>
  <si>
    <t>COGS</t>
  </si>
  <si>
    <t>GPM</t>
  </si>
  <si>
    <t>Implementation (2025)</t>
  </si>
  <si>
    <t>Q1</t>
  </si>
  <si>
    <t>Q2</t>
  </si>
  <si>
    <t>Q3</t>
  </si>
  <si>
    <t>Q4</t>
  </si>
  <si>
    <t>Penyedia Jasa Tenaga Kerja Outsourcing (Ticketing, Cleaning &amp; 
 Security) di Angkutan Sungai, Danau dan Penyeberangan (ASDP) di 8 
 wilayah</t>
  </si>
  <si>
    <t>Penyedia Jasa Tenaga Kerja Outsourcing (Security, Cleaning &amp; Driver) 
 di Kantor Imigrasi Banyuwangi</t>
  </si>
  <si>
    <t>Penyedia Jasa Tenaga Kerja Outsourcing (Tenaga Administrasi
 Airport Technology di Bandara Depati Amir</t>
  </si>
  <si>
    <t>Pengadaan Jasa SDM Air Side CGK di PT Gapura Angkasa</t>
  </si>
  <si>
    <t>Jasa Pemeliharaan Cleaning &amp; Security di Bank Mandiri di Wilayah 
 Kalimantan Barat</t>
  </si>
  <si>
    <t>PLTS di Lampung</t>
  </si>
  <si>
    <t>Pemasangan Kaca Film T3 CGK</t>
  </si>
  <si>
    <t>Electrical Mechanical Operation &amp; Maintenance di Bandara Supadio 
 Pontianak</t>
  </si>
  <si>
    <t>MONITORING RKAP DIREKTORAT LAYANAN ALIH DAYA DAN FASILITAS 2025</t>
  </si>
  <si>
    <t>PROPINSI /
NAMA PROGRAM</t>
  </si>
  <si>
    <t>Regional</t>
  </si>
  <si>
    <t>Beban Meterial</t>
  </si>
  <si>
    <t>Beban Konsesi &amp; Revenue Sharing</t>
  </si>
  <si>
    <t>Beban Pegawai</t>
  </si>
  <si>
    <t>Beban Outsourcing</t>
  </si>
  <si>
    <t>Beban Pemeliharaan</t>
  </si>
  <si>
    <t>Beban Utilitas</t>
  </si>
  <si>
    <t>Beban Penyusutan</t>
  </si>
  <si>
    <t>Beban Lainnya</t>
  </si>
  <si>
    <t>01</t>
  </si>
  <si>
    <t>AP 2</t>
  </si>
  <si>
    <t>PEKERJAAN PENYEDIAAN JASA TENAGA KERJA FUNGSI PENGAMANAN DI BANDAR UDARA INTERNASIONAL SULTAN ISKANDAR MUDA_ACEH</t>
  </si>
  <si>
    <t>Pekerjaan Jasa Kebersihan (Cleaning Service) Gudang Kargo, Gudang Operasional,  Jasa Nygiene  Dan Pengharum Ruangan Bandara Internasional Kualanamu Medan _KNO</t>
  </si>
  <si>
    <t>Pemeliharaan dan Perawatan Peralatan Elektronika di Bandara Internasional Kualanamu _KNO</t>
  </si>
  <si>
    <t>Pemeliharaan dan Perawatan BHS Di bandara International Kualanamu _KNO</t>
  </si>
  <si>
    <t>JASA KEGIATAN PENGAMANAN PENERBANGAN DI BANDARA SILANGIT_DTB</t>
  </si>
  <si>
    <t>Pekerjaan Jasa Kebersihan Di Bandara Fatmawati Soekarno  Bengkulu_BKS</t>
  </si>
  <si>
    <t>02</t>
  </si>
  <si>
    <t>Operation Dan Maintenance Peralatan Elektrikal Dan Mekanikal Tahun 2024 HLP</t>
  </si>
  <si>
    <t>APIndo</t>
  </si>
  <si>
    <t>Pengendapan Taksi_CGK</t>
  </si>
  <si>
    <t>Contact Center 138_</t>
  </si>
  <si>
    <t>Commercial &amp; Protokoler_</t>
  </si>
  <si>
    <t>Pengumpul Baki_</t>
  </si>
  <si>
    <t>Pengoperasian Free Shuttle Bus CGK_</t>
  </si>
  <si>
    <t>Shuttle Bus</t>
  </si>
  <si>
    <t>Pekerjaan Pemeliharaan &amp; perawatan Peralatan &amp; Layanan IT_BSH</t>
  </si>
  <si>
    <t>IT Maintenance</t>
  </si>
  <si>
    <t>Jasa Pegoprasian dan Pemeliharaan Peralatan Information Technology Di Bandara Internasional Soekarno-Hatta (601)_BSH</t>
  </si>
  <si>
    <t xml:space="preserve">Pekerjaan Facility Management diluar API </t>
  </si>
  <si>
    <t>PENGADAAN JASA OUTSOURCING SDM OPERASIONAL BANDARA BANDARA INTERNASIONAL KERTAJATI_KJT</t>
  </si>
  <si>
    <t>03</t>
  </si>
  <si>
    <t>AP 1</t>
  </si>
  <si>
    <t>OS Purbalingga_</t>
  </si>
  <si>
    <t>Nusa Tenggara Barat - Mataram (LOP)</t>
  </si>
  <si>
    <t>Nusa Tenggara Timur- Kupang (KOE)</t>
  </si>
  <si>
    <t>Kalimantan Timur - Samarinda (BPN)</t>
  </si>
  <si>
    <t>Kalimantan Barat - Pontianak (PNK)</t>
  </si>
  <si>
    <t>Kalimantan Tengah - Palangkaraya (PKY)</t>
  </si>
  <si>
    <t>Kalimantan Selatan - Banjarmasin (BDJ)</t>
  </si>
  <si>
    <t>AVSEC &amp; SECURITY NON AVSEC - IMIP_</t>
  </si>
  <si>
    <t>BANDARA INTERNASIONAL KERTAJATI_KDI</t>
  </si>
  <si>
    <t>BANDARA INTERNASIONAL KERTAJATI_WNI</t>
  </si>
  <si>
    <t>Cleaning Services_Jasa Pengumpulan Sampah di IBMA (APH) - Makassar_UPG</t>
  </si>
  <si>
    <r>
      <rPr>
        <rFont val="Montserrat"/>
        <color theme="1"/>
        <sz val="12.0"/>
      </rPr>
      <t>SUB TOTAL AP SUPPORT (</t>
    </r>
    <r>
      <rPr>
        <rFont val="Montserrat"/>
        <color rgb="FFFF0000"/>
        <sz val="12.0"/>
      </rPr>
      <t>Peralihan</t>
    </r>
    <r>
      <rPr>
        <rFont val="Montserrat"/>
        <color theme="1"/>
        <sz val="12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</si>
</sst>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,,_);_(* \(#,##0,,\);_(* &quot;-&quot;??_);_(@_)"/>
    <numFmt numFmtId="165" formatCode="#,##,,"/>
    <numFmt numFmtId="166" formatCode="d&quot;-&quot;mmm&quot;-&quot;yyyy"/>
    <numFmt numFmtId="167" formatCode="_-* #,##0_-;\-* #,##0_-;_-* &quot;-&quot;_-;_-@"/>
  </numFmts>
  <fonts count="74">
    <font>
      <sz val="11.0"/>
      <color theme="1"/>
      <name val="Calibri"/>
      <scheme val="minor"/>
    </font>
    <font>
      <b/>
      <sz val="13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  <scheme val="minor"/>
    </font>
    <font/>
    <font>
      <b/>
      <color theme="0"/>
      <name val="Calibri"/>
      <scheme val="minor"/>
    </font>
    <font>
      <b/>
      <color theme="1"/>
      <name val="Calibri"/>
      <scheme val="minor"/>
    </font>
    <font>
      <b/>
      <sz val="10.0"/>
      <color theme="0"/>
      <name val="Montserrat"/>
    </font>
    <font>
      <color rgb="FFFF0000"/>
      <name val="Calibri"/>
      <scheme val="minor"/>
    </font>
    <font>
      <b/>
      <sz val="11.0"/>
      <color rgb="FF000000"/>
      <name val="Calibri"/>
    </font>
    <font>
      <i/>
      <color rgb="FFFF0000"/>
      <name val="Montserrat"/>
    </font>
    <font>
      <i/>
      <color theme="1"/>
      <name val="Montserrat"/>
    </font>
    <font>
      <sz val="10.0"/>
      <color rgb="FFFF0000"/>
      <name val="Montserrat"/>
    </font>
    <font>
      <sz val="10.0"/>
      <color theme="1"/>
      <name val="Montserrat"/>
    </font>
    <font>
      <sz val="10.0"/>
      <color rgb="FF000000"/>
      <name val="Montserrat"/>
    </font>
    <font>
      <b/>
      <color rgb="FF000000"/>
      <name val="Montserrat"/>
    </font>
    <font>
      <i/>
      <color rgb="FF000000"/>
      <name val="Montserrat"/>
    </font>
    <font>
      <color rgb="FF000000"/>
      <name val="Montserrat"/>
    </font>
    <font>
      <sz val="11.0"/>
      <color rgb="FF000000"/>
      <name val="Calibri"/>
    </font>
    <font>
      <sz val="11.0"/>
      <color theme="1"/>
      <name val="Calibri"/>
    </font>
    <font>
      <color theme="1"/>
      <name val="Montserrat"/>
    </font>
    <font>
      <b/>
      <sz val="12.0"/>
      <color rgb="FF000000"/>
      <name val="Montserrat"/>
    </font>
    <font>
      <b/>
      <sz val="10.0"/>
      <color rgb="FF000000"/>
      <name val="Montserrat"/>
    </font>
    <font>
      <b/>
      <sz val="10.0"/>
      <color rgb="FFFF0000"/>
      <name val="Montserrat"/>
    </font>
    <font>
      <b/>
      <sz val="10.0"/>
      <color theme="1"/>
      <name val="Montserrat"/>
    </font>
    <font>
      <b/>
      <color rgb="FFFF0000"/>
      <name val="Calibri"/>
      <scheme val="minor"/>
    </font>
    <font>
      <sz val="20.0"/>
      <color rgb="FF1A5B92"/>
      <name val="Montserrat"/>
    </font>
    <font>
      <sz val="12.0"/>
      <color theme="1"/>
      <name val="Montserrat"/>
    </font>
    <font>
      <b/>
      <sz val="10.0"/>
      <color rgb="FFFFFFFF"/>
      <name val="Montserrat"/>
    </font>
    <font>
      <sz val="10.0"/>
      <color rgb="FFFFFFFF"/>
      <name val="Montserrat"/>
    </font>
    <font>
      <b/>
      <color rgb="FFFFFFFF"/>
      <name val="Montserrat"/>
    </font>
    <font>
      <b/>
      <sz val="14.0"/>
      <color theme="1"/>
      <name val="Calibri"/>
    </font>
    <font>
      <b/>
      <i/>
      <sz val="10.0"/>
      <color theme="1"/>
      <name val="Montserrat"/>
    </font>
    <font>
      <i/>
      <sz val="10.0"/>
      <color theme="1"/>
      <name val="Montserrat"/>
    </font>
    <font>
      <u/>
      <sz val="10.0"/>
      <color rgb="FF000000"/>
      <name val="Montserrat"/>
    </font>
    <font>
      <u/>
      <sz val="10.0"/>
      <color rgb="FFFF0000"/>
      <name val="Montserrat"/>
    </font>
    <font>
      <u/>
      <sz val="10.0"/>
      <color theme="1"/>
      <name val="Montserrat"/>
    </font>
    <font>
      <sz val="10.0"/>
      <color rgb="FF1A5B92"/>
      <name val="Montserrat"/>
    </font>
    <font>
      <b/>
      <i/>
      <sz val="10.0"/>
      <color rgb="FF000000"/>
      <name val="Montserrat"/>
    </font>
    <font>
      <i/>
      <sz val="10.0"/>
      <color rgb="FF000000"/>
      <name val="Montserrat"/>
    </font>
    <font>
      <i/>
      <sz val="10.0"/>
      <color rgb="FFFF0000"/>
      <name val="Montserrat"/>
    </font>
    <font>
      <b/>
      <i/>
      <sz val="10.0"/>
      <color rgb="FF00B050"/>
      <name val="Montserrat"/>
    </font>
    <font>
      <sz val="10.0"/>
      <color rgb="FF00B050"/>
      <name val="Montserrat"/>
    </font>
    <font>
      <b/>
      <i/>
      <sz val="10.0"/>
      <color rgb="FFFF0000"/>
      <name val="Montserrat"/>
    </font>
    <font>
      <sz val="10.0"/>
      <color rgb="FFFF00FF"/>
      <name val="Montserrat"/>
    </font>
    <font>
      <i/>
      <sz val="10.0"/>
      <color rgb="FF00B050"/>
      <name val="Montserrat"/>
    </font>
    <font>
      <b/>
      <i/>
      <sz val="10.0"/>
      <color rgb="FFFFFF00"/>
      <name val="Montserrat"/>
    </font>
    <font>
      <sz val="10.0"/>
      <color rgb="FFFFFF00"/>
      <name val="Montserrat"/>
    </font>
    <font>
      <b/>
      <i/>
      <color rgb="FF000000"/>
      <name val="Montserrat"/>
    </font>
    <font>
      <u/>
      <sz val="10.0"/>
      <color rgb="FF000000"/>
      <name val="Montserrat"/>
    </font>
    <font>
      <color rgb="FFFF0000"/>
      <name val="Montserrat"/>
    </font>
    <font>
      <sz val="11.0"/>
      <color rgb="FF000000"/>
      <name val="Montserrat"/>
    </font>
    <font>
      <sz val="12.0"/>
      <color rgb="FFFF0000"/>
      <name val="Montserrat"/>
    </font>
    <font>
      <u/>
      <sz val="10.0"/>
      <color rgb="FF000000"/>
      <name val="Montserrat"/>
    </font>
    <font>
      <sz val="10.0"/>
      <color rgb="FF4C1130"/>
      <name val="Montserrat"/>
    </font>
    <font>
      <u/>
      <sz val="10.0"/>
      <color rgb="FF000000"/>
      <name val="Montserrat"/>
    </font>
    <font>
      <u/>
      <sz val="10.0"/>
      <color rgb="FF000000"/>
      <name val="Montserrat"/>
    </font>
    <font>
      <sz val="10.0"/>
      <color rgb="FF434343"/>
      <name val="Montserrat"/>
    </font>
    <font>
      <b/>
      <i/>
      <sz val="10.0"/>
      <color rgb="FFFF00FF"/>
      <name val="Montserrat"/>
    </font>
    <font>
      <b/>
      <sz val="11.0"/>
      <color theme="1"/>
      <name val="Calibri"/>
    </font>
    <font>
      <u/>
      <sz val="10.0"/>
      <color rgb="FF00B050"/>
      <name val="Montserrat"/>
    </font>
    <font>
      <u/>
      <sz val="10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sz val="10.0"/>
      <color rgb="FFFFE598"/>
      <name val="Montserrat"/>
    </font>
    <font>
      <b/>
      <sz val="10.0"/>
      <color rgb="FF0000FF"/>
      <name val="Montserrat"/>
    </font>
    <font>
      <b/>
      <u/>
      <sz val="14.0"/>
      <color theme="1"/>
      <name val="Calibri"/>
    </font>
    <font>
      <sz val="11.0"/>
      <color rgb="FFFF0000"/>
      <name val="Calibri"/>
    </font>
    <font>
      <b/>
      <u/>
      <sz val="11.0"/>
      <color theme="1"/>
      <name val="Calibri"/>
    </font>
    <font>
      <sz val="10.0"/>
      <color theme="1"/>
      <name val="Calibri"/>
      <scheme val="minor"/>
    </font>
    <font>
      <sz val="10.0"/>
      <color rgb="FFFF0000"/>
      <name val="Calibri"/>
      <scheme val="minor"/>
    </font>
    <font>
      <b/>
      <sz val="9.0"/>
      <color rgb="FFFFFFFF"/>
      <name val="Montserrat"/>
    </font>
    <font>
      <b/>
      <sz val="11.0"/>
      <color rgb="FF000000"/>
      <name val="Montserrat"/>
    </font>
    <font>
      <i/>
      <color theme="1"/>
      <name val="Calibri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5088AA"/>
        <bgColor rgb="FF5088AA"/>
      </patternFill>
    </fill>
    <fill>
      <patternFill patternType="solid">
        <fgColor rgb="FF8496B0"/>
        <bgColor rgb="FF8496B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FF"/>
        <bgColor rgb="FFFF00FF"/>
      </patternFill>
    </fill>
    <fill>
      <patternFill patternType="solid">
        <fgColor rgb="FFCAEDFB"/>
        <bgColor rgb="FFCAEDFB"/>
      </patternFill>
    </fill>
    <fill>
      <patternFill patternType="solid">
        <fgColor rgb="FF00FFFF"/>
        <bgColor rgb="FF00FFFF"/>
      </patternFill>
    </fill>
    <fill>
      <patternFill patternType="solid">
        <fgColor rgb="FF2D7DCE"/>
        <bgColor rgb="FF2D7DCE"/>
      </patternFill>
    </fill>
    <fill>
      <patternFill patternType="solid">
        <fgColor rgb="FF94DCF8"/>
        <bgColor rgb="FF94DCF8"/>
      </patternFill>
    </fill>
    <fill>
      <patternFill patternType="solid">
        <fgColor rgb="FF003B43"/>
        <bgColor rgb="FF003B43"/>
      </patternFill>
    </fill>
    <fill>
      <patternFill patternType="solid">
        <fgColor rgb="FFFCFFD9"/>
        <bgColor rgb="FFFCFFD9"/>
      </patternFill>
    </fill>
    <fill>
      <patternFill patternType="solid">
        <fgColor rgb="FF35B3B5"/>
        <bgColor rgb="FF35B3B5"/>
      </patternFill>
    </fill>
  </fills>
  <borders count="10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theme="0"/>
      </right>
    </border>
    <border>
      <left style="thin">
        <color theme="0"/>
      </left>
    </border>
    <border>
      <left style="thin">
        <color theme="0"/>
      </left>
      <right style="thin">
        <color theme="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 style="thin">
        <color theme="0"/>
      </right>
      <top/>
    </border>
    <border>
      <left style="thin">
        <color theme="0"/>
      </left>
      <right style="thin">
        <color theme="0"/>
      </right>
      <top/>
    </border>
    <border>
      <left style="thin">
        <color theme="0"/>
      </left>
      <top style="thin">
        <color theme="0"/>
      </top>
      <bottom/>
    </border>
    <border>
      <right style="thin">
        <color theme="0"/>
      </right>
      <top style="thin">
        <color theme="0"/>
      </top>
      <bottom/>
    </border>
    <border>
      <left/>
      <right style="thin">
        <color theme="0"/>
      </right>
      <top/>
    </border>
    <border>
      <left/>
      <top/>
      <bottom style="thin">
        <color theme="0"/>
      </bottom>
    </border>
    <border>
      <right style="thin">
        <color theme="0"/>
      </right>
      <top/>
      <bottom style="thin">
        <color theme="0"/>
      </bottom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top/>
    </border>
    <border>
      <right style="thin">
        <color rgb="FF000000"/>
      </right>
      <top/>
    </border>
    <border>
      <left/>
      <bottom/>
    </border>
    <border>
      <right style="thin">
        <color theme="0"/>
      </right>
      <bottom/>
    </border>
    <border>
      <left style="thin">
        <color theme="0"/>
      </left>
      <right style="thin">
        <color theme="0"/>
      </right>
      <bottom/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/>
      <right style="thin">
        <color theme="0"/>
      </right>
      <bottom/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 style="thick">
        <color rgb="FF000000"/>
      </right>
      <top style="thin">
        <color theme="0"/>
      </top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hair">
        <color rgb="FFAEABAB"/>
      </top>
      <bottom style="hair">
        <color rgb="FFAEABAB"/>
      </bottom>
    </border>
    <border>
      <right style="hair">
        <color rgb="FFAEABAB"/>
      </right>
      <top style="hair">
        <color rgb="FFAEABAB"/>
      </top>
      <bottom style="hair">
        <color rgb="FFAEABAB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top style="hair">
        <color rgb="FFAEABAB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bottom style="thin">
        <color rgb="FF000000"/>
      </bottom>
    </border>
    <border>
      <right style="medium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right style="double">
        <color rgb="FF000000"/>
      </right>
      <top style="hair">
        <color rgb="FFAEABAB"/>
      </top>
      <bottom style="hair">
        <color rgb="FFAEABAB"/>
      </bottom>
    </border>
    <border>
      <right style="double">
        <color rgb="FF000000"/>
      </right>
      <top/>
      <bottom/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top style="hair">
        <color rgb="FFAEABAB"/>
      </top>
      <bottom style="double">
        <color rgb="FF000000"/>
      </bottom>
    </border>
    <border>
      <left style="thick">
        <color rgb="FF000000"/>
      </left>
      <top style="thin">
        <color rgb="FF000000"/>
      </top>
      <bottom style="double">
        <color rgb="FF000000"/>
      </bottom>
    </border>
    <border>
      <left style="double">
        <color rgb="FF000000"/>
      </left>
      <right/>
      <top/>
      <bottom/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top style="thin">
        <color rgb="FF000000"/>
      </top>
    </border>
    <border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>
        <color theme="0"/>
      </left>
      <top/>
      <bottom style="thin">
        <color theme="0"/>
      </bottom>
    </border>
    <border>
      <left style="thin">
        <color theme="0"/>
      </left>
      <top/>
      <bottom/>
    </border>
    <border>
      <top/>
      <bottom/>
    </border>
    <border>
      <right/>
      <top/>
      <bottom/>
    </border>
    <border>
      <top/>
      <bottom style="thin">
        <color theme="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left style="hair">
        <color rgb="FFAEABAB"/>
      </left>
      <right style="hair">
        <color rgb="FFAEABAB"/>
      </right>
      <top style="hair">
        <color rgb="FFAEABAB"/>
      </top>
      <bottom style="hair">
        <color rgb="FFAEABAB"/>
      </bottom>
    </border>
    <border>
      <left style="hair">
        <color rgb="FFAEABAB"/>
      </left>
      <right style="hair">
        <color rgb="FFAEABAB"/>
      </right>
      <bottom style="hair">
        <color rgb="FFAEABAB"/>
      </bottom>
    </border>
  </borders>
  <cellStyleXfs count="1">
    <xf borderId="0" fillId="0" fontId="0" numFmtId="0" applyAlignment="1" applyFont="1"/>
  </cellStyleXfs>
  <cellXfs count="14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2" fillId="2" fontId="3" numFmtId="0" xfId="0" applyAlignment="1" applyBorder="1" applyFill="1" applyFont="1">
      <alignment horizontal="center" readingOrder="0"/>
    </xf>
    <xf borderId="2" fillId="3" fontId="5" numFmtId="0" xfId="0" applyAlignment="1" applyBorder="1" applyFill="1" applyFont="1">
      <alignment horizontal="center" readingOrder="0"/>
    </xf>
    <xf borderId="5" fillId="0" fontId="4" numFmtId="0" xfId="0" applyBorder="1" applyFont="1"/>
    <xf borderId="2" fillId="0" fontId="2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 vertical="center"/>
    </xf>
    <xf borderId="3" fillId="2" fontId="6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vertical="center"/>
    </xf>
    <xf borderId="6" fillId="0" fontId="4" numFmtId="0" xfId="0" applyBorder="1" applyFont="1"/>
    <xf borderId="7" fillId="3" fontId="7" numFmtId="0" xfId="0" applyAlignment="1" applyBorder="1" applyFont="1">
      <alignment horizontal="center" vertical="center"/>
    </xf>
    <xf borderId="8" fillId="4" fontId="7" numFmtId="0" xfId="0" applyAlignment="1" applyBorder="1" applyFill="1" applyFont="1">
      <alignment horizontal="center" vertical="center"/>
    </xf>
    <xf borderId="9" fillId="0" fontId="4" numFmtId="0" xfId="0" applyBorder="1" applyFont="1"/>
    <xf borderId="10" fillId="0" fontId="2" numFmtId="0" xfId="0" applyAlignment="1" applyBorder="1" applyFont="1">
      <alignment horizontal="center" readingOrder="0" vertical="center"/>
    </xf>
    <xf borderId="10" fillId="5" fontId="2" numFmtId="0" xfId="0" applyAlignment="1" applyBorder="1" applyFill="1" applyFont="1">
      <alignment horizontal="center" readingOrder="0" vertical="center"/>
    </xf>
    <xf borderId="10" fillId="2" fontId="6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10" fillId="0" fontId="8" numFmtId="0" xfId="0" applyBorder="1" applyFont="1"/>
    <xf borderId="10" fillId="0" fontId="9" numFmtId="0" xfId="0" applyAlignment="1" applyBorder="1" applyFont="1">
      <alignment horizontal="center" readingOrder="0" shrinkToFit="0" vertical="top" wrapText="0"/>
    </xf>
    <xf borderId="4" fillId="0" fontId="9" numFmtId="0" xfId="0" applyAlignment="1" applyBorder="1" applyFont="1">
      <alignment horizontal="left" readingOrder="0" shrinkToFit="0" vertical="bottom" wrapText="0"/>
    </xf>
    <xf borderId="4" fillId="0" fontId="9" numFmtId="0" xfId="0" applyAlignment="1" applyBorder="1" applyFont="1">
      <alignment shrinkToFit="0" vertical="bottom" wrapText="0"/>
    </xf>
    <xf borderId="4" fillId="5" fontId="9" numFmtId="0" xfId="0" applyAlignment="1" applyBorder="1" applyFont="1">
      <alignment shrinkToFit="0" vertical="bottom" wrapText="0"/>
    </xf>
    <xf borderId="4" fillId="2" fontId="9" numFmtId="0" xfId="0" applyAlignment="1" applyBorder="1" applyFont="1">
      <alignment shrinkToFit="0" vertical="bottom" wrapText="0"/>
    </xf>
    <xf borderId="10" fillId="0" fontId="10" numFmtId="0" xfId="0" applyAlignment="1" applyBorder="1" applyFont="1">
      <alignment readingOrder="0" shrinkToFit="0" vertical="bottom" wrapText="0"/>
    </xf>
    <xf borderId="9" fillId="0" fontId="11" numFmtId="0" xfId="0" applyAlignment="1" applyBorder="1" applyFont="1">
      <alignment horizontal="center" readingOrder="0" shrinkToFit="0" vertical="top" wrapText="0"/>
    </xf>
    <xf borderId="11" fillId="0" fontId="11" numFmtId="0" xfId="0" applyAlignment="1" applyBorder="1" applyFont="1">
      <alignment horizontal="left" readingOrder="0" shrinkToFit="0" vertical="bottom" wrapText="0"/>
    </xf>
    <xf borderId="11" fillId="0" fontId="11" numFmtId="0" xfId="0" applyAlignment="1" applyBorder="1" applyFont="1">
      <alignment readingOrder="0" shrinkToFit="0" vertical="bottom" wrapText="0"/>
    </xf>
    <xf borderId="11" fillId="6" fontId="11" numFmtId="0" xfId="0" applyAlignment="1" applyBorder="1" applyFill="1" applyFont="1">
      <alignment readingOrder="0" shrinkToFit="0" vertical="bottom" wrapText="0"/>
    </xf>
    <xf borderId="11" fillId="0" fontId="11" numFmtId="164" xfId="0" applyAlignment="1" applyBorder="1" applyFont="1" applyNumberFormat="1">
      <alignment shrinkToFit="0" vertical="bottom" wrapText="0"/>
    </xf>
    <xf borderId="11" fillId="6" fontId="11" numFmtId="0" xfId="0" applyAlignment="1" applyBorder="1" applyFont="1">
      <alignment shrinkToFit="0" vertical="bottom" wrapText="0"/>
    </xf>
    <xf borderId="11" fillId="2" fontId="11" numFmtId="164" xfId="0" applyAlignment="1" applyBorder="1" applyFont="1" applyNumberFormat="1">
      <alignment readingOrder="0" shrinkToFit="0" vertical="bottom" wrapText="0"/>
    </xf>
    <xf borderId="11" fillId="2" fontId="11" numFmtId="0" xfId="0" applyAlignment="1" applyBorder="1" applyFont="1">
      <alignment readingOrder="0" shrinkToFit="0" vertical="bottom" wrapText="0"/>
    </xf>
    <xf borderId="11" fillId="2" fontId="11" numFmtId="10" xfId="0" applyAlignment="1" applyBorder="1" applyFont="1" applyNumberFormat="1">
      <alignment readingOrder="0" shrinkToFit="0" vertical="bottom" wrapText="0"/>
    </xf>
    <xf borderId="10" fillId="0" fontId="12" numFmtId="164" xfId="0" applyAlignment="1" applyBorder="1" applyFont="1" applyNumberFormat="1">
      <alignment shrinkToFit="0" vertical="bottom" wrapText="0"/>
    </xf>
    <xf borderId="10" fillId="7" fontId="13" numFmtId="164" xfId="0" applyAlignment="1" applyBorder="1" applyFill="1" applyFont="1" applyNumberFormat="1">
      <alignment shrinkToFit="0" vertical="bottom" wrapText="0"/>
    </xf>
    <xf borderId="10" fillId="0" fontId="14" numFmtId="164" xfId="0" applyAlignment="1" applyBorder="1" applyFont="1" applyNumberFormat="1">
      <alignment horizontal="right" shrinkToFit="0" wrapText="0"/>
    </xf>
    <xf borderId="10" fillId="0" fontId="14" numFmtId="10" xfId="0" applyAlignment="1" applyBorder="1" applyFont="1" applyNumberFormat="1">
      <alignment horizontal="right" readingOrder="0" shrinkToFit="0" wrapText="0"/>
    </xf>
    <xf borderId="10" fillId="7" fontId="12" numFmtId="164" xfId="0" applyAlignment="1" applyBorder="1" applyFont="1" applyNumberFormat="1">
      <alignment shrinkToFit="0" vertical="bottom" wrapText="0"/>
    </xf>
    <xf borderId="10" fillId="0" fontId="8" numFmtId="164" xfId="0" applyBorder="1" applyFont="1" applyNumberFormat="1"/>
    <xf borderId="0" fillId="0" fontId="2" numFmtId="164" xfId="0" applyFont="1" applyNumberFormat="1"/>
    <xf borderId="11" fillId="0" fontId="11" numFmtId="0" xfId="0" applyAlignment="1" applyBorder="1" applyFont="1">
      <alignment horizontal="left" readingOrder="0" shrinkToFit="0" vertical="top" wrapText="0"/>
    </xf>
    <xf borderId="11" fillId="0" fontId="11" numFmtId="0" xfId="0" applyAlignment="1" applyBorder="1" applyFont="1">
      <alignment shrinkToFit="0" vertical="bottom" wrapText="0"/>
    </xf>
    <xf borderId="9" fillId="0" fontId="15" numFmtId="0" xfId="0" applyAlignment="1" applyBorder="1" applyFont="1">
      <alignment horizontal="center" readingOrder="0" shrinkToFit="0" vertical="top" wrapText="0"/>
    </xf>
    <xf borderId="11" fillId="0" fontId="15" numFmtId="0" xfId="0" applyAlignment="1" applyBorder="1" applyFont="1">
      <alignment horizontal="left" readingOrder="0" shrinkToFit="0" vertical="top" wrapText="0"/>
    </xf>
    <xf borderId="11" fillId="0" fontId="15" numFmtId="0" xfId="0" applyAlignment="1" applyBorder="1" applyFont="1">
      <alignment vertical="top"/>
    </xf>
    <xf borderId="11" fillId="6" fontId="15" numFmtId="0" xfId="0" applyAlignment="1" applyBorder="1" applyFont="1">
      <alignment vertical="top"/>
    </xf>
    <xf borderId="10" fillId="0" fontId="12" numFmtId="0" xfId="0" applyAlignment="1" applyBorder="1" applyFont="1">
      <alignment shrinkToFit="0" vertical="bottom" wrapText="0"/>
    </xf>
    <xf borderId="10" fillId="7" fontId="12" numFmtId="0" xfId="0" applyAlignment="1" applyBorder="1" applyFont="1">
      <alignment shrinkToFit="0" vertical="bottom" wrapText="0"/>
    </xf>
    <xf borderId="0" fillId="0" fontId="2" numFmtId="0" xfId="0" applyFont="1"/>
    <xf borderId="9" fillId="0" fontId="16" numFmtId="0" xfId="0" applyAlignment="1" applyBorder="1" applyFont="1">
      <alignment horizontal="center" readingOrder="0" shrinkToFit="0" vertical="top" wrapText="0"/>
    </xf>
    <xf borderId="11" fillId="0" fontId="16" numFmtId="0" xfId="0" applyAlignment="1" applyBorder="1" applyFont="1">
      <alignment horizontal="left" readingOrder="0" shrinkToFit="0" vertical="top" wrapText="0"/>
    </xf>
    <xf borderId="11" fillId="0" fontId="17" numFmtId="0" xfId="0" applyAlignment="1" applyBorder="1" applyFont="1">
      <alignment readingOrder="0" shrinkToFit="0" vertical="bottom" wrapText="0"/>
    </xf>
    <xf borderId="11" fillId="5" fontId="17" numFmtId="0" xfId="0" applyAlignment="1" applyBorder="1" applyFont="1">
      <alignment readingOrder="0" shrinkToFit="0" vertical="bottom" wrapText="0"/>
    </xf>
    <xf borderId="11" fillId="5" fontId="17" numFmtId="164" xfId="0" applyAlignment="1" applyBorder="1" applyFont="1" applyNumberFormat="1">
      <alignment shrinkToFit="0" vertical="bottom" wrapText="0"/>
    </xf>
    <xf borderId="11" fillId="6" fontId="17" numFmtId="0" xfId="0" applyAlignment="1" applyBorder="1" applyFont="1">
      <alignment shrinkToFit="0" vertical="bottom" wrapText="0"/>
    </xf>
    <xf borderId="11" fillId="0" fontId="17" numFmtId="0" xfId="0" applyAlignment="1" applyBorder="1" applyFont="1">
      <alignment shrinkToFit="0" vertical="bottom" wrapText="0"/>
    </xf>
    <xf borderId="9" fillId="0" fontId="9" numFmtId="0" xfId="0" applyAlignment="1" applyBorder="1" applyFont="1">
      <alignment horizontal="center" readingOrder="0" shrinkToFit="0" vertical="top" wrapText="0"/>
    </xf>
    <xf borderId="11" fillId="0" fontId="18" numFmtId="0" xfId="0" applyAlignment="1" applyBorder="1" applyFont="1">
      <alignment vertical="top"/>
    </xf>
    <xf borderId="11" fillId="6" fontId="18" numFmtId="0" xfId="0" applyAlignment="1" applyBorder="1" applyFont="1">
      <alignment vertical="top"/>
    </xf>
    <xf borderId="11" fillId="0" fontId="19" numFmtId="0" xfId="0" applyAlignment="1" applyBorder="1" applyFont="1">
      <alignment vertical="top"/>
    </xf>
    <xf borderId="11" fillId="6" fontId="19" numFmtId="0" xfId="0" applyAlignment="1" applyBorder="1" applyFont="1">
      <alignment vertical="top"/>
    </xf>
    <xf borderId="11" fillId="0" fontId="20" numFmtId="0" xfId="0" applyAlignment="1" applyBorder="1" applyFont="1">
      <alignment shrinkToFit="0" vertical="bottom" wrapText="0"/>
    </xf>
    <xf borderId="11" fillId="6" fontId="20" numFmtId="0" xfId="0" applyAlignment="1" applyBorder="1" applyFont="1">
      <alignment shrinkToFit="0" vertical="bottom" wrapText="0"/>
    </xf>
    <xf borderId="12" fillId="0" fontId="21" numFmtId="0" xfId="0" applyAlignment="1" applyBorder="1" applyFont="1">
      <alignment horizontal="center" readingOrder="0" shrinkToFit="0" wrapText="0"/>
    </xf>
    <xf borderId="13" fillId="0" fontId="4" numFmtId="0" xfId="0" applyBorder="1" applyFont="1"/>
    <xf borderId="13" fillId="0" fontId="22" numFmtId="0" xfId="0" applyAlignment="1" applyBorder="1" applyFont="1">
      <alignment horizontal="center" readingOrder="0" shrinkToFit="0" wrapText="0"/>
    </xf>
    <xf borderId="13" fillId="5" fontId="22" numFmtId="0" xfId="0" applyAlignment="1" applyBorder="1" applyFont="1">
      <alignment horizontal="center" readingOrder="0" shrinkToFit="0" wrapText="0"/>
    </xf>
    <xf borderId="11" fillId="0" fontId="22" numFmtId="164" xfId="0" applyAlignment="1" applyBorder="1" applyFont="1" applyNumberFormat="1">
      <alignment horizontal="center" readingOrder="0" shrinkToFit="0" wrapText="0"/>
    </xf>
    <xf borderId="11" fillId="2" fontId="22" numFmtId="0" xfId="0" applyAlignment="1" applyBorder="1" applyFont="1">
      <alignment horizontal="center" readingOrder="0" shrinkToFit="0" wrapText="0"/>
    </xf>
    <xf borderId="11" fillId="2" fontId="22" numFmtId="10" xfId="0" applyAlignment="1" applyBorder="1" applyFont="1" applyNumberFormat="1">
      <alignment horizontal="center" readingOrder="0" shrinkToFit="0" wrapText="0"/>
    </xf>
    <xf borderId="10" fillId="0" fontId="23" numFmtId="0" xfId="0" applyAlignment="1" applyBorder="1" applyFont="1">
      <alignment horizontal="center" readingOrder="0" shrinkToFit="0" wrapText="0"/>
    </xf>
    <xf borderId="10" fillId="7" fontId="24" numFmtId="0" xfId="0" applyAlignment="1" applyBorder="1" applyFont="1">
      <alignment horizontal="center" readingOrder="0" shrinkToFit="0" wrapText="0"/>
    </xf>
    <xf borderId="10" fillId="0" fontId="23" numFmtId="10" xfId="0" applyAlignment="1" applyBorder="1" applyFont="1" applyNumberFormat="1">
      <alignment horizontal="center" readingOrder="0" shrinkToFit="0" wrapText="0"/>
    </xf>
    <xf borderId="10" fillId="7" fontId="23" numFmtId="0" xfId="0" applyAlignment="1" applyBorder="1" applyFont="1">
      <alignment horizontal="center" readingOrder="0" shrinkToFit="0" wrapText="0"/>
    </xf>
    <xf borderId="10" fillId="0" fontId="25" numFmtId="0" xfId="0" applyBorder="1" applyFont="1"/>
    <xf borderId="0" fillId="0" fontId="19" numFmtId="164" xfId="0" applyAlignment="1" applyFont="1" applyNumberFormat="1">
      <alignment vertical="center"/>
    </xf>
    <xf borderId="0" fillId="0" fontId="19" numFmtId="164" xfId="0" applyAlignment="1" applyFont="1" applyNumberFormat="1">
      <alignment readingOrder="0" vertical="center"/>
    </xf>
    <xf borderId="11" fillId="0" fontId="19" numFmtId="164" xfId="0" applyAlignment="1" applyBorder="1" applyFont="1" applyNumberFormat="1">
      <alignment vertical="center"/>
    </xf>
    <xf borderId="10" fillId="0" fontId="19" numFmtId="164" xfId="0" applyAlignment="1" applyBorder="1" applyFont="1" applyNumberFormat="1">
      <alignment vertical="center"/>
    </xf>
    <xf borderId="10" fillId="0" fontId="2" numFmtId="0" xfId="0" applyBorder="1" applyFont="1"/>
    <xf borderId="0" fillId="0" fontId="6" numFmtId="0" xfId="0" applyAlignment="1" applyFont="1">
      <alignment horizontal="right" readingOrder="0"/>
    </xf>
    <xf borderId="13" fillId="6" fontId="22" numFmtId="0" xfId="0" applyAlignment="1" applyBorder="1" applyFont="1">
      <alignment horizontal="center" readingOrder="0" shrinkToFit="0" wrapText="0"/>
    </xf>
    <xf borderId="10" fillId="0" fontId="2" numFmtId="164" xfId="0" applyBorder="1" applyFont="1" applyNumberFormat="1"/>
    <xf borderId="0" fillId="6" fontId="19" numFmtId="164" xfId="0" applyFont="1" applyNumberFormat="1"/>
    <xf borderId="14" fillId="6" fontId="19" numFmtId="164" xfId="0" applyBorder="1" applyFont="1" applyNumberFormat="1"/>
    <xf borderId="0" fillId="0" fontId="15" numFmtId="0" xfId="0" applyAlignment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10" fillId="8" fontId="15" numFmtId="0" xfId="0" applyAlignment="1" applyBorder="1" applyFill="1" applyFont="1">
      <alignment horizontal="center" readingOrder="0" shrinkToFit="0" vertical="bottom" wrapText="0"/>
    </xf>
    <xf borderId="4" fillId="8" fontId="9" numFmtId="0" xfId="0" applyAlignment="1" applyBorder="1" applyFont="1">
      <alignment horizontal="center" readingOrder="0" shrinkToFit="0" vertical="bottom" wrapText="0"/>
    </xf>
    <xf borderId="9" fillId="0" fontId="15" numFmtId="0" xfId="0" applyAlignment="1" applyBorder="1" applyFont="1">
      <alignment readingOrder="0" shrinkToFit="0" vertical="bottom" wrapText="0"/>
    </xf>
    <xf borderId="11" fillId="0" fontId="18" numFmtId="0" xfId="0" applyAlignment="1" applyBorder="1" applyFont="1">
      <alignment horizontal="right" readingOrder="0" shrinkToFit="0" vertical="bottom" wrapText="0"/>
    </xf>
    <xf borderId="9" fillId="9" fontId="15" numFmtId="0" xfId="0" applyAlignment="1" applyBorder="1" applyFill="1" applyFont="1">
      <alignment horizontal="left" readingOrder="0" shrinkToFit="0" vertical="bottom" wrapText="0"/>
    </xf>
    <xf borderId="11" fillId="9" fontId="18" numFmtId="0" xfId="0" applyAlignment="1" applyBorder="1" applyFont="1">
      <alignment horizontal="right" readingOrder="0" shrinkToFit="0" vertical="bottom" wrapText="0"/>
    </xf>
    <xf borderId="9" fillId="9" fontId="15" numFmtId="0" xfId="0" applyAlignment="1" applyBorder="1" applyFont="1">
      <alignment readingOrder="0" shrinkToFit="0" vertical="bottom" wrapText="0"/>
    </xf>
    <xf borderId="0" fillId="9" fontId="15" numFmtId="0" xfId="0" applyAlignment="1" applyFont="1">
      <alignment shrinkToFit="0" vertical="bottom" wrapText="0"/>
    </xf>
    <xf borderId="0" fillId="9" fontId="18" numFmtId="0" xfId="0" applyAlignment="1" applyFont="1">
      <alignment shrinkToFit="0" vertical="bottom" wrapText="0"/>
    </xf>
    <xf borderId="0" fillId="9" fontId="15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5" fillId="0" fontId="2" numFmtId="10" xfId="0" applyBorder="1" applyFont="1" applyNumberFormat="1"/>
    <xf borderId="16" fillId="0" fontId="6" numFmtId="9" xfId="0" applyBorder="1" applyFont="1" applyNumberFormat="1"/>
    <xf borderId="10" fillId="0" fontId="2" numFmtId="1" xfId="0" applyBorder="1" applyFont="1" applyNumberFormat="1"/>
    <xf borderId="10" fillId="0" fontId="2" numFmtId="10" xfId="0" applyBorder="1" applyFont="1" applyNumberFormat="1"/>
    <xf borderId="9" fillId="0" fontId="17" numFmtId="0" xfId="0" applyAlignment="1" applyBorder="1" applyFont="1">
      <alignment horizontal="center" readingOrder="0" shrinkToFit="0" vertical="top" wrapText="0"/>
    </xf>
    <xf borderId="10" fillId="0" fontId="2" numFmtId="164" xfId="0" applyAlignment="1" applyBorder="1" applyFont="1" applyNumberFormat="1">
      <alignment readingOrder="0"/>
    </xf>
    <xf borderId="0" fillId="0" fontId="27" numFmtId="0" xfId="0" applyAlignment="1" applyFont="1">
      <alignment vertical="center"/>
    </xf>
    <xf borderId="0" fillId="0" fontId="19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9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horizontal="center" vertical="center"/>
    </xf>
    <xf borderId="0" fillId="0" fontId="27" numFmtId="0" xfId="0" applyAlignment="1" applyFont="1">
      <alignment readingOrder="0" vertical="center"/>
    </xf>
    <xf borderId="17" fillId="3" fontId="7" numFmtId="0" xfId="0" applyAlignment="1" applyBorder="1" applyFont="1">
      <alignment horizontal="center" vertical="center"/>
    </xf>
    <xf borderId="18" fillId="0" fontId="4" numFmtId="0" xfId="0" applyBorder="1" applyFont="1"/>
    <xf borderId="19" fillId="3" fontId="28" numFmtId="0" xfId="0" applyAlignment="1" applyBorder="1" applyFont="1">
      <alignment horizontal="center" readingOrder="0" vertical="center"/>
    </xf>
    <xf borderId="19" fillId="3" fontId="7" numFmtId="0" xfId="0" applyAlignment="1" applyBorder="1" applyFont="1">
      <alignment horizontal="center" shrinkToFit="0" vertical="center" wrapText="1"/>
    </xf>
    <xf borderId="19" fillId="3" fontId="28" numFmtId="0" xfId="0" applyAlignment="1" applyBorder="1" applyFont="1">
      <alignment horizontal="center" readingOrder="0" shrinkToFit="0" vertical="center" wrapText="1"/>
    </xf>
    <xf borderId="8" fillId="3" fontId="28" numFmtId="0" xfId="0" applyAlignment="1" applyBorder="1" applyFont="1">
      <alignment horizontal="center" readingOrder="0" vertical="center"/>
    </xf>
    <xf borderId="20" fillId="3" fontId="28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3" fontId="28" numFmtId="165" xfId="0" applyAlignment="1" applyBorder="1" applyFont="1" applyNumberFormat="1">
      <alignment horizontal="center" readingOrder="0" shrinkToFit="0" vertical="center" wrapText="1"/>
    </xf>
    <xf borderId="18" fillId="3" fontId="28" numFmtId="0" xfId="0" applyAlignment="1" applyBorder="1" applyFont="1">
      <alignment horizontal="center" readingOrder="0" shrinkToFit="0" vertical="center" wrapText="1"/>
    </xf>
    <xf borderId="23" fillId="3" fontId="7" numFmtId="166" xfId="0" applyAlignment="1" applyBorder="1" applyFont="1" applyNumberFormat="1">
      <alignment horizontal="center" vertical="center"/>
    </xf>
    <xf borderId="24" fillId="0" fontId="4" numFmtId="0" xfId="0" applyBorder="1" applyFont="1"/>
    <xf borderId="25" fillId="3" fontId="28" numFmtId="0" xfId="0" applyAlignment="1" applyBorder="1" applyFont="1">
      <alignment horizontal="center" readingOrder="0" vertical="center"/>
    </xf>
    <xf borderId="25" fillId="0" fontId="4" numFmtId="0" xfId="0" applyBorder="1" applyFont="1"/>
    <xf borderId="26" fillId="0" fontId="4" numFmtId="0" xfId="0" applyBorder="1" applyFont="1"/>
    <xf borderId="27" fillId="10" fontId="29" numFmtId="0" xfId="0" applyAlignment="1" applyBorder="1" applyFill="1" applyFont="1">
      <alignment horizontal="center" readingOrder="0" vertical="center"/>
    </xf>
    <xf borderId="28" fillId="0" fontId="4" numFmtId="0" xfId="0" applyBorder="1" applyFont="1"/>
    <xf borderId="0" fillId="7" fontId="14" numFmtId="0" xfId="0" applyAlignment="1" applyFont="1">
      <alignment horizontal="center" readingOrder="0" vertical="center"/>
    </xf>
    <xf borderId="0" fillId="10" fontId="29" numFmtId="0" xfId="0" applyAlignment="1" applyFont="1">
      <alignment horizontal="center" readingOrder="0" vertical="center"/>
    </xf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3" fontId="7" numFmtId="0" xfId="0" applyAlignment="1" applyBorder="1" applyFont="1">
      <alignment horizontal="center" vertical="center"/>
    </xf>
    <xf borderId="33" fillId="3" fontId="30" numFmtId="0" xfId="0" applyAlignment="1" applyBorder="1" applyFont="1">
      <alignment horizontal="center" readingOrder="0" shrinkToFit="0" vertical="center" wrapText="0"/>
    </xf>
    <xf borderId="34" fillId="0" fontId="4" numFmtId="0" xfId="0" applyBorder="1" applyFont="1"/>
    <xf borderId="35" fillId="3" fontId="7" numFmtId="166" xfId="0" applyAlignment="1" applyBorder="1" applyFont="1" applyNumberFormat="1">
      <alignment horizontal="center" vertical="center"/>
    </xf>
    <xf borderId="20" fillId="3" fontId="7" numFmtId="166" xfId="0" applyAlignment="1" applyBorder="1" applyFont="1" applyNumberFormat="1">
      <alignment horizontal="center" vertical="center"/>
    </xf>
    <xf borderId="21" fillId="3" fontId="7" numFmtId="0" xfId="0" applyAlignment="1" applyBorder="1" applyFont="1">
      <alignment horizontal="center" vertical="center"/>
    </xf>
    <xf borderId="36" fillId="3" fontId="7" numFmtId="0" xfId="0" applyAlignment="1" applyBorder="1" applyFont="1">
      <alignment horizontal="center" vertical="center"/>
    </xf>
    <xf borderId="37" fillId="4" fontId="7" numFmtId="0" xfId="0" applyAlignment="1" applyBorder="1" applyFont="1">
      <alignment horizontal="center" vertical="center"/>
    </xf>
    <xf borderId="38" fillId="0" fontId="4" numFmtId="0" xfId="0" applyBorder="1" applyFont="1"/>
    <xf borderId="39" fillId="3" fontId="28" numFmtId="0" xfId="0" applyAlignment="1" applyBorder="1" applyFont="1">
      <alignment horizontal="center" readingOrder="0" vertical="center"/>
    </xf>
    <xf borderId="40" fillId="3" fontId="28" numFmtId="0" xfId="0" applyAlignment="1" applyBorder="1" applyFont="1">
      <alignment horizontal="center" readingOrder="0" vertical="center"/>
    </xf>
    <xf borderId="1" fillId="3" fontId="28" numFmtId="0" xfId="0" applyAlignment="1" applyBorder="1" applyFont="1">
      <alignment horizontal="center" readingOrder="0" vertical="center"/>
    </xf>
    <xf borderId="1" fillId="3" fontId="28" numFmtId="0" xfId="0" applyAlignment="1" applyBorder="1" applyFont="1">
      <alignment horizontal="center" readingOrder="0" shrinkToFit="0" vertical="center" wrapText="1"/>
    </xf>
    <xf borderId="5" fillId="3" fontId="28" numFmtId="0" xfId="0" applyAlignment="1" applyBorder="1" applyFont="1">
      <alignment horizontal="center" readingOrder="0" vertical="center"/>
    </xf>
    <xf borderId="1" fillId="3" fontId="28" numFmtId="3" xfId="0" applyAlignment="1" applyBorder="1" applyFont="1" applyNumberFormat="1">
      <alignment horizontal="center" readingOrder="0" vertical="center"/>
    </xf>
    <xf quotePrefix="1" borderId="41" fillId="4" fontId="28" numFmtId="0" xfId="0" applyAlignment="1" applyBorder="1" applyFont="1">
      <alignment horizontal="center" readingOrder="0" vertical="center"/>
    </xf>
    <xf borderId="13" fillId="10" fontId="29" numFmtId="0" xfId="0" applyAlignment="1" applyBorder="1" applyFont="1">
      <alignment horizontal="center" readingOrder="0" vertical="center"/>
    </xf>
    <xf borderId="11" fillId="10" fontId="29" numFmtId="0" xfId="0" applyAlignment="1" applyBorder="1" applyFont="1">
      <alignment horizontal="center" readingOrder="0" vertical="center"/>
    </xf>
    <xf borderId="42" fillId="0" fontId="31" numFmtId="0" xfId="0" applyAlignment="1" applyBorder="1" applyFont="1">
      <alignment horizontal="center" vertical="center"/>
    </xf>
    <xf borderId="43" fillId="0" fontId="31" numFmtId="0" xfId="0" applyAlignment="1" applyBorder="1" applyFont="1">
      <alignment horizontal="left" vertical="center"/>
    </xf>
    <xf borderId="43" fillId="0" fontId="24" numFmtId="0" xfId="0" applyAlignment="1" applyBorder="1" applyFont="1">
      <alignment vertical="center"/>
    </xf>
    <xf borderId="43" fillId="0" fontId="13" numFmtId="0" xfId="0" applyAlignment="1" applyBorder="1" applyFont="1">
      <alignment shrinkToFit="0" vertical="center" wrapText="1"/>
    </xf>
    <xf borderId="43" fillId="0" fontId="13" numFmtId="0" xfId="0" applyAlignment="1" applyBorder="1" applyFont="1">
      <alignment horizontal="center" vertical="center"/>
    </xf>
    <xf borderId="43" fillId="0" fontId="13" numFmtId="0" xfId="0" applyAlignment="1" applyBorder="1" applyFont="1">
      <alignment vertical="center"/>
    </xf>
    <xf borderId="43" fillId="0" fontId="13" numFmtId="165" xfId="0" applyAlignment="1" applyBorder="1" applyFont="1" applyNumberFormat="1">
      <alignment vertical="center"/>
    </xf>
    <xf borderId="43" fillId="0" fontId="13" numFmtId="0" xfId="0" applyAlignment="1" applyBorder="1" applyFont="1">
      <alignment horizontal="left" shrinkToFit="0" vertical="center" wrapText="1"/>
    </xf>
    <xf borderId="43" fillId="0" fontId="13" numFmtId="166" xfId="0" applyAlignment="1" applyBorder="1" applyFont="1" applyNumberFormat="1">
      <alignment horizontal="center" vertical="center"/>
    </xf>
    <xf borderId="43" fillId="0" fontId="24" numFmtId="164" xfId="0" applyAlignment="1" applyBorder="1" applyFont="1" applyNumberFormat="1">
      <alignment vertical="center"/>
    </xf>
    <xf borderId="44" fillId="0" fontId="24" numFmtId="164" xfId="0" applyAlignment="1" applyBorder="1" applyFont="1" applyNumberFormat="1">
      <alignment vertical="center"/>
    </xf>
    <xf borderId="0" fillId="6" fontId="13" numFmtId="164" xfId="0" applyFont="1" applyNumberFormat="1"/>
    <xf borderId="45" fillId="0" fontId="24" numFmtId="164" xfId="0" applyAlignment="1" applyBorder="1" applyFont="1" applyNumberFormat="1">
      <alignment vertical="center"/>
    </xf>
    <xf borderId="0" fillId="0" fontId="24" numFmtId="0" xfId="0" applyAlignment="1" applyFont="1">
      <alignment vertical="center"/>
    </xf>
    <xf borderId="46" fillId="0" fontId="32" numFmtId="0" xfId="0" applyAlignment="1" applyBorder="1" applyFont="1">
      <alignment horizontal="center" vertical="center"/>
    </xf>
    <xf borderId="10" fillId="7" fontId="32" numFmtId="0" xfId="0" applyAlignment="1" applyBorder="1" applyFont="1">
      <alignment horizontal="left" vertical="center"/>
    </xf>
    <xf borderId="10" fillId="0" fontId="33" numFmtId="0" xfId="0" applyAlignment="1" applyBorder="1" applyFont="1">
      <alignment vertical="center"/>
    </xf>
    <xf borderId="10" fillId="0" fontId="13" numFmtId="0" xfId="0" applyAlignment="1" applyBorder="1" applyFont="1">
      <alignment shrinkToFit="0" vertical="center" wrapText="1"/>
    </xf>
    <xf borderId="10" fillId="0" fontId="13" numFmtId="0" xfId="0" applyAlignment="1" applyBorder="1" applyFont="1">
      <alignment horizontal="center" vertical="center"/>
    </xf>
    <xf borderId="10" fillId="6" fontId="13" numFmtId="164" xfId="0" applyAlignment="1" applyBorder="1" applyFont="1" applyNumberFormat="1">
      <alignment horizontal="center" readingOrder="0" vertical="center"/>
    </xf>
    <xf borderId="10" fillId="0" fontId="32" numFmtId="165" xfId="0" applyAlignment="1" applyBorder="1" applyFont="1" applyNumberFormat="1">
      <alignment vertical="center"/>
    </xf>
    <xf borderId="10" fillId="0" fontId="13" numFmtId="0" xfId="0" applyAlignment="1" applyBorder="1" applyFont="1">
      <alignment horizontal="left" shrinkToFit="0" vertical="center" wrapText="1"/>
    </xf>
    <xf borderId="10" fillId="0" fontId="13" numFmtId="166" xfId="0" applyAlignment="1" applyBorder="1" applyFont="1" applyNumberFormat="1">
      <alignment horizontal="center" vertical="center"/>
    </xf>
    <xf borderId="10" fillId="0" fontId="33" numFmtId="164" xfId="0" applyAlignment="1" applyBorder="1" applyFont="1" applyNumberFormat="1">
      <alignment vertical="center"/>
    </xf>
    <xf borderId="47" fillId="0" fontId="33" numFmtId="164" xfId="0" applyAlignment="1" applyBorder="1" applyFont="1" applyNumberFormat="1">
      <alignment vertical="center"/>
    </xf>
    <xf borderId="48" fillId="0" fontId="13" numFmtId="164" xfId="0" applyAlignment="1" applyBorder="1" applyFont="1" applyNumberFormat="1">
      <alignment vertical="center"/>
    </xf>
    <xf borderId="0" fillId="7" fontId="24" numFmtId="164" xfId="0" applyAlignment="1" applyFont="1" applyNumberFormat="1">
      <alignment vertical="center"/>
    </xf>
    <xf borderId="0" fillId="0" fontId="13" numFmtId="164" xfId="0" applyAlignment="1" applyFont="1" applyNumberFormat="1">
      <alignment vertical="center"/>
    </xf>
    <xf borderId="46" fillId="0" fontId="13" numFmtId="0" xfId="0" applyAlignment="1" applyBorder="1" applyFont="1">
      <alignment horizontal="center" vertical="center"/>
    </xf>
    <xf borderId="10" fillId="7" fontId="13" numFmtId="0" xfId="0" applyAlignment="1" applyBorder="1" applyFont="1">
      <alignment horizontal="center" readingOrder="0" vertical="center"/>
    </xf>
    <xf borderId="10" fillId="0" fontId="33" numFmtId="0" xfId="0" applyAlignment="1" applyBorder="1" applyFont="1">
      <alignment shrinkToFit="0" vertical="center" wrapText="1"/>
    </xf>
    <xf borderId="10" fillId="0" fontId="14" numFmtId="0" xfId="0" applyAlignment="1" applyBorder="1" applyFont="1">
      <alignment readingOrder="0" shrinkToFit="0" vertical="bottom" wrapText="1"/>
    </xf>
    <xf borderId="10" fillId="0" fontId="12" numFmtId="0" xfId="0" applyAlignment="1" applyBorder="1" applyFont="1">
      <alignment horizontal="center" vertical="center"/>
    </xf>
    <xf borderId="10" fillId="6" fontId="13" numFmtId="164" xfId="0" applyAlignment="1" applyBorder="1" applyFont="1" applyNumberFormat="1">
      <alignment horizontal="right" readingOrder="0" shrinkToFit="0" vertical="center" wrapText="1"/>
    </xf>
    <xf borderId="10" fillId="6" fontId="13" numFmtId="0" xfId="0" applyAlignment="1" applyBorder="1" applyFont="1">
      <alignment horizontal="left" readingOrder="0" shrinkToFit="0" vertical="center" wrapText="1"/>
    </xf>
    <xf borderId="10" fillId="6" fontId="13" numFmtId="166" xfId="0" applyAlignment="1" applyBorder="1" applyFont="1" applyNumberFormat="1">
      <alignment horizontal="center" readingOrder="0" shrinkToFit="0" vertical="center" wrapText="1"/>
    </xf>
    <xf borderId="10" fillId="6" fontId="13" numFmtId="166" xfId="0" applyAlignment="1" applyBorder="1" applyFont="1" applyNumberFormat="1">
      <alignment horizontal="center" shrinkToFit="0" vertical="center" wrapText="1"/>
    </xf>
    <xf borderId="10" fillId="0" fontId="12" numFmtId="164" xfId="0" applyAlignment="1" applyBorder="1" applyFont="1" applyNumberFormat="1">
      <alignment vertical="center"/>
    </xf>
    <xf borderId="47" fillId="11" fontId="12" numFmtId="164" xfId="0" applyAlignment="1" applyBorder="1" applyFill="1" applyFont="1" applyNumberFormat="1">
      <alignment vertical="center"/>
    </xf>
    <xf borderId="10" fillId="12" fontId="13" numFmtId="0" xfId="0" applyAlignment="1" applyBorder="1" applyFill="1" applyFont="1">
      <alignment horizontal="center" vertical="center"/>
    </xf>
    <xf borderId="10" fillId="12" fontId="13" numFmtId="0" xfId="0" applyAlignment="1" applyBorder="1" applyFont="1">
      <alignment shrinkToFit="0" vertical="center" wrapText="1"/>
    </xf>
    <xf borderId="10" fillId="12" fontId="13" numFmtId="164" xfId="0" applyAlignment="1" applyBorder="1" applyFont="1" applyNumberFormat="1">
      <alignment horizontal="right" readingOrder="0" shrinkToFit="0" vertical="center" wrapText="1"/>
    </xf>
    <xf borderId="10" fillId="12" fontId="13" numFmtId="0" xfId="0" applyAlignment="1" applyBorder="1" applyFont="1">
      <alignment horizontal="left" readingOrder="0" shrinkToFit="0" vertical="center" wrapText="1"/>
    </xf>
    <xf borderId="10" fillId="12" fontId="13" numFmtId="166" xfId="0" applyAlignment="1" applyBorder="1" applyFont="1" applyNumberFormat="1">
      <alignment horizontal="center" shrinkToFit="0" vertical="center" wrapText="1"/>
    </xf>
    <xf borderId="10" fillId="12" fontId="13" numFmtId="164" xfId="0" applyAlignment="1" applyBorder="1" applyFont="1" applyNumberFormat="1">
      <alignment horizontal="right" shrinkToFit="0" vertical="center" wrapText="1"/>
    </xf>
    <xf borderId="10" fillId="12" fontId="13" numFmtId="164" xfId="0" applyAlignment="1" applyBorder="1" applyFont="1" applyNumberFormat="1">
      <alignment vertical="center"/>
    </xf>
    <xf borderId="47" fillId="12" fontId="13" numFmtId="164" xfId="0" applyAlignment="1" applyBorder="1" applyFont="1" applyNumberFormat="1">
      <alignment vertical="center"/>
    </xf>
    <xf borderId="0" fillId="6" fontId="13" numFmtId="0" xfId="0" applyFont="1"/>
    <xf borderId="10" fillId="12" fontId="13" numFmtId="0" xfId="0" applyAlignment="1" applyBorder="1" applyFont="1">
      <alignment readingOrder="0" shrinkToFit="0" vertical="center" wrapText="1"/>
    </xf>
    <xf borderId="10" fillId="12" fontId="14" numFmtId="0" xfId="0" applyAlignment="1" applyBorder="1" applyFont="1">
      <alignment horizontal="center" vertical="center"/>
    </xf>
    <xf borderId="10" fillId="12" fontId="14" numFmtId="165" xfId="0" applyAlignment="1" applyBorder="1" applyFont="1" applyNumberFormat="1">
      <alignment readingOrder="0" vertical="center"/>
    </xf>
    <xf borderId="10" fillId="12" fontId="34" numFmtId="0" xfId="0" applyAlignment="1" applyBorder="1" applyFont="1">
      <alignment horizontal="left" readingOrder="0" shrinkToFit="0" vertical="center" wrapText="1"/>
    </xf>
    <xf borderId="10" fillId="12" fontId="14" numFmtId="166" xfId="0" applyAlignment="1" applyBorder="1" applyFont="1" applyNumberFormat="1">
      <alignment horizontal="center" readingOrder="0" shrinkToFit="0" vertical="center" wrapText="1"/>
    </xf>
    <xf borderId="10" fillId="12" fontId="12" numFmtId="0" xfId="0" applyAlignment="1" applyBorder="1" applyFont="1">
      <alignment readingOrder="0" shrinkToFit="0" vertical="center" wrapText="1"/>
    </xf>
    <xf borderId="10" fillId="12" fontId="12" numFmtId="0" xfId="0" applyAlignment="1" applyBorder="1" applyFont="1">
      <alignment horizontal="center" vertical="center"/>
    </xf>
    <xf borderId="10" fillId="7" fontId="13" numFmtId="0" xfId="0" applyAlignment="1" applyBorder="1" applyFont="1">
      <alignment horizontal="center" vertical="center"/>
    </xf>
    <xf borderId="10" fillId="7" fontId="13" numFmtId="10" xfId="0" applyAlignment="1" applyBorder="1" applyFont="1" applyNumberFormat="1">
      <alignment horizontal="right" readingOrder="0" shrinkToFit="0" vertical="center" wrapText="1"/>
    </xf>
    <xf borderId="10" fillId="7" fontId="13" numFmtId="0" xfId="0" applyAlignment="1" applyBorder="1" applyFont="1">
      <alignment shrinkToFit="0" vertical="center" wrapText="1"/>
    </xf>
    <xf borderId="10" fillId="7" fontId="13" numFmtId="165" xfId="0" applyAlignment="1" applyBorder="1" applyFont="1" applyNumberFormat="1">
      <alignment vertical="center"/>
    </xf>
    <xf borderId="10" fillId="7" fontId="13" numFmtId="15" xfId="0" applyAlignment="1" applyBorder="1" applyFont="1" applyNumberFormat="1">
      <alignment horizontal="left" shrinkToFit="0" vertical="center" wrapText="1"/>
    </xf>
    <xf borderId="10" fillId="7" fontId="13" numFmtId="166" xfId="0" applyAlignment="1" applyBorder="1" applyFont="1" applyNumberFormat="1">
      <alignment horizontal="center" shrinkToFit="0" vertical="center" wrapText="1"/>
    </xf>
    <xf borderId="10" fillId="7" fontId="13" numFmtId="164" xfId="0" applyAlignment="1" applyBorder="1" applyFont="1" applyNumberFormat="1">
      <alignment readingOrder="0" vertical="center"/>
    </xf>
    <xf borderId="10" fillId="7" fontId="12" numFmtId="164" xfId="0" applyAlignment="1" applyBorder="1" applyFont="1" applyNumberFormat="1">
      <alignment readingOrder="0" vertical="center"/>
    </xf>
    <xf borderId="10" fillId="7" fontId="13" numFmtId="164" xfId="0" applyAlignment="1" applyBorder="1" applyFont="1" applyNumberFormat="1">
      <alignment vertical="center"/>
    </xf>
    <xf borderId="47" fillId="7" fontId="13" numFmtId="164" xfId="0" applyAlignment="1" applyBorder="1" applyFont="1" applyNumberFormat="1">
      <alignment vertical="center"/>
    </xf>
    <xf borderId="10" fillId="7" fontId="33" numFmtId="10" xfId="0" applyAlignment="1" applyBorder="1" applyFont="1" applyNumberFormat="1">
      <alignment horizontal="right" readingOrder="0" shrinkToFit="0" vertical="center" wrapText="1"/>
    </xf>
    <xf borderId="10" fillId="7" fontId="12" numFmtId="0" xfId="0" applyAlignment="1" applyBorder="1" applyFont="1">
      <alignment shrinkToFit="0" vertical="center" wrapText="1"/>
    </xf>
    <xf borderId="10" fillId="7" fontId="12" numFmtId="0" xfId="0" applyAlignment="1" applyBorder="1" applyFont="1">
      <alignment horizontal="center" vertical="center"/>
    </xf>
    <xf borderId="10" fillId="7" fontId="13" numFmtId="165" xfId="0" applyAlignment="1" applyBorder="1" applyFont="1" applyNumberFormat="1">
      <alignment horizontal="right" readingOrder="0" shrinkToFit="0" vertical="center" wrapText="1"/>
    </xf>
    <xf borderId="10" fillId="7" fontId="13" numFmtId="0" xfId="0" applyAlignment="1" applyBorder="1" applyFont="1">
      <alignment horizontal="left" shrinkToFit="0" vertical="center" wrapText="1"/>
    </xf>
    <xf borderId="10" fillId="7" fontId="13" numFmtId="166" xfId="0" applyAlignment="1" applyBorder="1" applyFont="1" applyNumberFormat="1">
      <alignment horizontal="center" readingOrder="0" shrinkToFit="0" vertical="center" wrapText="1"/>
    </xf>
    <xf borderId="10" fillId="7" fontId="12" numFmtId="164" xfId="0" applyAlignment="1" applyBorder="1" applyFont="1" applyNumberFormat="1">
      <alignment vertical="center"/>
    </xf>
    <xf borderId="10" fillId="6" fontId="13" numFmtId="165" xfId="0" applyAlignment="1" applyBorder="1" applyFont="1" applyNumberFormat="1">
      <alignment horizontal="right" readingOrder="0" shrinkToFit="0" vertical="center" wrapText="1"/>
    </xf>
    <xf borderId="10" fillId="6" fontId="13" numFmtId="0" xfId="0" applyAlignment="1" applyBorder="1" applyFont="1">
      <alignment horizontal="left" shrinkToFit="0" vertical="center" wrapText="1"/>
    </xf>
    <xf borderId="49" fillId="0" fontId="13" numFmtId="164" xfId="0" applyAlignment="1" applyBorder="1" applyFont="1" applyNumberFormat="1">
      <alignment vertical="center"/>
    </xf>
    <xf borderId="10" fillId="12" fontId="13" numFmtId="0" xfId="0" applyAlignment="1" applyBorder="1" applyFont="1">
      <alignment horizontal="center" readingOrder="0" vertical="center"/>
    </xf>
    <xf borderId="10" fillId="12" fontId="13" numFmtId="165" xfId="0" applyAlignment="1" applyBorder="1" applyFont="1" applyNumberFormat="1">
      <alignment horizontal="right" readingOrder="0" shrinkToFit="0" vertical="center" wrapText="1"/>
    </xf>
    <xf borderId="10" fillId="12" fontId="13" numFmtId="0" xfId="0" applyAlignment="1" applyBorder="1" applyFont="1">
      <alignment horizontal="left" shrinkToFit="0" vertical="center" wrapText="1"/>
    </xf>
    <xf borderId="10" fillId="12" fontId="13" numFmtId="165" xfId="0" applyAlignment="1" applyBorder="1" applyFont="1" applyNumberFormat="1">
      <alignment readingOrder="0" vertical="center"/>
    </xf>
    <xf borderId="10" fillId="12" fontId="14" numFmtId="0" xfId="0" applyAlignment="1" applyBorder="1" applyFont="1">
      <alignment horizontal="left" readingOrder="0" shrinkToFit="0" vertical="center" wrapText="1"/>
    </xf>
    <xf borderId="10" fillId="12" fontId="35" numFmtId="0" xfId="0" applyAlignment="1" applyBorder="1" applyFont="1">
      <alignment horizontal="left" readingOrder="0" shrinkToFit="0" vertical="center" wrapText="1"/>
    </xf>
    <xf borderId="10" fillId="12" fontId="14" numFmtId="166" xfId="0" applyAlignment="1" applyBorder="1" applyFont="1" applyNumberFormat="1">
      <alignment horizontal="center" shrinkToFit="0" vertical="center" wrapText="1"/>
    </xf>
    <xf borderId="10" fillId="12" fontId="13" numFmtId="164" xfId="0" applyAlignment="1" applyBorder="1" applyFont="1" applyNumberFormat="1">
      <alignment readingOrder="0" vertical="center"/>
    </xf>
    <xf borderId="10" fillId="7" fontId="20" numFmtId="0" xfId="0" applyAlignment="1" applyBorder="1" applyFont="1">
      <alignment horizontal="right" shrinkToFit="0" wrapText="1"/>
    </xf>
    <xf borderId="10" fillId="7" fontId="13" numFmtId="164" xfId="0" applyAlignment="1" applyBorder="1" applyFont="1" applyNumberFormat="1">
      <alignment horizontal="right" readingOrder="0" shrinkToFit="0" vertical="center" wrapText="1"/>
    </xf>
    <xf borderId="10" fillId="7" fontId="14" numFmtId="164" xfId="0" applyAlignment="1" applyBorder="1" applyFont="1" applyNumberFormat="1">
      <alignment horizontal="right" readingOrder="0" shrinkToFit="0" vertical="center" wrapText="1"/>
    </xf>
    <xf borderId="10" fillId="7" fontId="12" numFmtId="164" xfId="0" applyAlignment="1" applyBorder="1" applyFont="1" applyNumberFormat="1">
      <alignment horizontal="right" readingOrder="0" shrinkToFit="0" vertical="center" wrapText="1"/>
    </xf>
    <xf borderId="10" fillId="7" fontId="11" numFmtId="0" xfId="0" applyAlignment="1" applyBorder="1" applyFont="1">
      <alignment horizontal="right" shrinkToFit="0" wrapText="1"/>
    </xf>
    <xf borderId="10" fillId="7" fontId="13" numFmtId="0" xfId="0" applyAlignment="1" applyBorder="1" applyFont="1">
      <alignment horizontal="left" readingOrder="0" shrinkToFit="0" vertical="center" wrapText="1"/>
    </xf>
    <xf borderId="10" fillId="0" fontId="13" numFmtId="165" xfId="0" applyAlignment="1" applyBorder="1" applyFont="1" applyNumberFormat="1">
      <alignment horizontal="right" readingOrder="0" shrinkToFit="0" vertical="center" wrapText="1"/>
    </xf>
    <xf borderId="10" fillId="0" fontId="13" numFmtId="0" xfId="0" applyAlignment="1" applyBorder="1" applyFont="1">
      <alignment horizontal="left" readingOrder="0" shrinkToFit="0" vertical="center" wrapText="1"/>
    </xf>
    <xf borderId="10" fillId="0" fontId="13" numFmtId="166" xfId="0" applyAlignment="1" applyBorder="1" applyFont="1" applyNumberFormat="1">
      <alignment horizontal="center" shrinkToFit="0" vertical="center" wrapText="1"/>
    </xf>
    <xf borderId="10" fillId="0" fontId="13" numFmtId="166" xfId="0" applyAlignment="1" applyBorder="1" applyFont="1" applyNumberFormat="1">
      <alignment horizontal="center" readingOrder="0" shrinkToFit="0" vertical="center" wrapText="1"/>
    </xf>
    <xf borderId="10" fillId="12" fontId="12" numFmtId="0" xfId="0" applyAlignment="1" applyBorder="1" applyFont="1">
      <alignment shrinkToFit="0" vertical="center" wrapText="1"/>
    </xf>
    <xf borderId="10" fillId="12" fontId="36" numFmtId="0" xfId="0" applyAlignment="1" applyBorder="1" applyFont="1">
      <alignment horizontal="left" readingOrder="0" shrinkToFit="0" vertical="center" wrapText="1"/>
    </xf>
    <xf borderId="10" fillId="12" fontId="13" numFmtId="166" xfId="0" applyAlignment="1" applyBorder="1" applyFont="1" applyNumberFormat="1">
      <alignment horizontal="center" readingOrder="0" shrinkToFit="0" vertical="center" wrapText="1"/>
    </xf>
    <xf borderId="10" fillId="12" fontId="14" numFmtId="0" xfId="0" applyAlignment="1" applyBorder="1" applyFont="1">
      <alignment horizontal="left" readingOrder="0" shrinkToFit="0" vertical="center" wrapText="1"/>
    </xf>
    <xf borderId="50" fillId="6" fontId="37" numFmtId="164" xfId="0" applyAlignment="1" applyBorder="1" applyFont="1" applyNumberFormat="1">
      <alignment vertical="center"/>
    </xf>
    <xf borderId="10" fillId="12" fontId="12" numFmtId="0" xfId="0" applyAlignment="1" applyBorder="1" applyFont="1">
      <alignment horizontal="left" readingOrder="0" shrinkToFit="0" vertical="center" wrapText="1"/>
    </xf>
    <xf borderId="10" fillId="12" fontId="12" numFmtId="166" xfId="0" applyAlignment="1" applyBorder="1" applyFont="1" applyNumberFormat="1">
      <alignment horizontal="center" readingOrder="0" shrinkToFit="0" vertical="center" wrapText="1"/>
    </xf>
    <xf borderId="10" fillId="12" fontId="14" numFmtId="164" xfId="0" applyAlignment="1" applyBorder="1" applyFont="1" applyNumberFormat="1">
      <alignment readingOrder="0" vertical="center"/>
    </xf>
    <xf borderId="10" fillId="12" fontId="14" numFmtId="164" xfId="0" applyAlignment="1" applyBorder="1" applyFont="1" applyNumberFormat="1">
      <alignment vertical="center"/>
    </xf>
    <xf borderId="10" fillId="12" fontId="12" numFmtId="164" xfId="0" applyAlignment="1" applyBorder="1" applyFont="1" applyNumberFormat="1">
      <alignment vertical="center"/>
    </xf>
    <xf borderId="10" fillId="7" fontId="14" numFmtId="164" xfId="0" applyAlignment="1" applyBorder="1" applyFont="1" applyNumberFormat="1">
      <alignment readingOrder="0" vertical="center"/>
    </xf>
    <xf borderId="0" fillId="6" fontId="37" numFmtId="164" xfId="0" applyAlignment="1" applyFont="1" applyNumberFormat="1">
      <alignment vertical="center"/>
    </xf>
    <xf borderId="10" fillId="12" fontId="13" numFmtId="0" xfId="0" applyAlignment="1" applyBorder="1" applyFont="1">
      <alignment horizontal="right" shrinkToFit="0" vertical="center" wrapText="1"/>
    </xf>
    <xf borderId="0" fillId="6" fontId="13" numFmtId="164" xfId="0" applyAlignment="1" applyFont="1" applyNumberFormat="1">
      <alignment vertical="center"/>
    </xf>
    <xf borderId="10" fillId="7" fontId="13" numFmtId="165" xfId="0" applyAlignment="1" applyBorder="1" applyFont="1" applyNumberFormat="1">
      <alignment horizontal="right" shrinkToFit="0" vertical="center" wrapText="1"/>
    </xf>
    <xf borderId="10" fillId="7" fontId="14" numFmtId="164" xfId="0" applyAlignment="1" applyBorder="1" applyFont="1" applyNumberFormat="1">
      <alignment vertical="center"/>
    </xf>
    <xf borderId="10" fillId="0" fontId="13" numFmtId="165" xfId="0" applyAlignment="1" applyBorder="1" applyFont="1" applyNumberFormat="1">
      <alignment horizontal="right" shrinkToFit="0" vertical="center" wrapText="1"/>
    </xf>
    <xf borderId="10" fillId="12" fontId="13" numFmtId="165" xfId="0" applyAlignment="1" applyBorder="1" applyFont="1" applyNumberFormat="1">
      <alignment vertical="center"/>
    </xf>
    <xf borderId="10" fillId="12" fontId="13" numFmtId="0" xfId="0" applyAlignment="1" applyBorder="1" applyFont="1">
      <alignment horizontal="left" readingOrder="0" shrinkToFit="0" vertical="center" wrapText="1"/>
    </xf>
    <xf borderId="10" fillId="12" fontId="13" numFmtId="167" xfId="0" applyAlignment="1" applyBorder="1" applyFont="1" applyNumberFormat="1">
      <alignment vertical="center"/>
    </xf>
    <xf borderId="10" fillId="12" fontId="12" numFmtId="165" xfId="0" applyAlignment="1" applyBorder="1" applyFont="1" applyNumberFormat="1">
      <alignment vertical="center"/>
    </xf>
    <xf borderId="10" fillId="12" fontId="12" numFmtId="0" xfId="0" applyAlignment="1" applyBorder="1" applyFont="1">
      <alignment horizontal="left" readingOrder="0" shrinkToFit="0" vertical="center" wrapText="1"/>
    </xf>
    <xf borderId="10" fillId="12" fontId="12" numFmtId="165" xfId="0" applyAlignment="1" applyBorder="1" applyFont="1" applyNumberFormat="1">
      <alignment readingOrder="0" vertical="center"/>
    </xf>
    <xf borderId="10" fillId="12" fontId="12" numFmtId="166" xfId="0" applyAlignment="1" applyBorder="1" applyFont="1" applyNumberFormat="1">
      <alignment horizontal="center" vertical="center"/>
    </xf>
    <xf borderId="0" fillId="6" fontId="38" numFmtId="0" xfId="0" applyAlignment="1" applyFont="1">
      <alignment readingOrder="0" shrinkToFit="0" vertical="bottom" wrapText="0"/>
    </xf>
    <xf borderId="10" fillId="7" fontId="13" numFmtId="166" xfId="0" applyAlignment="1" applyBorder="1" applyFont="1" applyNumberFormat="1">
      <alignment horizontal="center" vertical="center"/>
    </xf>
    <xf borderId="10" fillId="7" fontId="11" numFmtId="0" xfId="0" applyAlignment="1" applyBorder="1" applyFont="1">
      <alignment horizontal="right" shrinkToFit="0" wrapText="1"/>
    </xf>
    <xf borderId="10" fillId="7" fontId="32" numFmtId="165" xfId="0" applyAlignment="1" applyBorder="1" applyFont="1" applyNumberFormat="1">
      <alignment vertical="center"/>
    </xf>
    <xf borderId="10" fillId="7" fontId="33" numFmtId="164" xfId="0" applyAlignment="1" applyBorder="1" applyFont="1" applyNumberFormat="1">
      <alignment vertical="center"/>
    </xf>
    <xf borderId="1" fillId="12" fontId="32" numFmtId="0" xfId="0" applyAlignment="1" applyBorder="1" applyFont="1">
      <alignment horizontal="left" vertical="center"/>
    </xf>
    <xf borderId="1" fillId="12" fontId="33" numFmtId="0" xfId="0" applyAlignment="1" applyBorder="1" applyFont="1">
      <alignment readingOrder="0" vertical="center"/>
    </xf>
    <xf borderId="1" fillId="12" fontId="12" numFmtId="0" xfId="0" applyAlignment="1" applyBorder="1" applyFont="1">
      <alignment horizontal="center" vertical="center"/>
    </xf>
    <xf borderId="1" fillId="12" fontId="12" numFmtId="0" xfId="0" applyAlignment="1" applyBorder="1" applyFont="1">
      <alignment horizontal="center" readingOrder="0" vertical="center"/>
    </xf>
    <xf borderId="1" fillId="12" fontId="32" numFmtId="165" xfId="0" applyAlignment="1" applyBorder="1" applyFont="1" applyNumberFormat="1">
      <alignment vertical="center"/>
    </xf>
    <xf borderId="1" fillId="12" fontId="13" numFmtId="0" xfId="0" applyAlignment="1" applyBorder="1" applyFont="1">
      <alignment horizontal="left" shrinkToFit="0" vertical="center" wrapText="1"/>
    </xf>
    <xf borderId="1" fillId="12" fontId="13" numFmtId="166" xfId="0" applyAlignment="1" applyBorder="1" applyFont="1" applyNumberFormat="1">
      <alignment horizontal="center" vertical="center"/>
    </xf>
    <xf borderId="1" fillId="12" fontId="32" numFmtId="164" xfId="0" applyAlignment="1" applyBorder="1" applyFont="1" applyNumberFormat="1">
      <alignment vertical="center"/>
    </xf>
    <xf borderId="51" fillId="12" fontId="32" numFmtId="164" xfId="0" applyAlignment="1" applyBorder="1" applyFont="1" applyNumberFormat="1">
      <alignment vertical="center"/>
    </xf>
    <xf borderId="52" fillId="0" fontId="32" numFmtId="0" xfId="0" applyAlignment="1" applyBorder="1" applyFont="1">
      <alignment horizontal="center" vertical="center"/>
    </xf>
    <xf borderId="42" fillId="7" fontId="32" numFmtId="0" xfId="0" applyAlignment="1" applyBorder="1" applyFont="1">
      <alignment horizontal="left" vertical="center"/>
    </xf>
    <xf borderId="43" fillId="7" fontId="33" numFmtId="0" xfId="0" applyAlignment="1" applyBorder="1" applyFont="1">
      <alignment readingOrder="0" vertical="center"/>
    </xf>
    <xf borderId="43" fillId="7" fontId="12" numFmtId="0" xfId="0" applyAlignment="1" applyBorder="1" applyFont="1">
      <alignment horizontal="center" vertical="center"/>
    </xf>
    <xf borderId="43" fillId="7" fontId="12" numFmtId="0" xfId="0" applyAlignment="1" applyBorder="1" applyFont="1">
      <alignment horizontal="center" readingOrder="0" vertical="center"/>
    </xf>
    <xf borderId="43" fillId="7" fontId="14" numFmtId="0" xfId="0" applyAlignment="1" applyBorder="1" applyFont="1">
      <alignment horizontal="center" readingOrder="0" vertical="center"/>
    </xf>
    <xf borderId="43" fillId="7" fontId="32" numFmtId="165" xfId="0" applyAlignment="1" applyBorder="1" applyFont="1" applyNumberFormat="1">
      <alignment vertical="center"/>
    </xf>
    <xf borderId="43" fillId="7" fontId="13" numFmtId="0" xfId="0" applyAlignment="1" applyBorder="1" applyFont="1">
      <alignment horizontal="left" shrinkToFit="0" vertical="center" wrapText="1"/>
    </xf>
    <xf borderId="43" fillId="7" fontId="13" numFmtId="166" xfId="0" applyAlignment="1" applyBorder="1" applyFont="1" applyNumberFormat="1">
      <alignment horizontal="center" vertical="center"/>
    </xf>
    <xf borderId="43" fillId="7" fontId="33" numFmtId="164" xfId="0" applyAlignment="1" applyBorder="1" applyFont="1" applyNumberFormat="1">
      <alignment vertical="center"/>
    </xf>
    <xf borderId="43" fillId="7" fontId="39" numFmtId="164" xfId="0" applyAlignment="1" applyBorder="1" applyFont="1" applyNumberFormat="1">
      <alignment vertical="center"/>
    </xf>
    <xf borderId="44" fillId="7" fontId="32" numFmtId="164" xfId="0" applyAlignment="1" applyBorder="1" applyFont="1" applyNumberFormat="1">
      <alignment vertical="center"/>
    </xf>
    <xf borderId="53" fillId="7" fontId="24" numFmtId="164" xfId="0" applyAlignment="1" applyBorder="1" applyFont="1" applyNumberFormat="1">
      <alignment vertical="center"/>
    </xf>
    <xf borderId="0" fillId="0" fontId="13" numFmtId="164" xfId="0" applyAlignment="1" applyFont="1" applyNumberFormat="1">
      <alignment readingOrder="0" vertical="center"/>
    </xf>
    <xf borderId="46" fillId="7" fontId="32" numFmtId="0" xfId="0" applyAlignment="1" applyBorder="1" applyFont="1">
      <alignment horizontal="left" vertical="center"/>
    </xf>
    <xf borderId="10" fillId="7" fontId="33" numFmtId="0" xfId="0" applyAlignment="1" applyBorder="1" applyFont="1">
      <alignment readingOrder="0" vertical="center"/>
    </xf>
    <xf borderId="10" fillId="7" fontId="40" numFmtId="164" xfId="0" applyAlignment="1" applyBorder="1" applyFont="1" applyNumberFormat="1">
      <alignment vertical="center"/>
    </xf>
    <xf borderId="47" fillId="7" fontId="32" numFmtId="164" xfId="0" applyAlignment="1" applyBorder="1" applyFont="1" applyNumberFormat="1">
      <alignment vertical="center"/>
    </xf>
    <xf borderId="3" fillId="7" fontId="12" numFmtId="164" xfId="0" applyAlignment="1" applyBorder="1" applyFont="1" applyNumberFormat="1">
      <alignment vertical="center"/>
    </xf>
    <xf borderId="54" fillId="7" fontId="32" numFmtId="0" xfId="0" applyAlignment="1" applyBorder="1" applyFont="1">
      <alignment horizontal="left" vertical="center"/>
    </xf>
    <xf borderId="55" fillId="7" fontId="33" numFmtId="0" xfId="0" applyAlignment="1" applyBorder="1" applyFont="1">
      <alignment readingOrder="0" vertical="center"/>
    </xf>
    <xf borderId="55" fillId="7" fontId="12" numFmtId="0" xfId="0" applyAlignment="1" applyBorder="1" applyFont="1">
      <alignment horizontal="center" vertical="center"/>
    </xf>
    <xf borderId="55" fillId="7" fontId="13" numFmtId="0" xfId="0" applyAlignment="1" applyBorder="1" applyFont="1">
      <alignment horizontal="center" vertical="center"/>
    </xf>
    <xf borderId="55" fillId="7" fontId="32" numFmtId="165" xfId="0" applyAlignment="1" applyBorder="1" applyFont="1" applyNumberFormat="1">
      <alignment vertical="center"/>
    </xf>
    <xf borderId="55" fillId="7" fontId="13" numFmtId="0" xfId="0" applyAlignment="1" applyBorder="1" applyFont="1">
      <alignment horizontal="left" shrinkToFit="0" vertical="center" wrapText="1"/>
    </xf>
    <xf borderId="55" fillId="7" fontId="13" numFmtId="166" xfId="0" applyAlignment="1" applyBorder="1" applyFont="1" applyNumberFormat="1">
      <alignment horizontal="center" vertical="center"/>
    </xf>
    <xf borderId="55" fillId="7" fontId="33" numFmtId="164" xfId="0" applyAlignment="1" applyBorder="1" applyFont="1" applyNumberFormat="1">
      <alignment vertical="center"/>
    </xf>
    <xf borderId="55" fillId="7" fontId="40" numFmtId="164" xfId="0" applyAlignment="1" applyBorder="1" applyFont="1" applyNumberFormat="1">
      <alignment vertical="center"/>
    </xf>
    <xf borderId="55" fillId="7" fontId="39" numFmtId="164" xfId="0" applyAlignment="1" applyBorder="1" applyFont="1" applyNumberFormat="1">
      <alignment vertical="center"/>
    </xf>
    <xf borderId="56" fillId="7" fontId="32" numFmtId="164" xfId="0" applyAlignment="1" applyBorder="1" applyFont="1" applyNumberFormat="1">
      <alignment vertical="center"/>
    </xf>
    <xf borderId="57" fillId="7" fontId="13" numFmtId="164" xfId="0" applyAlignment="1" applyBorder="1" applyFont="1" applyNumberFormat="1">
      <alignment vertical="center"/>
    </xf>
    <xf borderId="9" fillId="7" fontId="32" numFmtId="0" xfId="0" applyAlignment="1" applyBorder="1" applyFont="1">
      <alignment horizontal="left" vertical="center"/>
    </xf>
    <xf borderId="9" fillId="0" fontId="33" numFmtId="0" xfId="0" applyAlignment="1" applyBorder="1" applyFont="1">
      <alignment vertical="center"/>
    </xf>
    <xf borderId="10" fillId="0" fontId="12" numFmtId="0" xfId="0" applyAlignment="1" applyBorder="1" applyFont="1">
      <alignment shrinkToFit="0" vertical="center" wrapText="1"/>
    </xf>
    <xf borderId="9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readingOrder="0" vertical="center"/>
    </xf>
    <xf borderId="9" fillId="0" fontId="32" numFmtId="165" xfId="0" applyAlignment="1" applyBorder="1" applyFont="1" applyNumberFormat="1">
      <alignment vertical="center"/>
    </xf>
    <xf borderId="9" fillId="0" fontId="13" numFmtId="0" xfId="0" applyAlignment="1" applyBorder="1" applyFont="1">
      <alignment horizontal="left" shrinkToFit="0" vertical="center" wrapText="1"/>
    </xf>
    <xf borderId="9" fillId="0" fontId="13" numFmtId="166" xfId="0" applyAlignment="1" applyBorder="1" applyFont="1" applyNumberFormat="1">
      <alignment horizontal="center" vertical="center"/>
    </xf>
    <xf borderId="9" fillId="0" fontId="33" numFmtId="164" xfId="0" applyAlignment="1" applyBorder="1" applyFont="1" applyNumberFormat="1">
      <alignment vertical="center"/>
    </xf>
    <xf borderId="58" fillId="0" fontId="33" numFmtId="164" xfId="0" applyAlignment="1" applyBorder="1" applyFont="1" applyNumberFormat="1">
      <alignment vertical="center"/>
    </xf>
    <xf borderId="10" fillId="0" fontId="13" numFmtId="165" xfId="0" applyAlignment="1" applyBorder="1" applyFont="1" applyNumberFormat="1">
      <alignment readingOrder="0" shrinkToFit="0" vertical="center" wrapText="1"/>
    </xf>
    <xf borderId="10" fillId="0" fontId="13" numFmtId="164" xfId="0" applyAlignment="1" applyBorder="1" applyFont="1" applyNumberFormat="1">
      <alignment horizontal="left" readingOrder="0" shrinkToFit="0" vertical="center" wrapText="1"/>
    </xf>
    <xf borderId="10" fillId="12" fontId="12" numFmtId="166" xfId="0" applyAlignment="1" applyBorder="1" applyFont="1" applyNumberFormat="1">
      <alignment horizontal="center" shrinkToFit="0" vertical="center" wrapText="1"/>
    </xf>
    <xf borderId="10" fillId="12" fontId="13" numFmtId="0" xfId="0" applyAlignment="1" applyBorder="1" applyFont="1">
      <alignment horizontal="right" readingOrder="0" shrinkToFit="0" vertical="center" wrapText="1"/>
    </xf>
    <xf borderId="0" fillId="6" fontId="41" numFmtId="0" xfId="0" applyAlignment="1" applyFont="1">
      <alignment readingOrder="0" shrinkToFit="0" vertical="bottom" wrapText="0"/>
    </xf>
    <xf borderId="48" fillId="9" fontId="42" numFmtId="164" xfId="0" applyAlignment="1" applyBorder="1" applyFont="1" applyNumberFormat="1">
      <alignment vertical="center"/>
    </xf>
    <xf borderId="0" fillId="9" fontId="42" numFmtId="164" xfId="0" applyAlignment="1" applyFont="1" applyNumberFormat="1">
      <alignment vertical="center"/>
    </xf>
    <xf borderId="10" fillId="7" fontId="13" numFmtId="165" xfId="0" applyAlignment="1" applyBorder="1" applyFont="1" applyNumberFormat="1">
      <alignment readingOrder="0" vertical="center"/>
    </xf>
    <xf borderId="10" fillId="0" fontId="13" numFmtId="165" xfId="0" applyAlignment="1" applyBorder="1" applyFont="1" applyNumberFormat="1">
      <alignment readingOrder="0" vertical="center"/>
    </xf>
    <xf borderId="10" fillId="12" fontId="14" numFmtId="165" xfId="0" applyAlignment="1" applyBorder="1" applyFont="1" applyNumberFormat="1">
      <alignment vertical="center"/>
    </xf>
    <xf borderId="48" fillId="9" fontId="13" numFmtId="164" xfId="0" applyAlignment="1" applyBorder="1" applyFont="1" applyNumberFormat="1">
      <alignment vertical="center"/>
    </xf>
    <xf borderId="0" fillId="9" fontId="13" numFmtId="164" xfId="0" applyAlignment="1" applyFont="1" applyNumberFormat="1">
      <alignment vertical="center"/>
    </xf>
    <xf borderId="10" fillId="12" fontId="12" numFmtId="165" xfId="0" applyAlignment="1" applyBorder="1" applyFont="1" applyNumberFormat="1">
      <alignment horizontal="right" shrinkToFit="0" vertical="center" wrapText="1"/>
    </xf>
    <xf borderId="10" fillId="12" fontId="13" numFmtId="0" xfId="0" applyAlignment="1" applyBorder="1" applyFont="1">
      <alignment horizontal="right" readingOrder="0" shrinkToFit="0" vertical="center" wrapText="0"/>
    </xf>
    <xf borderId="48" fillId="6" fontId="13" numFmtId="164" xfId="0" applyAlignment="1" applyBorder="1" applyFont="1" applyNumberFormat="1">
      <alignment vertical="center"/>
    </xf>
    <xf borderId="10" fillId="0" fontId="33" numFmtId="0" xfId="0" applyAlignment="1" applyBorder="1" applyFont="1">
      <alignment readingOrder="0" shrinkToFit="0" vertical="center" wrapText="1"/>
    </xf>
    <xf borderId="10" fillId="0" fontId="13" numFmtId="165" xfId="0" applyAlignment="1" applyBorder="1" applyFont="1" applyNumberFormat="1">
      <alignment vertical="center"/>
    </xf>
    <xf borderId="10" fillId="12" fontId="12" numFmtId="15" xfId="0" applyAlignment="1" applyBorder="1" applyFont="1" applyNumberFormat="1">
      <alignment horizontal="left" shrinkToFit="0" vertical="center" wrapText="1"/>
    </xf>
    <xf borderId="10" fillId="7" fontId="14" numFmtId="165" xfId="0" applyAlignment="1" applyBorder="1" applyFont="1" applyNumberFormat="1">
      <alignment vertical="center"/>
    </xf>
    <xf borderId="10" fillId="7" fontId="14" numFmtId="0" xfId="0" applyAlignment="1" applyBorder="1" applyFont="1">
      <alignment horizontal="left" readingOrder="0" shrinkToFit="0" vertical="center" wrapText="1"/>
    </xf>
    <xf borderId="10" fillId="7" fontId="14" numFmtId="166" xfId="0" applyAlignment="1" applyBorder="1" applyFont="1" applyNumberFormat="1">
      <alignment horizontal="center" readingOrder="0" shrinkToFit="0" vertical="center" wrapText="1"/>
    </xf>
    <xf borderId="10" fillId="0" fontId="39" numFmtId="0" xfId="0" applyAlignment="1" applyBorder="1" applyFont="1">
      <alignment shrinkToFit="0" vertical="center" wrapText="1"/>
    </xf>
    <xf borderId="10" fillId="0" fontId="14" numFmtId="165" xfId="0" applyAlignment="1" applyBorder="1" applyFont="1" applyNumberFormat="1">
      <alignment vertical="center"/>
    </xf>
    <xf borderId="10" fillId="0" fontId="14" numFmtId="0" xfId="0" applyAlignment="1" applyBorder="1" applyFont="1">
      <alignment horizontal="left" readingOrder="0" shrinkToFit="0" vertical="center" wrapText="1"/>
    </xf>
    <xf borderId="10" fillId="6" fontId="14" numFmtId="166" xfId="0" applyAlignment="1" applyBorder="1" applyFont="1" applyNumberFormat="1">
      <alignment horizontal="center" readingOrder="0" shrinkToFit="0" vertical="center" wrapText="1"/>
    </xf>
    <xf borderId="10" fillId="12" fontId="13" numFmtId="15" xfId="0" applyAlignment="1" applyBorder="1" applyFont="1" applyNumberFormat="1">
      <alignment horizontal="left" shrinkToFit="0" vertical="center" wrapText="1"/>
    </xf>
    <xf borderId="10" fillId="7" fontId="13" numFmtId="166" xfId="0" applyAlignment="1" applyBorder="1" applyFont="1" applyNumberFormat="1">
      <alignment horizontal="center" readingOrder="0" vertical="center"/>
    </xf>
    <xf borderId="10" fillId="0" fontId="13" numFmtId="166" xfId="0" applyAlignment="1" applyBorder="1" applyFont="1" applyNumberFormat="1">
      <alignment horizontal="center" readingOrder="0" vertical="center"/>
    </xf>
    <xf borderId="10" fillId="12" fontId="13" numFmtId="166" xfId="0" applyAlignment="1" applyBorder="1" applyFont="1" applyNumberFormat="1">
      <alignment horizontal="center" readingOrder="0" vertical="center"/>
    </xf>
    <xf borderId="10" fillId="12" fontId="12" numFmtId="166" xfId="0" applyAlignment="1" applyBorder="1" applyFont="1" applyNumberFormat="1">
      <alignment horizontal="center" readingOrder="0" vertical="center"/>
    </xf>
    <xf borderId="10" fillId="7" fontId="12" numFmtId="15" xfId="0" applyAlignment="1" applyBorder="1" applyFont="1" applyNumberFormat="1">
      <alignment horizontal="left" shrinkToFit="0" vertical="center" wrapText="1"/>
    </xf>
    <xf borderId="10" fillId="12" fontId="12" numFmtId="0" xfId="0" applyAlignment="1" applyBorder="1" applyFont="1">
      <alignment horizontal="left" shrinkToFit="0" vertical="center" wrapText="1"/>
    </xf>
    <xf borderId="10" fillId="7" fontId="14" numFmtId="164" xfId="0" applyAlignment="1" applyBorder="1" applyFont="1" applyNumberFormat="1">
      <alignment horizontal="right" shrinkToFit="0" vertical="center" wrapText="1"/>
    </xf>
    <xf borderId="10" fillId="7" fontId="12" numFmtId="164" xfId="0" applyAlignment="1" applyBorder="1" applyFont="1" applyNumberFormat="1">
      <alignment horizontal="right" shrinkToFit="0" vertical="center" wrapText="1"/>
    </xf>
    <xf borderId="10" fillId="7" fontId="13" numFmtId="0" xfId="0" applyAlignment="1" applyBorder="1" applyFont="1">
      <alignment horizontal="right" shrinkToFit="0" vertical="center" wrapText="1"/>
    </xf>
    <xf quotePrefix="1" borderId="10" fillId="0" fontId="13" numFmtId="0" xfId="0" applyAlignment="1" applyBorder="1" applyFont="1">
      <alignment horizontal="left" readingOrder="0" shrinkToFit="0" vertical="center" wrapText="1"/>
    </xf>
    <xf borderId="10" fillId="12" fontId="12" numFmtId="164" xfId="0" applyAlignment="1" applyBorder="1" applyFont="1" applyNumberFormat="1">
      <alignment horizontal="right" shrinkToFit="0" vertical="center" wrapText="1"/>
    </xf>
    <xf borderId="10" fillId="7" fontId="13" numFmtId="164" xfId="0" applyAlignment="1" applyBorder="1" applyFont="1" applyNumberFormat="1">
      <alignment horizontal="right" shrinkToFit="0" vertical="center" wrapText="1"/>
    </xf>
    <xf borderId="10" fillId="7" fontId="12" numFmtId="0" xfId="0" applyAlignment="1" applyBorder="1" applyFont="1">
      <alignment horizontal="center" readingOrder="0" vertical="center"/>
    </xf>
    <xf borderId="47" fillId="7" fontId="12" numFmtId="164" xfId="0" applyAlignment="1" applyBorder="1" applyFont="1" applyNumberFormat="1">
      <alignment vertical="center"/>
    </xf>
    <xf borderId="0" fillId="10" fontId="27" numFmtId="0" xfId="0" applyAlignment="1" applyFont="1">
      <alignment readingOrder="0" vertical="center"/>
    </xf>
    <xf borderId="10" fillId="0" fontId="40" numFmtId="0" xfId="0" applyAlignment="1" applyBorder="1" applyFont="1">
      <alignment shrinkToFit="0" vertical="center" wrapText="1"/>
    </xf>
    <xf borderId="10" fillId="12" fontId="43" numFmtId="0" xfId="0" applyAlignment="1" applyBorder="1" applyFont="1">
      <alignment readingOrder="0" shrinkToFit="0" vertical="center" wrapText="1"/>
    </xf>
    <xf borderId="10" fillId="12" fontId="14" numFmtId="166" xfId="0" applyAlignment="1" applyBorder="1" applyFont="1" applyNumberFormat="1">
      <alignment horizontal="center" readingOrder="0" vertical="center"/>
    </xf>
    <xf borderId="10" fillId="7" fontId="12" numFmtId="0" xfId="0" applyAlignment="1" applyBorder="1" applyFont="1">
      <alignment horizontal="left" readingOrder="0" shrinkToFit="0" vertical="center" wrapText="1"/>
    </xf>
    <xf borderId="10" fillId="12" fontId="13" numFmtId="3" xfId="0" applyAlignment="1" applyBorder="1" applyFont="1" applyNumberFormat="1">
      <alignment horizontal="right" readingOrder="0" shrinkToFit="0" vertical="center" wrapText="1"/>
    </xf>
    <xf borderId="10" fillId="12" fontId="13" numFmtId="3" xfId="0" applyAlignment="1" applyBorder="1" applyFont="1" applyNumberFormat="1">
      <alignment horizontal="right" shrinkToFit="0" vertical="center" wrapText="1"/>
    </xf>
    <xf borderId="49" fillId="0" fontId="13" numFmtId="164" xfId="0" applyAlignment="1" applyBorder="1" applyFont="1" applyNumberFormat="1">
      <alignment readingOrder="0" vertical="center"/>
    </xf>
    <xf borderId="10" fillId="0" fontId="12" numFmtId="0" xfId="0" applyAlignment="1" applyBorder="1" applyFont="1">
      <alignment horizontal="left" readingOrder="0" shrinkToFit="0" vertical="center" wrapText="1"/>
    </xf>
    <xf borderId="10" fillId="6" fontId="13" numFmtId="166" xfId="0" applyAlignment="1" applyBorder="1" applyFont="1" applyNumberFormat="1">
      <alignment horizontal="center" vertical="center"/>
    </xf>
    <xf borderId="10" fillId="12" fontId="13" numFmtId="166" xfId="0" applyAlignment="1" applyBorder="1" applyFont="1" applyNumberFormat="1">
      <alignment horizontal="center" vertical="center"/>
    </xf>
    <xf borderId="10" fillId="12" fontId="40" numFmtId="0" xfId="0" applyAlignment="1" applyBorder="1" applyFont="1">
      <alignment readingOrder="0" shrinkToFit="0" vertical="center" wrapText="1"/>
    </xf>
    <xf borderId="0" fillId="6" fontId="27" numFmtId="0" xfId="0" applyAlignment="1" applyFont="1">
      <alignment readingOrder="0" vertical="center"/>
    </xf>
    <xf borderId="46" fillId="6" fontId="13" numFmtId="0" xfId="0" applyAlignment="1" applyBorder="1" applyFont="1">
      <alignment horizontal="center" vertical="center"/>
    </xf>
    <xf borderId="46" fillId="6" fontId="33" numFmtId="0" xfId="0" applyAlignment="1" applyBorder="1" applyFont="1">
      <alignment horizontal="left" readingOrder="0" vertical="center"/>
    </xf>
    <xf borderId="9" fillId="7" fontId="16" numFmtId="0" xfId="0" applyAlignment="1" applyBorder="1" applyFont="1">
      <alignment horizontal="left" readingOrder="0" shrinkToFit="0" wrapText="0"/>
    </xf>
    <xf borderId="11" fillId="6" fontId="14" numFmtId="0" xfId="0" applyAlignment="1" applyBorder="1" applyFont="1">
      <alignment readingOrder="0" shrinkToFit="0" vertical="bottom" wrapText="1"/>
    </xf>
    <xf borderId="10" fillId="6" fontId="12" numFmtId="0" xfId="0" applyAlignment="1" applyBorder="1" applyFont="1">
      <alignment horizontal="center" readingOrder="0" vertical="center"/>
    </xf>
    <xf borderId="10" fillId="6" fontId="14" numFmtId="165" xfId="0" applyAlignment="1" applyBorder="1" applyFont="1" applyNumberFormat="1">
      <alignment readingOrder="0" shrinkToFit="0" wrapText="1"/>
    </xf>
    <xf borderId="10" fillId="6" fontId="14" numFmtId="0" xfId="0" applyAlignment="1" applyBorder="1" applyFont="1">
      <alignment readingOrder="0" shrinkToFit="0" vertical="center" wrapText="1"/>
    </xf>
    <xf borderId="10" fillId="6" fontId="14" numFmtId="166" xfId="0" applyAlignment="1" applyBorder="1" applyFont="1" applyNumberFormat="1">
      <alignment horizontal="center" readingOrder="0" shrinkToFit="0" vertical="center" wrapText="0"/>
    </xf>
    <xf borderId="10" fillId="6" fontId="12" numFmtId="164" xfId="0" applyAlignment="1" applyBorder="1" applyFont="1" applyNumberFormat="1">
      <alignment readingOrder="0" vertical="center"/>
    </xf>
    <xf borderId="10" fillId="6" fontId="42" numFmtId="164" xfId="0" applyAlignment="1" applyBorder="1" applyFont="1" applyNumberFormat="1">
      <alignment vertical="center"/>
    </xf>
    <xf borderId="9" fillId="12" fontId="16" numFmtId="0" xfId="0" applyAlignment="1" applyBorder="1" applyFont="1">
      <alignment horizontal="left" shrinkToFit="0" wrapText="0"/>
    </xf>
    <xf borderId="11" fillId="12" fontId="14" numFmtId="0" xfId="0" applyAlignment="1" applyBorder="1" applyFont="1">
      <alignment shrinkToFit="0" vertical="bottom" wrapText="1"/>
    </xf>
    <xf borderId="11" fillId="12" fontId="14" numFmtId="0" xfId="0" applyAlignment="1" applyBorder="1" applyFont="1">
      <alignment horizontal="center" shrinkToFit="0" vertical="bottom" wrapText="0"/>
    </xf>
    <xf borderId="11" fillId="12" fontId="14" numFmtId="0" xfId="0" applyAlignment="1" applyBorder="1" applyFont="1">
      <alignment horizontal="center" readingOrder="0" vertical="center"/>
    </xf>
    <xf borderId="10" fillId="12" fontId="14" numFmtId="0" xfId="0" applyAlignment="1" applyBorder="1" applyFont="1">
      <alignment horizontal="center" readingOrder="0" vertical="center"/>
    </xf>
    <xf borderId="10" fillId="12" fontId="14" numFmtId="165" xfId="0" applyAlignment="1" applyBorder="1" applyFont="1" applyNumberFormat="1">
      <alignment readingOrder="0" shrinkToFit="0" wrapText="1"/>
    </xf>
    <xf borderId="10" fillId="12" fontId="14" numFmtId="0" xfId="0" applyBorder="1" applyFont="1"/>
    <xf borderId="10" fillId="12" fontId="14" numFmtId="166" xfId="0" applyAlignment="1" applyBorder="1" applyFont="1" applyNumberFormat="1">
      <alignment horizontal="center" shrinkToFit="0" wrapText="0"/>
    </xf>
    <xf borderId="0" fillId="12" fontId="13" numFmtId="0" xfId="0" applyAlignment="1" applyFont="1">
      <alignment vertical="center"/>
    </xf>
    <xf borderId="49" fillId="12" fontId="13" numFmtId="164" xfId="0" applyAlignment="1" applyBorder="1" applyFont="1" applyNumberFormat="1">
      <alignment vertical="center"/>
    </xf>
    <xf borderId="0" fillId="12" fontId="13" numFmtId="164" xfId="0" applyAlignment="1" applyFont="1" applyNumberFormat="1">
      <alignment vertical="center"/>
    </xf>
    <xf borderId="9" fillId="7" fontId="16" numFmtId="0" xfId="0" applyAlignment="1" applyBorder="1" applyFont="1">
      <alignment horizontal="left" shrinkToFit="0" wrapText="0"/>
    </xf>
    <xf borderId="11" fillId="7" fontId="14" numFmtId="0" xfId="0" applyAlignment="1" applyBorder="1" applyFont="1">
      <alignment shrinkToFit="0" vertical="bottom" wrapText="1"/>
    </xf>
    <xf borderId="11" fillId="7" fontId="14" numFmtId="0" xfId="0" applyAlignment="1" applyBorder="1" applyFont="1">
      <alignment horizontal="center" shrinkToFit="0" vertical="bottom" wrapText="0"/>
    </xf>
    <xf borderId="11" fillId="7" fontId="13" numFmtId="0" xfId="0" applyAlignment="1" applyBorder="1" applyFont="1">
      <alignment horizontal="center" vertical="center"/>
    </xf>
    <xf borderId="10" fillId="7" fontId="14" numFmtId="165" xfId="0" applyAlignment="1" applyBorder="1" applyFont="1" applyNumberFormat="1">
      <alignment readingOrder="0" shrinkToFit="0" wrapText="1"/>
    </xf>
    <xf borderId="10" fillId="7" fontId="14" numFmtId="0" xfId="0" applyBorder="1" applyFont="1"/>
    <xf borderId="10" fillId="7" fontId="14" numFmtId="166" xfId="0" applyAlignment="1" applyBorder="1" applyFont="1" applyNumberFormat="1">
      <alignment horizontal="center" shrinkToFit="0" wrapText="0"/>
    </xf>
    <xf borderId="0" fillId="6" fontId="13" numFmtId="0" xfId="0" applyAlignment="1" applyFont="1">
      <alignment vertical="center"/>
    </xf>
    <xf borderId="46" fillId="6" fontId="32" numFmtId="0" xfId="0" applyAlignment="1" applyBorder="1" applyFont="1">
      <alignment horizontal="center" vertical="center"/>
    </xf>
    <xf borderId="9" fillId="7" fontId="33" numFmtId="0" xfId="0" applyAlignment="1" applyBorder="1" applyFont="1">
      <alignment horizontal="left" readingOrder="0" vertical="center"/>
    </xf>
    <xf borderId="11" fillId="7" fontId="44" numFmtId="0" xfId="0" applyAlignment="1" applyBorder="1" applyFont="1">
      <alignment readingOrder="0" shrinkToFit="0" vertical="center" wrapText="1"/>
    </xf>
    <xf borderId="11" fillId="7" fontId="44" numFmtId="0" xfId="0" applyAlignment="1" applyBorder="1" applyFont="1">
      <alignment shrinkToFit="0" vertical="center" wrapText="1"/>
    </xf>
    <xf borderId="11" fillId="7" fontId="44" numFmtId="0" xfId="0" applyAlignment="1" applyBorder="1" applyFont="1">
      <alignment horizontal="center" readingOrder="0" vertical="center"/>
    </xf>
    <xf borderId="10" fillId="7" fontId="44" numFmtId="165" xfId="0" applyAlignment="1" applyBorder="1" applyFont="1" applyNumberFormat="1">
      <alignment readingOrder="0" vertical="center"/>
    </xf>
    <xf borderId="10" fillId="7" fontId="44" numFmtId="0" xfId="0" applyAlignment="1" applyBorder="1" applyFont="1">
      <alignment horizontal="left" readingOrder="0" shrinkToFit="0" vertical="center" wrapText="1"/>
    </xf>
    <xf borderId="10" fillId="7" fontId="44" numFmtId="166" xfId="0" applyAlignment="1" applyBorder="1" applyFont="1" applyNumberFormat="1">
      <alignment horizontal="center" readingOrder="0" vertical="center"/>
    </xf>
    <xf borderId="10" fillId="7" fontId="44" numFmtId="164" xfId="0" applyAlignment="1" applyBorder="1" applyFont="1" applyNumberFormat="1">
      <alignment readingOrder="0" vertical="center"/>
    </xf>
    <xf borderId="48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46" fillId="13" fontId="32" numFmtId="0" xfId="0" applyAlignment="1" applyBorder="1" applyFill="1" applyFont="1">
      <alignment horizontal="center" vertical="center"/>
    </xf>
    <xf borderId="10" fillId="7" fontId="17" numFmtId="0" xfId="0" applyAlignment="1" applyBorder="1" applyFont="1">
      <alignment horizontal="center" readingOrder="0" shrinkToFit="0" wrapText="0"/>
    </xf>
    <xf borderId="4" fillId="13" fontId="39" numFmtId="0" xfId="0" applyAlignment="1" applyBorder="1" applyFont="1">
      <alignment readingOrder="0"/>
    </xf>
    <xf borderId="10" fillId="6" fontId="14" numFmtId="0" xfId="0" applyAlignment="1" applyBorder="1" applyFont="1">
      <alignment horizontal="center" readingOrder="0" shrinkToFit="0" vertical="center" wrapText="1"/>
    </xf>
    <xf borderId="10" fillId="6" fontId="14" numFmtId="165" xfId="0" applyAlignment="1" applyBorder="1" applyFont="1" applyNumberFormat="1">
      <alignment readingOrder="0" vertical="center"/>
    </xf>
    <xf borderId="10" fillId="6" fontId="14" numFmtId="0" xfId="0" applyAlignment="1" applyBorder="1" applyFont="1">
      <alignment horizontal="left" readingOrder="0" shrinkToFit="0" vertical="center" wrapText="1"/>
    </xf>
    <xf borderId="10" fillId="6" fontId="14" numFmtId="166" xfId="0" applyAlignment="1" applyBorder="1" applyFont="1" applyNumberFormat="1">
      <alignment horizontal="center" readingOrder="0" vertical="center"/>
    </xf>
    <xf borderId="10" fillId="13" fontId="14" numFmtId="164" xfId="0" applyAlignment="1" applyBorder="1" applyFont="1" applyNumberFormat="1">
      <alignment vertical="center"/>
    </xf>
    <xf borderId="47" fillId="13" fontId="14" numFmtId="164" xfId="0" applyAlignment="1" applyBorder="1" applyFont="1" applyNumberFormat="1">
      <alignment vertical="top"/>
    </xf>
    <xf borderId="10" fillId="12" fontId="32" numFmtId="0" xfId="0" applyAlignment="1" applyBorder="1" applyFont="1">
      <alignment horizontal="left" vertical="center"/>
    </xf>
    <xf borderId="10" fillId="12" fontId="13" numFmtId="0" xfId="0" applyAlignment="1" applyBorder="1" applyFont="1">
      <alignment shrinkToFit="0" vertical="center" wrapText="1"/>
    </xf>
    <xf borderId="10" fillId="12" fontId="42" numFmtId="0" xfId="0" applyAlignment="1" applyBorder="1" applyFont="1">
      <alignment horizontal="center" readingOrder="0" shrinkToFit="0" vertical="center" wrapText="1"/>
    </xf>
    <xf borderId="10" fillId="12" fontId="42" numFmtId="165" xfId="0" applyAlignment="1" applyBorder="1" applyFont="1" applyNumberFormat="1">
      <alignment readingOrder="0" vertical="center"/>
    </xf>
    <xf borderId="10" fillId="12" fontId="42" numFmtId="0" xfId="0" applyAlignment="1" applyBorder="1" applyFont="1">
      <alignment horizontal="left" readingOrder="0" shrinkToFit="0" vertical="center" wrapText="1"/>
    </xf>
    <xf borderId="10" fillId="12" fontId="42" numFmtId="166" xfId="0" applyAlignment="1" applyBorder="1" applyFont="1" applyNumberFormat="1">
      <alignment horizontal="center" readingOrder="0" vertical="center"/>
    </xf>
    <xf borderId="10" fillId="12" fontId="42" numFmtId="164" xfId="0" applyAlignment="1" applyBorder="1" applyFont="1" applyNumberFormat="1">
      <alignment vertical="center"/>
    </xf>
    <xf borderId="10" fillId="12" fontId="42" numFmtId="164" xfId="0" applyAlignment="1" applyBorder="1" applyFont="1" applyNumberFormat="1">
      <alignment readingOrder="0" vertical="center"/>
    </xf>
    <xf borderId="47" fillId="12" fontId="42" numFmtId="164" xfId="0" applyAlignment="1" applyBorder="1" applyFont="1" applyNumberFormat="1">
      <alignment vertical="center"/>
    </xf>
    <xf borderId="10" fillId="7" fontId="13" numFmtId="0" xfId="0" applyAlignment="1" applyBorder="1" applyFont="1">
      <alignment shrinkToFit="0" vertical="center" wrapText="1"/>
    </xf>
    <xf borderId="10" fillId="7" fontId="13" numFmtId="0" xfId="0" applyAlignment="1" applyBorder="1" applyFont="1">
      <alignment horizontal="left" readingOrder="0" shrinkToFit="0" vertical="center" wrapText="1"/>
    </xf>
    <xf borderId="10" fillId="7" fontId="42" numFmtId="164" xfId="0" applyAlignment="1" applyBorder="1" applyFont="1" applyNumberFormat="1">
      <alignment vertical="center"/>
    </xf>
    <xf borderId="10" fillId="7" fontId="17" numFmtId="0" xfId="0" applyAlignment="1" applyBorder="1" applyFont="1">
      <alignment horizontal="center" shrinkToFit="0" wrapText="0"/>
    </xf>
    <xf borderId="4" fillId="7" fontId="42" numFmtId="0" xfId="0" applyAlignment="1" applyBorder="1" applyFont="1">
      <alignment shrinkToFit="0" wrapText="1"/>
    </xf>
    <xf borderId="4" fillId="7" fontId="42" numFmtId="0" xfId="0" applyAlignment="1" applyBorder="1" applyFont="1">
      <alignment horizontal="center" vertical="center"/>
    </xf>
    <xf borderId="10" fillId="7" fontId="42" numFmtId="0" xfId="0" applyAlignment="1" applyBorder="1" applyFont="1">
      <alignment horizontal="center" vertical="center"/>
    </xf>
    <xf borderId="10" fillId="7" fontId="42" numFmtId="165" xfId="0" applyAlignment="1" applyBorder="1" applyFont="1" applyNumberFormat="1">
      <alignment readingOrder="0" vertical="center"/>
    </xf>
    <xf borderId="10" fillId="7" fontId="42" numFmtId="0" xfId="0" applyAlignment="1" applyBorder="1" applyFont="1">
      <alignment horizontal="left" readingOrder="0" shrinkToFit="0" vertical="center" wrapText="1"/>
    </xf>
    <xf borderId="10" fillId="7" fontId="42" numFmtId="166" xfId="0" applyAlignment="1" applyBorder="1" applyFont="1" applyNumberFormat="1">
      <alignment horizontal="center" readingOrder="0" vertical="center"/>
    </xf>
    <xf borderId="10" fillId="12" fontId="13" numFmtId="0" xfId="0" applyBorder="1" applyFont="1"/>
    <xf borderId="10" fillId="12" fontId="13" numFmtId="0" xfId="0" applyAlignment="1" applyBorder="1" applyFont="1">
      <alignment shrinkToFit="0" wrapText="1"/>
    </xf>
    <xf borderId="10" fillId="12" fontId="13" numFmtId="0" xfId="0" applyAlignment="1" applyBorder="1" applyFont="1">
      <alignment horizontal="center"/>
    </xf>
    <xf borderId="10" fillId="12" fontId="42" numFmtId="165" xfId="0" applyAlignment="1" applyBorder="1" applyFont="1" applyNumberFormat="1">
      <alignment vertical="center"/>
    </xf>
    <xf borderId="10" fillId="12" fontId="42" numFmtId="166" xfId="0" applyAlignment="1" applyBorder="1" applyFont="1" applyNumberFormat="1">
      <alignment horizontal="center" vertical="center"/>
    </xf>
    <xf borderId="10" fillId="7" fontId="20" numFmtId="0" xfId="0" applyAlignment="1" applyBorder="1" applyFont="1">
      <alignment horizontal="right" shrinkToFit="0" wrapText="1"/>
    </xf>
    <xf borderId="10" fillId="7" fontId="42" numFmtId="0" xfId="0" applyAlignment="1" applyBorder="1" applyFont="1">
      <alignment shrinkToFit="0" wrapText="1"/>
    </xf>
    <xf borderId="10" fillId="7" fontId="13" numFmtId="0" xfId="0" applyAlignment="1" applyBorder="1" applyFont="1">
      <alignment horizontal="center"/>
    </xf>
    <xf borderId="10" fillId="7" fontId="13" numFmtId="0" xfId="0" applyAlignment="1" applyBorder="1" applyFont="1">
      <alignment horizontal="left" shrinkToFit="0" vertical="center" wrapText="1"/>
    </xf>
    <xf borderId="10" fillId="7" fontId="41" numFmtId="0" xfId="0" applyAlignment="1" applyBorder="1" applyFont="1">
      <alignment horizontal="left" vertical="center"/>
    </xf>
    <xf borderId="10" fillId="7" fontId="42" numFmtId="0" xfId="0" applyAlignment="1" applyBorder="1" applyFont="1">
      <alignment shrinkToFit="0" vertical="center" wrapText="1"/>
    </xf>
    <xf borderId="10" fillId="7" fontId="42" numFmtId="0" xfId="0" applyAlignment="1" applyBorder="1" applyFont="1">
      <alignment horizontal="center" readingOrder="0" vertical="center"/>
    </xf>
    <xf borderId="10" fillId="7" fontId="45" numFmtId="165" xfId="0" applyAlignment="1" applyBorder="1" applyFont="1" applyNumberFormat="1">
      <alignment readingOrder="0" vertical="center"/>
    </xf>
    <xf borderId="10" fillId="7" fontId="42" numFmtId="0" xfId="0" applyAlignment="1" applyBorder="1" applyFont="1">
      <alignment horizontal="left" readingOrder="0" shrinkToFit="0" vertical="center" wrapText="1"/>
    </xf>
    <xf borderId="10" fillId="7" fontId="32" numFmtId="164" xfId="0" applyAlignment="1" applyBorder="1" applyFont="1" applyNumberFormat="1">
      <alignment vertical="center"/>
    </xf>
    <xf borderId="10" fillId="7" fontId="33" numFmtId="0" xfId="0" applyAlignment="1" applyBorder="1" applyFont="1">
      <alignment horizontal="left" readingOrder="0" vertical="center"/>
    </xf>
    <xf borderId="10" fillId="13" fontId="33" numFmtId="0" xfId="0" applyAlignment="1" applyBorder="1" applyFont="1">
      <alignment readingOrder="0" shrinkToFit="0" vertical="center" wrapText="1"/>
    </xf>
    <xf borderId="10" fillId="6" fontId="14" numFmtId="0" xfId="0" applyAlignment="1" applyBorder="1" applyFont="1">
      <alignment horizontal="center" readingOrder="0" vertical="center"/>
    </xf>
    <xf borderId="10" fillId="6" fontId="39" numFmtId="165" xfId="0" applyAlignment="1" applyBorder="1" applyFont="1" applyNumberFormat="1">
      <alignment readingOrder="0" vertical="center"/>
    </xf>
    <xf borderId="10" fillId="6" fontId="14" numFmtId="0" xfId="0" applyAlignment="1" applyBorder="1" applyFont="1">
      <alignment horizontal="left" readingOrder="0" shrinkToFit="0" vertical="center" wrapText="1"/>
    </xf>
    <xf borderId="10" fillId="13" fontId="38" numFmtId="164" xfId="0" applyAlignment="1" applyBorder="1" applyFont="1" applyNumberFormat="1">
      <alignment vertical="center"/>
    </xf>
    <xf borderId="10" fillId="12" fontId="12" numFmtId="0" xfId="0" applyAlignment="1" applyBorder="1" applyFont="1">
      <alignment readingOrder="0"/>
    </xf>
    <xf borderId="10" fillId="12" fontId="41" numFmtId="164" xfId="0" applyAlignment="1" applyBorder="1" applyFont="1" applyNumberFormat="1">
      <alignment vertical="center"/>
    </xf>
    <xf borderId="10" fillId="12" fontId="42" numFmtId="0" xfId="0" applyAlignment="1" applyBorder="1" applyFont="1">
      <alignment shrinkToFit="0" wrapText="1"/>
    </xf>
    <xf borderId="10" fillId="12" fontId="12" numFmtId="0" xfId="0" applyAlignment="1" applyBorder="1" applyFont="1">
      <alignment horizontal="center" readingOrder="0" shrinkToFit="0" vertical="center" wrapText="1"/>
    </xf>
    <xf borderId="10" fillId="12" fontId="42" numFmtId="0" xfId="0" applyAlignment="1" applyBorder="1" applyFont="1">
      <alignment horizontal="left" readingOrder="0" shrinkToFit="0" vertical="center" wrapText="1"/>
    </xf>
    <xf borderId="10" fillId="12" fontId="42" numFmtId="0" xfId="0" applyAlignment="1" applyBorder="1" applyFont="1">
      <alignment horizontal="left" shrinkToFit="0" vertical="center" wrapText="1"/>
    </xf>
    <xf borderId="1" fillId="12" fontId="12" numFmtId="0" xfId="0" applyAlignment="1" applyBorder="1" applyFont="1">
      <alignment shrinkToFit="0" vertical="center" wrapText="1"/>
    </xf>
    <xf borderId="43" fillId="7" fontId="12" numFmtId="0" xfId="0" applyAlignment="1" applyBorder="1" applyFont="1">
      <alignment shrinkToFit="0" vertical="center" wrapText="1"/>
    </xf>
    <xf borderId="43" fillId="7" fontId="13" numFmtId="0" xfId="0" applyAlignment="1" applyBorder="1" applyFont="1">
      <alignment horizontal="center" vertical="center"/>
    </xf>
    <xf borderId="43" fillId="7" fontId="40" numFmtId="164" xfId="0" applyAlignment="1" applyBorder="1" applyFont="1" applyNumberFormat="1">
      <alignment vertical="center"/>
    </xf>
    <xf borderId="44" fillId="7" fontId="33" numFmtId="164" xfId="0" applyAlignment="1" applyBorder="1" applyFont="1" applyNumberFormat="1">
      <alignment vertical="center"/>
    </xf>
    <xf borderId="47" fillId="7" fontId="33" numFmtId="164" xfId="0" applyAlignment="1" applyBorder="1" applyFont="1" applyNumberFormat="1">
      <alignment vertical="center"/>
    </xf>
    <xf borderId="55" fillId="0" fontId="12" numFmtId="0" xfId="0" applyAlignment="1" applyBorder="1" applyFont="1">
      <alignment shrinkToFit="0" vertical="center" wrapText="1"/>
    </xf>
    <xf borderId="55" fillId="0" fontId="12" numFmtId="0" xfId="0" applyAlignment="1" applyBorder="1" applyFont="1">
      <alignment horizontal="center" vertical="center"/>
    </xf>
    <xf borderId="56" fillId="7" fontId="33" numFmtId="164" xfId="0" applyAlignment="1" applyBorder="1" applyFont="1" applyNumberFormat="1">
      <alignment vertical="center"/>
    </xf>
    <xf borderId="9" fillId="0" fontId="12" numFmtId="0" xfId="0" applyAlignment="1" applyBorder="1" applyFont="1">
      <alignment shrinkToFit="0" vertical="center" wrapText="1"/>
    </xf>
    <xf borderId="10" fillId="12" fontId="12" numFmtId="0" xfId="0" applyAlignment="1" applyBorder="1" applyFont="1">
      <alignment horizontal="center" readingOrder="0" vertical="center"/>
    </xf>
    <xf borderId="48" fillId="0" fontId="13" numFmtId="164" xfId="0" applyAlignment="1" applyBorder="1" applyFont="1" applyNumberFormat="1">
      <alignment readingOrder="0" vertical="center"/>
    </xf>
    <xf borderId="50" fillId="6" fontId="13" numFmtId="164" xfId="0" applyAlignment="1" applyBorder="1" applyFont="1" applyNumberFormat="1">
      <alignment vertical="center"/>
    </xf>
    <xf borderId="10" fillId="12" fontId="12" numFmtId="165" xfId="0" applyAlignment="1" applyBorder="1" applyFont="1" applyNumberFormat="1">
      <alignment horizontal="left" readingOrder="0" vertical="center"/>
    </xf>
    <xf borderId="10" fillId="7" fontId="12" numFmtId="165" xfId="0" applyAlignment="1" applyBorder="1" applyFont="1" applyNumberFormat="1">
      <alignment horizontal="left" readingOrder="0" vertical="center"/>
    </xf>
    <xf borderId="10" fillId="7" fontId="12" numFmtId="164" xfId="0" applyAlignment="1" applyBorder="1" applyFont="1" applyNumberFormat="1">
      <alignment horizontal="center" vertical="center"/>
    </xf>
    <xf borderId="10" fillId="0" fontId="12" numFmtId="164" xfId="0" applyAlignment="1" applyBorder="1" applyFont="1" applyNumberFormat="1">
      <alignment horizontal="center" vertical="center"/>
    </xf>
    <xf borderId="10" fillId="12" fontId="12" numFmtId="164" xfId="0" applyAlignment="1" applyBorder="1" applyFont="1" applyNumberFormat="1">
      <alignment readingOrder="0" vertical="center"/>
    </xf>
    <xf borderId="10" fillId="12" fontId="14" numFmtId="0" xfId="0" applyAlignment="1" applyBorder="1" applyFont="1">
      <alignment shrinkToFit="0" vertical="center" wrapText="1"/>
    </xf>
    <xf borderId="0" fillId="6" fontId="46" numFmtId="0" xfId="0" applyAlignment="1" applyFont="1">
      <alignment readingOrder="0" shrinkToFit="0" vertical="bottom" wrapText="0"/>
    </xf>
    <xf borderId="49" fillId="0" fontId="47" numFmtId="164" xfId="0" applyAlignment="1" applyBorder="1" applyFont="1" applyNumberFormat="1">
      <alignment vertical="center"/>
    </xf>
    <xf borderId="0" fillId="0" fontId="47" numFmtId="164" xfId="0" applyAlignment="1" applyFont="1" applyNumberFormat="1">
      <alignment vertical="center"/>
    </xf>
    <xf borderId="4" fillId="7" fontId="42" numFmtId="0" xfId="0" applyAlignment="1" applyBorder="1" applyFont="1">
      <alignment readingOrder="0" shrinkToFit="0" wrapText="1"/>
    </xf>
    <xf borderId="4" fillId="7" fontId="42" numFmtId="0" xfId="0" applyAlignment="1" applyBorder="1" applyFont="1">
      <alignment horizontal="center" readingOrder="0" shrinkToFit="0" wrapText="0"/>
    </xf>
    <xf borderId="4" fillId="7" fontId="13" numFmtId="0" xfId="0" applyAlignment="1" applyBorder="1" applyFont="1">
      <alignment horizontal="center" vertical="center"/>
    </xf>
    <xf borderId="10" fillId="7" fontId="42" numFmtId="165" xfId="0" applyAlignment="1" applyBorder="1" applyFont="1" applyNumberFormat="1">
      <alignment horizontal="right" readingOrder="0" shrinkToFit="0" wrapText="0"/>
    </xf>
    <xf borderId="10" fillId="7" fontId="42" numFmtId="0" xfId="0" applyAlignment="1" applyBorder="1" applyFont="1">
      <alignment readingOrder="0"/>
    </xf>
    <xf borderId="10" fillId="7" fontId="42" numFmtId="166" xfId="0" applyAlignment="1" applyBorder="1" applyFont="1" applyNumberFormat="1">
      <alignment horizontal="center" readingOrder="0" shrinkToFit="0" wrapText="0"/>
    </xf>
    <xf borderId="10" fillId="7" fontId="16" numFmtId="0" xfId="0" applyAlignment="1" applyBorder="1" applyFont="1">
      <alignment horizontal="left" readingOrder="0" shrinkToFit="0" wrapText="0"/>
    </xf>
    <xf borderId="4" fillId="6" fontId="39" numFmtId="0" xfId="0" applyAlignment="1" applyBorder="1" applyFont="1">
      <alignment readingOrder="0" shrinkToFit="0" wrapText="1"/>
    </xf>
    <xf borderId="10" fillId="9" fontId="12" numFmtId="0" xfId="0" applyAlignment="1" applyBorder="1" applyFont="1">
      <alignment horizontal="center" readingOrder="0" shrinkToFit="0" wrapText="0"/>
    </xf>
    <xf borderId="10" fillId="0" fontId="12" numFmtId="165" xfId="0" applyAlignment="1" applyBorder="1" applyFont="1" applyNumberFormat="1">
      <alignment horizontal="right" readingOrder="0" shrinkToFit="0" wrapText="0"/>
    </xf>
    <xf borderId="10" fillId="0" fontId="12" numFmtId="0" xfId="0" applyAlignment="1" applyBorder="1" applyFont="1">
      <alignment readingOrder="0"/>
    </xf>
    <xf borderId="10" fillId="0" fontId="12" numFmtId="166" xfId="0" applyAlignment="1" applyBorder="1" applyFont="1" applyNumberFormat="1">
      <alignment horizontal="center" readingOrder="0" shrinkToFit="0" wrapText="0"/>
    </xf>
    <xf borderId="10" fillId="6" fontId="12" numFmtId="164" xfId="0" applyAlignment="1" applyBorder="1" applyFont="1" applyNumberFormat="1">
      <alignment vertical="center"/>
    </xf>
    <xf borderId="47" fillId="6" fontId="12" numFmtId="164" xfId="0" applyAlignment="1" applyBorder="1" applyFont="1" applyNumberFormat="1">
      <alignment readingOrder="0" vertical="center"/>
    </xf>
    <xf borderId="10" fillId="12" fontId="42" numFmtId="0" xfId="0" applyAlignment="1" applyBorder="1" applyFont="1">
      <alignment horizontal="center" vertical="center"/>
    </xf>
    <xf borderId="10" fillId="12" fontId="12" numFmtId="0" xfId="0" applyAlignment="1" applyBorder="1" applyFont="1">
      <alignment horizontal="left" readingOrder="0" shrinkToFit="0" vertical="center" wrapText="1"/>
    </xf>
    <xf borderId="10" fillId="7" fontId="13" numFmtId="165" xfId="0" applyAlignment="1" applyBorder="1" applyFont="1" applyNumberFormat="1">
      <alignment readingOrder="0" vertical="center"/>
    </xf>
    <xf borderId="10" fillId="7" fontId="48" numFmtId="0" xfId="0" applyAlignment="1" applyBorder="1" applyFont="1">
      <alignment horizontal="left" shrinkToFit="0" wrapText="0"/>
    </xf>
    <xf borderId="4" fillId="7" fontId="42" numFmtId="0" xfId="0" applyAlignment="1" applyBorder="1" applyFont="1">
      <alignment shrinkToFit="0" wrapText="1"/>
    </xf>
    <xf borderId="4" fillId="13" fontId="14" numFmtId="0" xfId="0" applyAlignment="1" applyBorder="1" applyFont="1">
      <alignment readingOrder="0" shrinkToFit="0" wrapText="1"/>
    </xf>
    <xf borderId="10" fillId="6" fontId="14" numFmtId="0" xfId="0" applyAlignment="1" applyBorder="1" applyFont="1">
      <alignment horizontal="center" readingOrder="0" shrinkToFit="0" wrapText="0"/>
    </xf>
    <xf borderId="10" fillId="6" fontId="14" numFmtId="165" xfId="0" applyAlignment="1" applyBorder="1" applyFont="1" applyNumberFormat="1">
      <alignment horizontal="right" readingOrder="0" shrinkToFit="0" wrapText="0"/>
    </xf>
    <xf borderId="10" fillId="6" fontId="14" numFmtId="0" xfId="0" applyAlignment="1" applyBorder="1" applyFont="1">
      <alignment readingOrder="0"/>
    </xf>
    <xf borderId="10" fillId="6" fontId="14" numFmtId="166" xfId="0" applyAlignment="1" applyBorder="1" applyFont="1" applyNumberFormat="1">
      <alignment horizontal="center" readingOrder="0" shrinkToFit="0" wrapText="0"/>
    </xf>
    <xf borderId="10" fillId="12" fontId="40" numFmtId="0" xfId="0" applyAlignment="1" applyBorder="1" applyFont="1">
      <alignment readingOrder="0" vertical="center"/>
    </xf>
    <xf borderId="10" fillId="12" fontId="42" numFmtId="0" xfId="0" applyAlignment="1" applyBorder="1" applyFont="1">
      <alignment shrinkToFit="0" vertical="center" wrapText="1"/>
    </xf>
    <xf borderId="10" fillId="12" fontId="42" numFmtId="0" xfId="0" applyAlignment="1" applyBorder="1" applyFont="1">
      <alignment horizontal="left" shrinkToFit="0" vertical="center" wrapText="1"/>
    </xf>
    <xf borderId="10" fillId="7" fontId="42" numFmtId="165" xfId="0" applyAlignment="1" applyBorder="1" applyFont="1" applyNumberFormat="1">
      <alignment vertical="center"/>
    </xf>
    <xf borderId="10" fillId="7" fontId="42" numFmtId="166" xfId="0" applyAlignment="1" applyBorder="1" applyFont="1" applyNumberFormat="1">
      <alignment horizontal="center" vertical="center"/>
    </xf>
    <xf borderId="47" fillId="7" fontId="42" numFmtId="164" xfId="0" applyAlignment="1" applyBorder="1" applyFont="1" applyNumberFormat="1">
      <alignment vertical="center"/>
    </xf>
    <xf borderId="56" fillId="7" fontId="12" numFmtId="164" xfId="0" applyAlignment="1" applyBorder="1" applyFont="1" applyNumberFormat="1">
      <alignment vertical="center"/>
    </xf>
    <xf borderId="10" fillId="6" fontId="13" numFmtId="165" xfId="0" applyAlignment="1" applyBorder="1" applyFont="1" applyNumberFormat="1">
      <alignment readingOrder="0" vertical="center"/>
    </xf>
    <xf borderId="10" fillId="6" fontId="13" numFmtId="166" xfId="0" applyAlignment="1" applyBorder="1" applyFont="1" applyNumberFormat="1">
      <alignment horizontal="center" readingOrder="0" vertical="center"/>
    </xf>
    <xf borderId="10" fillId="7" fontId="20" numFmtId="0" xfId="0" applyAlignment="1" applyBorder="1" applyFont="1">
      <alignment horizontal="right" shrinkToFit="0" wrapText="1"/>
    </xf>
    <xf borderId="10" fillId="7" fontId="13" numFmtId="165" xfId="0" applyAlignment="1" applyBorder="1" applyFont="1" applyNumberFormat="1">
      <alignment horizontal="left" readingOrder="0" shrinkToFit="0" vertical="center" wrapText="1"/>
    </xf>
    <xf borderId="10" fillId="0" fontId="13" numFmtId="165" xfId="0" applyAlignment="1" applyBorder="1" applyFont="1" applyNumberFormat="1">
      <alignment horizontal="left" readingOrder="0" shrinkToFit="0" vertical="center" wrapText="1"/>
    </xf>
    <xf borderId="0" fillId="12" fontId="13" numFmtId="0" xfId="0" applyFont="1"/>
    <xf borderId="0" fillId="12" fontId="13" numFmtId="0" xfId="0" applyAlignment="1" applyFont="1">
      <alignment shrinkToFit="0" vertical="center" wrapText="1"/>
    </xf>
    <xf borderId="51" fillId="12" fontId="24" numFmtId="164" xfId="0" applyAlignment="1" applyBorder="1" applyFont="1" applyNumberFormat="1">
      <alignment vertical="center"/>
    </xf>
    <xf borderId="50" fillId="6" fontId="13" numFmtId="164" xfId="0" applyBorder="1" applyFont="1" applyNumberFormat="1"/>
    <xf borderId="10" fillId="7" fontId="39" numFmtId="0" xfId="0" applyAlignment="1" applyBorder="1" applyFont="1">
      <alignment horizontal="left" readingOrder="0" shrinkToFit="0" vertical="center" wrapText="1"/>
    </xf>
    <xf borderId="10" fillId="0" fontId="39" numFmtId="0" xfId="0" applyAlignment="1" applyBorder="1" applyFont="1">
      <alignment horizontal="left" readingOrder="0" shrinkToFit="0" vertical="center" wrapText="1"/>
    </xf>
    <xf borderId="10" fillId="7" fontId="14" numFmtId="0" xfId="0" applyAlignment="1" applyBorder="1" applyFont="1">
      <alignment horizontal="center" readingOrder="0" shrinkToFit="0" vertical="center" wrapText="0"/>
    </xf>
    <xf borderId="10" fillId="7" fontId="42" numFmtId="0" xfId="0" applyAlignment="1" applyBorder="1" applyFont="1">
      <alignment readingOrder="0" vertical="center"/>
    </xf>
    <xf borderId="10" fillId="7" fontId="42" numFmtId="166" xfId="0" applyAlignment="1" applyBorder="1" applyFont="1" applyNumberFormat="1">
      <alignment horizontal="center" readingOrder="0" shrinkToFit="0" vertical="center" wrapText="0"/>
    </xf>
    <xf borderId="10" fillId="7" fontId="12" numFmtId="165" xfId="0" applyAlignment="1" applyBorder="1" applyFont="1" applyNumberFormat="1">
      <alignment vertical="center"/>
    </xf>
    <xf borderId="46" fillId="13" fontId="13" numFmtId="0" xfId="0" applyAlignment="1" applyBorder="1" applyFont="1">
      <alignment horizontal="center" vertical="center"/>
    </xf>
    <xf borderId="10" fillId="13" fontId="33" numFmtId="0" xfId="0" applyAlignment="1" applyBorder="1" applyFont="1">
      <alignment shrinkToFit="0" vertical="center" wrapText="1"/>
    </xf>
    <xf borderId="10" fillId="6" fontId="14" numFmtId="0" xfId="0" applyAlignment="1" applyBorder="1" applyFont="1">
      <alignment horizontal="center" readingOrder="0" shrinkToFit="0" vertical="center" wrapText="0"/>
    </xf>
    <xf borderId="10" fillId="6" fontId="14" numFmtId="0" xfId="0" applyAlignment="1" applyBorder="1" applyFont="1">
      <alignment readingOrder="0" vertical="center"/>
    </xf>
    <xf borderId="10" fillId="13" fontId="14" numFmtId="165" xfId="0" applyAlignment="1" applyBorder="1" applyFont="1" applyNumberFormat="1">
      <alignment vertical="center"/>
    </xf>
    <xf borderId="10" fillId="12" fontId="42" numFmtId="0" xfId="0" applyAlignment="1" applyBorder="1" applyFont="1">
      <alignment readingOrder="0"/>
    </xf>
    <xf borderId="10" fillId="12" fontId="42" numFmtId="166" xfId="0" applyAlignment="1" applyBorder="1" applyFont="1" applyNumberFormat="1">
      <alignment horizontal="center" readingOrder="0" shrinkToFit="0" wrapText="0"/>
    </xf>
    <xf borderId="10" fillId="7" fontId="14" numFmtId="166" xfId="0" applyAlignment="1" applyBorder="1" applyFont="1" applyNumberFormat="1">
      <alignment horizontal="center" readingOrder="0" vertical="center"/>
    </xf>
    <xf borderId="10" fillId="6" fontId="13" numFmtId="0" xfId="0" applyAlignment="1" applyBorder="1" applyFont="1">
      <alignment readingOrder="0" shrinkToFit="0" vertical="center" wrapText="1"/>
    </xf>
    <xf borderId="10" fillId="0" fontId="14" numFmtId="166" xfId="0" applyAlignment="1" applyBorder="1" applyFont="1" applyNumberFormat="1">
      <alignment horizontal="center" readingOrder="0" vertical="center"/>
    </xf>
    <xf borderId="46" fillId="0" fontId="33" numFmtId="0" xfId="0" applyAlignment="1" applyBorder="1" applyFont="1">
      <alignment horizontal="center" vertical="center"/>
    </xf>
    <xf borderId="10" fillId="12" fontId="33" numFmtId="0" xfId="0" applyAlignment="1" applyBorder="1" applyFont="1">
      <alignment horizontal="left" vertical="center"/>
    </xf>
    <xf borderId="10" fillId="12" fontId="33" numFmtId="0" xfId="0" applyAlignment="1" applyBorder="1" applyFont="1">
      <alignment vertical="center"/>
    </xf>
    <xf borderId="10" fillId="12" fontId="13" numFmtId="164" xfId="0" applyAlignment="1" applyBorder="1" applyFont="1" applyNumberFormat="1">
      <alignment horizontal="center" vertical="center"/>
    </xf>
    <xf borderId="0" fillId="6" fontId="27" numFmtId="0" xfId="0" applyAlignment="1" applyFont="1">
      <alignment readingOrder="0" vertical="top"/>
    </xf>
    <xf borderId="46" fillId="6" fontId="33" numFmtId="0" xfId="0" applyAlignment="1" applyBorder="1" applyFont="1">
      <alignment horizontal="center" vertical="top"/>
    </xf>
    <xf borderId="10" fillId="7" fontId="16" numFmtId="0" xfId="0" applyAlignment="1" applyBorder="1" applyFont="1">
      <alignment horizontal="left" readingOrder="0" shrinkToFit="0" vertical="top" wrapText="0"/>
    </xf>
    <xf borderId="4" fillId="7" fontId="42" numFmtId="0" xfId="0" applyAlignment="1" applyBorder="1" applyFont="1">
      <alignment readingOrder="0" shrinkToFit="0" vertical="top" wrapText="1"/>
    </xf>
    <xf borderId="4" fillId="7" fontId="42" numFmtId="0" xfId="0" applyAlignment="1" applyBorder="1" applyFont="1">
      <alignment shrinkToFit="0" vertical="top" wrapText="1"/>
    </xf>
    <xf borderId="4" fillId="7" fontId="42" numFmtId="0" xfId="0" applyAlignment="1" applyBorder="1" applyFont="1">
      <alignment horizontal="center" readingOrder="0" shrinkToFit="0" vertical="top" wrapText="0"/>
    </xf>
    <xf borderId="10" fillId="7" fontId="42" numFmtId="165" xfId="0" applyAlignment="1" applyBorder="1" applyFont="1" applyNumberFormat="1">
      <alignment vertical="top"/>
    </xf>
    <xf borderId="10" fillId="7" fontId="13" numFmtId="0" xfId="0" applyAlignment="1" applyBorder="1" applyFont="1">
      <alignment readingOrder="0" vertical="top"/>
    </xf>
    <xf borderId="10" fillId="7" fontId="42" numFmtId="166" xfId="0" applyAlignment="1" applyBorder="1" applyFont="1" applyNumberFormat="1">
      <alignment horizontal="center" readingOrder="0" shrinkToFit="0" vertical="top" wrapText="0"/>
    </xf>
    <xf borderId="10" fillId="7" fontId="42" numFmtId="164" xfId="0" applyAlignment="1" applyBorder="1" applyFont="1" applyNumberFormat="1">
      <alignment vertical="top"/>
    </xf>
    <xf borderId="0" fillId="6" fontId="13" numFmtId="164" xfId="0" applyAlignment="1" applyFont="1" applyNumberFormat="1">
      <alignment vertical="top"/>
    </xf>
    <xf borderId="48" fillId="0" fontId="13" numFmtId="164" xfId="0" applyAlignment="1" applyBorder="1" applyFont="1" applyNumberFormat="1">
      <alignment vertical="top"/>
    </xf>
    <xf borderId="0" fillId="0" fontId="13" numFmtId="164" xfId="0" applyAlignment="1" applyFont="1" applyNumberFormat="1">
      <alignment vertical="top"/>
    </xf>
    <xf borderId="0" fillId="0" fontId="27" numFmtId="0" xfId="0" applyAlignment="1" applyFont="1">
      <alignment readingOrder="0" vertical="top"/>
    </xf>
    <xf borderId="46" fillId="13" fontId="33" numFmtId="0" xfId="0" applyAlignment="1" applyBorder="1" applyFont="1">
      <alignment horizontal="center" vertical="top"/>
    </xf>
    <xf borderId="10" fillId="7" fontId="16" numFmtId="0" xfId="0" applyAlignment="1" applyBorder="1" applyFont="1">
      <alignment horizontal="center" readingOrder="0" shrinkToFit="0" vertical="top" wrapText="0"/>
    </xf>
    <xf borderId="4" fillId="13" fontId="39" numFmtId="0" xfId="0" applyAlignment="1" applyBorder="1" applyFont="1">
      <alignment readingOrder="0" shrinkToFit="0" vertical="top" wrapText="1"/>
    </xf>
    <xf borderId="10" fillId="6" fontId="14" numFmtId="0" xfId="0" applyAlignment="1" applyBorder="1" applyFont="1">
      <alignment horizontal="center" readingOrder="0" shrinkToFit="0" vertical="top" wrapText="0"/>
    </xf>
    <xf borderId="10" fillId="6" fontId="14" numFmtId="165" xfId="0" applyAlignment="1" applyBorder="1" applyFont="1" applyNumberFormat="1">
      <alignment vertical="top"/>
    </xf>
    <xf borderId="10" fillId="6" fontId="49" numFmtId="0" xfId="0" applyAlignment="1" applyBorder="1" applyFont="1">
      <alignment readingOrder="0" vertical="top"/>
    </xf>
    <xf borderId="10" fillId="6" fontId="14" numFmtId="166" xfId="0" applyAlignment="1" applyBorder="1" applyFont="1" applyNumberFormat="1">
      <alignment horizontal="center" readingOrder="0" shrinkToFit="0" vertical="top" wrapText="0"/>
    </xf>
    <xf borderId="10" fillId="13" fontId="14" numFmtId="164" xfId="0" applyAlignment="1" applyBorder="1" applyFont="1" applyNumberFormat="1">
      <alignment vertical="top"/>
    </xf>
    <xf borderId="46" fillId="13" fontId="33" numFmtId="0" xfId="0" applyAlignment="1" applyBorder="1" applyFont="1">
      <alignment horizontal="center" vertical="center"/>
    </xf>
    <xf borderId="4" fillId="12" fontId="33" numFmtId="0" xfId="0" applyAlignment="1" applyBorder="1" applyFont="1">
      <alignment readingOrder="0" vertical="center"/>
    </xf>
    <xf borderId="4" fillId="12" fontId="42" numFmtId="0" xfId="0" applyAlignment="1" applyBorder="1" applyFont="1">
      <alignment shrinkToFit="0" vertical="center" wrapText="1"/>
    </xf>
    <xf borderId="4" fillId="12" fontId="42" numFmtId="0" xfId="0" applyAlignment="1" applyBorder="1" applyFont="1">
      <alignment horizontal="center" vertical="center"/>
    </xf>
    <xf borderId="4" fillId="12" fontId="42" numFmtId="0" xfId="0" applyAlignment="1" applyBorder="1" applyFont="1">
      <alignment horizontal="center" readingOrder="0" vertical="center"/>
    </xf>
    <xf borderId="10" fillId="12" fontId="42" numFmtId="0" xfId="0" applyAlignment="1" applyBorder="1" applyFont="1">
      <alignment horizontal="center" readingOrder="0" vertical="center"/>
    </xf>
    <xf borderId="10" fillId="12" fontId="41" numFmtId="165" xfId="0" applyAlignment="1" applyBorder="1" applyFont="1" applyNumberFormat="1">
      <alignment vertical="center"/>
    </xf>
    <xf borderId="10" fillId="12" fontId="41" numFmtId="165" xfId="0" applyAlignment="1" applyBorder="1" applyFont="1" applyNumberFormat="1">
      <alignment readingOrder="0" vertical="center"/>
    </xf>
    <xf borderId="10" fillId="7" fontId="41" numFmtId="165" xfId="0" applyAlignment="1" applyBorder="1" applyFont="1" applyNumberFormat="1">
      <alignment vertical="center"/>
    </xf>
    <xf borderId="10" fillId="7" fontId="42" numFmtId="164" xfId="0" applyAlignment="1" applyBorder="1" applyFont="1" applyNumberFormat="1">
      <alignment readingOrder="0" vertical="center"/>
    </xf>
    <xf borderId="10" fillId="7" fontId="13" numFmtId="0" xfId="0" applyAlignment="1" applyBorder="1" applyFont="1">
      <alignment readingOrder="0"/>
    </xf>
    <xf borderId="10" fillId="7" fontId="16" numFmtId="0" xfId="0" applyAlignment="1" applyBorder="1" applyFont="1">
      <alignment horizontal="center" readingOrder="0" shrinkToFit="0" wrapText="0"/>
    </xf>
    <xf borderId="4" fillId="13" fontId="39" numFmtId="0" xfId="0" applyAlignment="1" applyBorder="1" applyFont="1">
      <alignment readingOrder="0" shrinkToFit="0" wrapText="1"/>
    </xf>
    <xf borderId="10" fillId="6" fontId="14" numFmtId="165" xfId="0" applyAlignment="1" applyBorder="1" applyFont="1" applyNumberFormat="1">
      <alignment vertical="center"/>
    </xf>
    <xf borderId="10" fillId="7" fontId="39" numFmtId="164" xfId="0" applyAlignment="1" applyBorder="1" applyFont="1" applyNumberFormat="1">
      <alignment vertical="center"/>
    </xf>
    <xf borderId="10" fillId="6" fontId="14" numFmtId="0" xfId="0" applyAlignment="1" applyBorder="1" applyFont="1">
      <alignment horizontal="center" vertical="center"/>
    </xf>
    <xf borderId="10" fillId="12" fontId="33" numFmtId="0" xfId="0" applyAlignment="1" applyBorder="1" applyFont="1">
      <alignment readingOrder="0" vertical="center"/>
    </xf>
    <xf borderId="10" fillId="0" fontId="50" numFmtId="0" xfId="0" applyAlignment="1" applyBorder="1" applyFont="1">
      <alignment horizontal="center" readingOrder="0" shrinkToFit="0" vertical="bottom" wrapText="0"/>
    </xf>
    <xf borderId="0" fillId="6" fontId="14" numFmtId="164" xfId="0" applyAlignment="1" applyFont="1" applyNumberFormat="1">
      <alignment readingOrder="0" shrinkToFit="0" vertical="bottom" wrapText="0"/>
    </xf>
    <xf borderId="10" fillId="7" fontId="44" numFmtId="0" xfId="0" applyAlignment="1" applyBorder="1" applyFont="1">
      <alignment readingOrder="0" shrinkToFit="0" vertical="center" wrapText="1"/>
    </xf>
    <xf borderId="10" fillId="7" fontId="44" numFmtId="0" xfId="0" applyAlignment="1" applyBorder="1" applyFont="1">
      <alignment shrinkToFit="0" vertical="center" wrapText="1"/>
    </xf>
    <xf borderId="10" fillId="7" fontId="44" numFmtId="0" xfId="0" applyAlignment="1" applyBorder="1" applyFont="1">
      <alignment horizontal="center" vertical="center"/>
    </xf>
    <xf borderId="10" fillId="7" fontId="44" numFmtId="165" xfId="0" applyAlignment="1" applyBorder="1" applyFont="1" applyNumberFormat="1">
      <alignment vertical="center"/>
    </xf>
    <xf borderId="10" fillId="7" fontId="44" numFmtId="164" xfId="0" applyAlignment="1" applyBorder="1" applyFont="1" applyNumberFormat="1">
      <alignment vertical="center"/>
    </xf>
    <xf borderId="46" fillId="14" fontId="32" numFmtId="0" xfId="0" applyAlignment="1" applyBorder="1" applyFill="1" applyFont="1">
      <alignment horizontal="center" vertical="center"/>
    </xf>
    <xf borderId="10" fillId="14" fontId="33" numFmtId="0" xfId="0" applyAlignment="1" applyBorder="1" applyFont="1">
      <alignment readingOrder="0" vertical="center"/>
    </xf>
    <xf borderId="10" fillId="14" fontId="14" numFmtId="164" xfId="0" applyAlignment="1" applyBorder="1" applyFont="1" applyNumberFormat="1">
      <alignment vertical="center"/>
    </xf>
    <xf borderId="10" fillId="14" fontId="14" numFmtId="164" xfId="0" applyAlignment="1" applyBorder="1" applyFont="1" applyNumberFormat="1">
      <alignment readingOrder="0" vertical="center"/>
    </xf>
    <xf borderId="47" fillId="14" fontId="14" numFmtId="164" xfId="0" applyAlignment="1" applyBorder="1" applyFont="1" applyNumberFormat="1">
      <alignment vertical="center"/>
    </xf>
    <xf borderId="40" fillId="0" fontId="51" numFmtId="3" xfId="0" applyAlignment="1" applyBorder="1" applyFont="1" applyNumberFormat="1">
      <alignment horizontal="center" readingOrder="0"/>
    </xf>
    <xf borderId="10" fillId="12" fontId="44" numFmtId="0" xfId="0" applyAlignment="1" applyBorder="1" applyFont="1">
      <alignment shrinkToFit="0" vertical="center" wrapText="1"/>
    </xf>
    <xf borderId="10" fillId="12" fontId="44" numFmtId="0" xfId="0" applyAlignment="1" applyBorder="1" applyFont="1">
      <alignment horizontal="center" vertical="center"/>
    </xf>
    <xf borderId="10" fillId="12" fontId="44" numFmtId="165" xfId="0" applyAlignment="1" applyBorder="1" applyFont="1" applyNumberFormat="1">
      <alignment vertical="center"/>
    </xf>
    <xf borderId="10" fillId="12" fontId="44" numFmtId="0" xfId="0" applyAlignment="1" applyBorder="1" applyFont="1">
      <alignment horizontal="left" shrinkToFit="0" vertical="center" wrapText="1"/>
    </xf>
    <xf borderId="10" fillId="12" fontId="44" numFmtId="166" xfId="0" applyAlignment="1" applyBorder="1" applyFont="1" applyNumberFormat="1">
      <alignment horizontal="center" vertical="center"/>
    </xf>
    <xf borderId="10" fillId="12" fontId="44" numFmtId="164" xfId="0" applyAlignment="1" applyBorder="1" applyFont="1" applyNumberFormat="1">
      <alignment vertical="center"/>
    </xf>
    <xf borderId="10" fillId="12" fontId="44" numFmtId="164" xfId="0" applyAlignment="1" applyBorder="1" applyFont="1" applyNumberFormat="1">
      <alignment readingOrder="0" vertical="center"/>
    </xf>
    <xf borderId="47" fillId="12" fontId="44" numFmtId="164" xfId="0" applyAlignment="1" applyBorder="1" applyFont="1" applyNumberFormat="1">
      <alignment vertical="center"/>
    </xf>
    <xf borderId="10" fillId="7" fontId="44" numFmtId="0" xfId="0" applyAlignment="1" applyBorder="1" applyFont="1">
      <alignment horizontal="left" shrinkToFit="0" vertical="center" wrapText="1"/>
    </xf>
    <xf borderId="10" fillId="7" fontId="44" numFmtId="166" xfId="0" applyAlignment="1" applyBorder="1" applyFont="1" applyNumberFormat="1">
      <alignment horizontal="center" vertical="center"/>
    </xf>
    <xf borderId="10" fillId="0" fontId="12" numFmtId="164" xfId="0" applyAlignment="1" applyBorder="1" applyFont="1" applyNumberFormat="1">
      <alignment readingOrder="0" vertical="center"/>
    </xf>
    <xf borderId="10" fillId="9" fontId="13" numFmtId="165" xfId="0" applyAlignment="1" applyBorder="1" applyFont="1" applyNumberFormat="1">
      <alignment vertical="center"/>
    </xf>
    <xf borderId="10" fillId="12" fontId="13" numFmtId="165" xfId="0" applyBorder="1" applyFont="1" applyNumberFormat="1"/>
    <xf borderId="10" fillId="6" fontId="33" numFmtId="0" xfId="0" applyAlignment="1" applyBorder="1" applyFont="1">
      <alignment readingOrder="0" shrinkToFit="0" vertical="center" wrapText="1"/>
    </xf>
    <xf borderId="0" fillId="0" fontId="52" numFmtId="0" xfId="0" applyAlignment="1" applyFont="1">
      <alignment readingOrder="0" vertical="center"/>
    </xf>
    <xf borderId="46" fillId="6" fontId="12" numFmtId="0" xfId="0" applyAlignment="1" applyBorder="1" applyFont="1">
      <alignment horizontal="center" vertical="center"/>
    </xf>
    <xf borderId="47" fillId="12" fontId="14" numFmtId="164" xfId="0" applyAlignment="1" applyBorder="1" applyFont="1" applyNumberFormat="1">
      <alignment vertical="center"/>
    </xf>
    <xf borderId="0" fillId="6" fontId="12" numFmtId="164" xfId="0" applyAlignment="1" applyFont="1" applyNumberFormat="1">
      <alignment vertical="center"/>
    </xf>
    <xf borderId="48" fillId="0" fontId="12" numFmtId="164" xfId="0" applyAlignment="1" applyBorder="1" applyFont="1" applyNumberFormat="1">
      <alignment vertical="center"/>
    </xf>
    <xf borderId="0" fillId="0" fontId="12" numFmtId="164" xfId="0" applyAlignment="1" applyFont="1" applyNumberFormat="1">
      <alignment vertical="center"/>
    </xf>
    <xf borderId="4" fillId="0" fontId="42" numFmtId="0" xfId="0" applyAlignment="1" applyBorder="1" applyFont="1">
      <alignment readingOrder="0" shrinkToFit="0" wrapText="1"/>
    </xf>
    <xf borderId="4" fillId="0" fontId="42" numFmtId="0" xfId="0" applyAlignment="1" applyBorder="1" applyFont="1">
      <alignment shrinkToFit="0" wrapText="1"/>
    </xf>
    <xf borderId="4" fillId="0" fontId="42" numFmtId="0" xfId="0" applyAlignment="1" applyBorder="1" applyFont="1">
      <alignment horizontal="center" readingOrder="0" shrinkToFit="0" wrapText="0"/>
    </xf>
    <xf borderId="10" fillId="7" fontId="44" numFmtId="0" xfId="0" applyAlignment="1" applyBorder="1" applyFont="1">
      <alignment horizontal="left" readingOrder="0" shrinkToFit="0" vertical="center" wrapText="1"/>
    </xf>
    <xf borderId="46" fillId="14" fontId="13" numFmtId="0" xfId="0" applyAlignment="1" applyBorder="1" applyFont="1">
      <alignment horizontal="center" vertical="center"/>
    </xf>
    <xf borderId="4" fillId="14" fontId="39" numFmtId="0" xfId="0" applyAlignment="1" applyBorder="1" applyFont="1">
      <alignment readingOrder="0" shrinkToFit="0" wrapText="1"/>
    </xf>
    <xf borderId="10" fillId="6" fontId="53" numFmtId="0" xfId="0" applyAlignment="1" applyBorder="1" applyFont="1">
      <alignment horizontal="left" readingOrder="0" shrinkToFit="0" vertical="center" wrapText="1"/>
    </xf>
    <xf borderId="10" fillId="12" fontId="44" numFmtId="166" xfId="0" applyAlignment="1" applyBorder="1" applyFont="1" applyNumberFormat="1">
      <alignment horizontal="center" readingOrder="0" vertical="center"/>
    </xf>
    <xf borderId="10" fillId="7" fontId="13" numFmtId="0" xfId="0" applyAlignment="1" applyBorder="1" applyFont="1">
      <alignment readingOrder="0" shrinkToFit="0" vertical="center" wrapText="1"/>
    </xf>
    <xf borderId="10" fillId="13" fontId="13" numFmtId="0" xfId="0" applyAlignment="1" applyBorder="1" applyFont="1">
      <alignment readingOrder="0" shrinkToFit="0" vertical="center" wrapText="1"/>
    </xf>
    <xf borderId="10" fillId="13" fontId="14" numFmtId="165" xfId="0" applyAlignment="1" applyBorder="1" applyFont="1" applyNumberFormat="1">
      <alignment readingOrder="0" vertical="center"/>
    </xf>
    <xf borderId="52" fillId="0" fontId="32" numFmtId="0" xfId="0" applyAlignment="1" applyBorder="1" applyFont="1">
      <alignment horizontal="center" readingOrder="0" vertical="center"/>
    </xf>
    <xf borderId="46" fillId="7" fontId="32" numFmtId="0" xfId="0" applyAlignment="1" applyBorder="1" applyFont="1">
      <alignment horizontal="left" readingOrder="0" vertical="center"/>
    </xf>
    <xf borderId="54" fillId="7" fontId="32" numFmtId="0" xfId="0" applyAlignment="1" applyBorder="1" applyFont="1">
      <alignment horizontal="left" readingOrder="0" vertical="center"/>
    </xf>
    <xf borderId="46" fillId="0" fontId="32" numFmtId="0" xfId="0" applyAlignment="1" applyBorder="1" applyFont="1">
      <alignment horizontal="center" readingOrder="0" vertical="center"/>
    </xf>
    <xf borderId="9" fillId="7" fontId="32" numFmtId="0" xfId="0" applyAlignment="1" applyBorder="1" applyFont="1">
      <alignment horizontal="left" readingOrder="0" vertical="center"/>
    </xf>
    <xf borderId="46" fillId="0" fontId="24" numFmtId="0" xfId="0" applyAlignment="1" applyBorder="1" applyFont="1">
      <alignment horizontal="center" vertical="center"/>
    </xf>
    <xf borderId="10" fillId="12" fontId="24" numFmtId="0" xfId="0" applyAlignment="1" applyBorder="1" applyFont="1">
      <alignment horizontal="left" vertical="center"/>
    </xf>
    <xf borderId="10" fillId="12" fontId="24" numFmtId="0" xfId="0" applyAlignment="1" applyBorder="1" applyFont="1">
      <alignment shrinkToFit="0" vertical="center" wrapText="1"/>
    </xf>
    <xf borderId="10" fillId="7" fontId="24" numFmtId="0" xfId="0" applyAlignment="1" applyBorder="1" applyFont="1">
      <alignment horizontal="left" vertical="center"/>
    </xf>
    <xf borderId="4" fillId="7" fontId="16" numFmtId="0" xfId="0" applyAlignment="1" applyBorder="1" applyFont="1">
      <alignment horizontal="center" readingOrder="0" shrinkToFit="0" wrapText="1"/>
    </xf>
    <xf borderId="10" fillId="0" fontId="13" numFmtId="165" xfId="0" applyAlignment="1" applyBorder="1" applyFont="1" applyNumberFormat="1">
      <alignment horizontal="right" readingOrder="0" shrinkToFit="0" wrapText="0"/>
    </xf>
    <xf borderId="10" fillId="0" fontId="13" numFmtId="0" xfId="0" applyAlignment="1" applyBorder="1" applyFont="1">
      <alignment readingOrder="0"/>
    </xf>
    <xf borderId="10" fillId="0" fontId="13" numFmtId="166" xfId="0" applyAlignment="1" applyBorder="1" applyFont="1" applyNumberFormat="1">
      <alignment horizontal="center" readingOrder="0" shrinkToFit="0" wrapText="0"/>
    </xf>
    <xf borderId="47" fillId="5" fontId="12" numFmtId="164" xfId="0" applyAlignment="1" applyBorder="1" applyFont="1" applyNumberFormat="1">
      <alignment vertical="center"/>
    </xf>
    <xf borderId="10" fillId="12" fontId="42" numFmtId="0" xfId="0" applyAlignment="1" applyBorder="1" applyFont="1">
      <alignment horizontal="left" readingOrder="0" shrinkToFit="0" vertical="center" wrapText="1"/>
    </xf>
    <xf borderId="46" fillId="13" fontId="24" numFmtId="0" xfId="0" applyAlignment="1" applyBorder="1" applyFont="1">
      <alignment horizontal="center" vertical="center"/>
    </xf>
    <xf borderId="52" fillId="0" fontId="24" numFmtId="0" xfId="0" applyAlignment="1" applyBorder="1" applyFont="1">
      <alignment horizontal="center" vertical="center"/>
    </xf>
    <xf borderId="52" fillId="0" fontId="31" numFmtId="0" xfId="0" applyAlignment="1" applyBorder="1" applyFont="1">
      <alignment horizontal="center" vertical="center"/>
    </xf>
    <xf borderId="46" fillId="7" fontId="31" numFmtId="0" xfId="0" applyAlignment="1" applyBorder="1" applyFont="1">
      <alignment horizontal="left" vertical="center"/>
    </xf>
    <xf borderId="10" fillId="7" fontId="24" numFmtId="164" xfId="0" applyAlignment="1" applyBorder="1" applyFont="1" applyNumberFormat="1">
      <alignment vertical="center"/>
    </xf>
    <xf borderId="48" fillId="0" fontId="24" numFmtId="164" xfId="0" applyAlignment="1" applyBorder="1" applyFont="1" applyNumberFormat="1">
      <alignment vertical="center"/>
    </xf>
    <xf borderId="0" fillId="0" fontId="24" numFmtId="164" xfId="0" applyAlignment="1" applyFont="1" applyNumberFormat="1">
      <alignment vertical="center"/>
    </xf>
    <xf borderId="54" fillId="7" fontId="31" numFmtId="0" xfId="0" applyAlignment="1" applyBorder="1" applyFont="1">
      <alignment horizontal="left" vertical="center"/>
    </xf>
    <xf borderId="55" fillId="7" fontId="13" numFmtId="165" xfId="0" applyAlignment="1" applyBorder="1" applyFont="1" applyNumberFormat="1">
      <alignment vertical="center"/>
    </xf>
    <xf borderId="55" fillId="7" fontId="24" numFmtId="164" xfId="0" applyAlignment="1" applyBorder="1" applyFont="1" applyNumberFormat="1">
      <alignment vertical="center"/>
    </xf>
    <xf borderId="46" fillId="0" fontId="31" numFmtId="0" xfId="0" applyAlignment="1" applyBorder="1" applyFont="1">
      <alignment horizontal="center" vertical="center"/>
    </xf>
    <xf borderId="9" fillId="7" fontId="31" numFmtId="0" xfId="0" applyAlignment="1" applyBorder="1" applyFont="1">
      <alignment horizontal="left" vertical="center"/>
    </xf>
    <xf borderId="9" fillId="0" fontId="24" numFmtId="0" xfId="0" applyAlignment="1" applyBorder="1" applyFont="1">
      <alignment shrinkToFit="0" vertical="center" wrapText="1"/>
    </xf>
    <xf borderId="9" fillId="0" fontId="13" numFmtId="165" xfId="0" applyAlignment="1" applyBorder="1" applyFont="1" applyNumberFormat="1">
      <alignment vertical="center"/>
    </xf>
    <xf borderId="9" fillId="0" fontId="24" numFmtId="164" xfId="0" applyAlignment="1" applyBorder="1" applyFont="1" applyNumberFormat="1">
      <alignment vertical="center"/>
    </xf>
    <xf borderId="58" fillId="0" fontId="24" numFmtId="164" xfId="0" applyAlignment="1" applyBorder="1" applyFont="1" applyNumberFormat="1">
      <alignment vertical="center"/>
    </xf>
    <xf borderId="59" fillId="0" fontId="24" numFmtId="164" xfId="0" applyAlignment="1" applyBorder="1" applyFont="1" applyNumberFormat="1">
      <alignment vertical="center"/>
    </xf>
    <xf borderId="10" fillId="0" fontId="24" numFmtId="0" xfId="0" applyAlignment="1" applyBorder="1" applyFont="1">
      <alignment vertical="center"/>
    </xf>
    <xf borderId="10" fillId="0" fontId="12" numFmtId="0" xfId="0" applyAlignment="1" applyBorder="1" applyFont="1">
      <alignment horizontal="center" readingOrder="0" vertical="center"/>
    </xf>
    <xf borderId="10" fillId="0" fontId="13" numFmtId="166" xfId="0" applyAlignment="1" applyBorder="1" applyFont="1" applyNumberFormat="1">
      <alignment horizontal="center" vertical="center"/>
    </xf>
    <xf borderId="10" fillId="0" fontId="39" numFmtId="164" xfId="0" applyAlignment="1" applyBorder="1" applyFont="1" applyNumberFormat="1">
      <alignment readingOrder="0" shrinkToFit="0" vertical="bottom" wrapText="0"/>
    </xf>
    <xf borderId="10" fillId="12" fontId="33" numFmtId="0" xfId="0" applyAlignment="1" applyBorder="1" applyFont="1">
      <alignment readingOrder="0" shrinkToFit="0" vertical="center" wrapText="1"/>
    </xf>
    <xf borderId="47" fillId="11" fontId="50" numFmtId="164" xfId="0" applyAlignment="1" applyBorder="1" applyFont="1" applyNumberFormat="1">
      <alignment horizontal="right"/>
    </xf>
    <xf borderId="10" fillId="0" fontId="12" numFmtId="164" xfId="0" applyAlignment="1" applyBorder="1" applyFont="1" applyNumberFormat="1">
      <alignment horizontal="center" readingOrder="0" vertical="center"/>
    </xf>
    <xf borderId="10" fillId="12" fontId="13" numFmtId="166" xfId="0" applyBorder="1" applyFont="1" applyNumberFormat="1"/>
    <xf borderId="49" fillId="6" fontId="13" numFmtId="164" xfId="0" applyAlignment="1" applyBorder="1" applyFont="1" applyNumberFormat="1">
      <alignment vertical="center"/>
    </xf>
    <xf borderId="4" fillId="7" fontId="42" numFmtId="0" xfId="0" applyAlignment="1" applyBorder="1" applyFont="1">
      <alignment horizontal="right" readingOrder="0" shrinkToFit="0" wrapText="1"/>
    </xf>
    <xf borderId="10" fillId="7" fontId="17" numFmtId="0" xfId="0" applyAlignment="1" applyBorder="1" applyFont="1">
      <alignment horizontal="center" readingOrder="0" shrinkToFit="0" vertical="center" wrapText="0"/>
    </xf>
    <xf borderId="4" fillId="6" fontId="39" numFmtId="0" xfId="0" applyAlignment="1" applyBorder="1" applyFont="1">
      <alignment readingOrder="0" shrinkToFit="0" vertical="center" wrapText="1"/>
    </xf>
    <xf borderId="10" fillId="0" fontId="12" numFmtId="0" xfId="0" applyAlignment="1" applyBorder="1" applyFont="1">
      <alignment horizontal="center" readingOrder="0" shrinkToFit="0" vertical="center" wrapText="0"/>
    </xf>
    <xf borderId="10" fillId="0" fontId="12" numFmtId="165" xfId="0" applyAlignment="1" applyBorder="1" applyFont="1" applyNumberFormat="1">
      <alignment readingOrder="0" vertical="center"/>
    </xf>
    <xf borderId="10" fillId="0" fontId="12" numFmtId="166" xfId="0" applyAlignment="1" applyBorder="1" applyFont="1" applyNumberFormat="1">
      <alignment horizontal="center" readingOrder="0" vertical="center"/>
    </xf>
    <xf borderId="10" fillId="12" fontId="42" numFmtId="166" xfId="0" applyAlignment="1" applyBorder="1" applyFont="1" applyNumberFormat="1">
      <alignment horizontal="center" readingOrder="0" shrinkToFit="0" vertical="center" wrapText="0"/>
    </xf>
    <xf borderId="47" fillId="7" fontId="14" numFmtId="164" xfId="0" applyAlignment="1" applyBorder="1" applyFont="1" applyNumberFormat="1">
      <alignment vertical="center"/>
    </xf>
    <xf borderId="46" fillId="6" fontId="14" numFmtId="0" xfId="0" applyAlignment="1" applyBorder="1" applyFont="1">
      <alignment horizontal="center" vertical="center"/>
    </xf>
    <xf borderId="10" fillId="7" fontId="13" numFmtId="166" xfId="0" applyAlignment="1" applyBorder="1" applyFont="1" applyNumberFormat="1">
      <alignment horizontal="center" readingOrder="0" shrinkToFit="0" vertical="center" wrapText="0"/>
    </xf>
    <xf borderId="46" fillId="13" fontId="14" numFmtId="0" xfId="0" applyAlignment="1" applyBorder="1" applyFont="1">
      <alignment horizontal="center" vertical="center"/>
    </xf>
    <xf borderId="4" fillId="13" fontId="39" numFmtId="0" xfId="0" applyAlignment="1" applyBorder="1" applyFont="1">
      <alignment horizontal="left" readingOrder="0" shrinkToFit="0" wrapText="1"/>
    </xf>
    <xf borderId="10" fillId="12" fontId="42" numFmtId="0" xfId="0" applyBorder="1" applyFont="1"/>
    <xf borderId="10" fillId="12" fontId="42" numFmtId="166" xfId="0" applyBorder="1" applyFont="1" applyNumberFormat="1"/>
    <xf borderId="10" fillId="7" fontId="13" numFmtId="0" xfId="0" applyBorder="1" applyFont="1"/>
    <xf borderId="10" fillId="7" fontId="13" numFmtId="166" xfId="0" applyBorder="1" applyFont="1" applyNumberFormat="1"/>
    <xf borderId="10" fillId="6" fontId="14" numFmtId="165" xfId="0" applyAlignment="1" applyBorder="1" applyFont="1" applyNumberFormat="1">
      <alignment readingOrder="0" vertical="center"/>
    </xf>
    <xf borderId="10" fillId="13" fontId="14" numFmtId="164" xfId="0" applyAlignment="1" applyBorder="1" applyFont="1" applyNumberFormat="1">
      <alignment readingOrder="0" vertical="center"/>
    </xf>
    <xf borderId="10" fillId="12" fontId="14" numFmtId="0" xfId="0" applyAlignment="1" applyBorder="1" applyFont="1">
      <alignment shrinkToFit="0" wrapText="1"/>
    </xf>
    <xf borderId="10" fillId="12" fontId="14" numFmtId="0" xfId="0" applyAlignment="1" applyBorder="1" applyFont="1">
      <alignment horizontal="center"/>
    </xf>
    <xf borderId="10" fillId="7" fontId="14" numFmtId="0" xfId="0" applyAlignment="1" applyBorder="1" applyFont="1">
      <alignment shrinkToFit="0" wrapText="1"/>
    </xf>
    <xf borderId="10" fillId="7" fontId="14" numFmtId="0" xfId="0" applyAlignment="1" applyBorder="1" applyFont="1">
      <alignment horizontal="center"/>
    </xf>
    <xf borderId="10" fillId="7" fontId="14" numFmtId="165" xfId="0" applyAlignment="1" applyBorder="1" applyFont="1" applyNumberFormat="1">
      <alignment readingOrder="0" vertical="center"/>
    </xf>
    <xf borderId="10" fillId="7" fontId="14" numFmtId="0" xfId="0" applyAlignment="1" applyBorder="1" applyFont="1">
      <alignment horizontal="left" shrinkToFit="0" vertical="center" wrapText="1"/>
    </xf>
    <xf borderId="10" fillId="7" fontId="14" numFmtId="166" xfId="0" applyAlignment="1" applyBorder="1" applyFont="1" applyNumberFormat="1">
      <alignment horizontal="center" vertical="center"/>
    </xf>
    <xf borderId="10" fillId="7" fontId="54" numFmtId="164" xfId="0" applyAlignment="1" applyBorder="1" applyFont="1" applyNumberFormat="1">
      <alignment vertical="center"/>
    </xf>
    <xf borderId="10" fillId="7" fontId="14" numFmtId="0" xfId="0" applyAlignment="1" applyBorder="1" applyFont="1">
      <alignment horizontal="center" readingOrder="0" vertical="center"/>
    </xf>
    <xf borderId="48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55" fillId="7" fontId="12" numFmtId="0" xfId="0" applyAlignment="1" applyBorder="1" applyFont="1">
      <alignment horizontal="center" readingOrder="0" vertical="center"/>
    </xf>
    <xf borderId="55" fillId="7" fontId="14" numFmtId="0" xfId="0" applyAlignment="1" applyBorder="1" applyFont="1">
      <alignment horizontal="center" readingOrder="0" vertical="center"/>
    </xf>
    <xf borderId="9" fillId="0" fontId="24" numFmtId="0" xfId="0" applyAlignment="1" applyBorder="1" applyFont="1">
      <alignment vertical="center"/>
    </xf>
    <xf borderId="10" fillId="15" fontId="17" numFmtId="3" xfId="0" applyAlignment="1" applyBorder="1" applyFill="1" applyFont="1" applyNumberFormat="1">
      <alignment horizontal="right" readingOrder="0" shrinkToFit="0" vertical="bottom" wrapText="0"/>
    </xf>
    <xf borderId="48" fillId="12" fontId="13" numFmtId="164" xfId="0" applyAlignment="1" applyBorder="1" applyFont="1" applyNumberFormat="1">
      <alignment vertical="center"/>
    </xf>
    <xf borderId="10" fillId="7" fontId="20" numFmtId="164" xfId="0" applyAlignment="1" applyBorder="1" applyFont="1" applyNumberFormat="1">
      <alignment horizontal="right"/>
    </xf>
    <xf borderId="10" fillId="7" fontId="50" numFmtId="164" xfId="0" applyAlignment="1" applyBorder="1" applyFont="1" applyNumberFormat="1">
      <alignment horizontal="right"/>
    </xf>
    <xf borderId="46" fillId="0" fontId="13" numFmtId="0" xfId="0" applyAlignment="1" applyBorder="1" applyFont="1">
      <alignment horizontal="center" readingOrder="0" vertical="center"/>
    </xf>
    <xf borderId="10" fillId="0" fontId="13" numFmtId="0" xfId="0" applyAlignment="1" applyBorder="1" applyFont="1">
      <alignment readingOrder="0" shrinkToFit="0" vertical="center" wrapText="1"/>
    </xf>
    <xf borderId="10" fillId="6" fontId="12" numFmtId="0" xfId="0" applyAlignment="1" applyBorder="1" applyFont="1">
      <alignment horizontal="left" readingOrder="0" shrinkToFit="0" vertical="center" wrapText="1"/>
    </xf>
    <xf borderId="0" fillId="16" fontId="27" numFmtId="0" xfId="0" applyAlignment="1" applyFill="1" applyFont="1">
      <alignment readingOrder="0" vertical="center"/>
    </xf>
    <xf borderId="10" fillId="12" fontId="14" numFmtId="166" xfId="0" applyAlignment="1" applyBorder="1" applyFont="1" applyNumberFormat="1">
      <alignment horizontal="center" readingOrder="0" shrinkToFit="0" vertical="center" wrapText="0"/>
    </xf>
    <xf borderId="0" fillId="7" fontId="13" numFmtId="0" xfId="0" applyFont="1"/>
    <xf borderId="0" fillId="7" fontId="12" numFmtId="0" xfId="0" applyAlignment="1" applyFont="1">
      <alignment shrinkToFit="0" vertical="center" wrapText="1"/>
    </xf>
    <xf borderId="10" fillId="0" fontId="14" numFmtId="165" xfId="0" applyAlignment="1" applyBorder="1" applyFont="1" applyNumberFormat="1">
      <alignment readingOrder="0" vertical="center"/>
    </xf>
    <xf borderId="0" fillId="12" fontId="37" numFmtId="164" xfId="0" applyAlignment="1" applyFont="1" applyNumberFormat="1">
      <alignment vertical="center"/>
    </xf>
    <xf borderId="10" fillId="12" fontId="13" numFmtId="166" xfId="0" applyAlignment="1" applyBorder="1" applyFont="1" applyNumberFormat="1">
      <alignment horizontal="center" vertical="bottom"/>
    </xf>
    <xf borderId="10" fillId="7" fontId="13" numFmtId="166" xfId="0" applyAlignment="1" applyBorder="1" applyFont="1" applyNumberFormat="1">
      <alignment horizontal="center" vertical="bottom"/>
    </xf>
    <xf borderId="10" fillId="0" fontId="13" numFmtId="166" xfId="0" applyAlignment="1" applyBorder="1" applyFont="1" applyNumberFormat="1">
      <alignment horizontal="center" vertical="bottom"/>
    </xf>
    <xf borderId="10" fillId="7" fontId="14" numFmtId="165" xfId="0" applyAlignment="1" applyBorder="1" applyFont="1" applyNumberFormat="1">
      <alignment readingOrder="0" shrinkToFit="0" vertical="bottom" wrapText="0"/>
    </xf>
    <xf borderId="10" fillId="7" fontId="14" numFmtId="0" xfId="0" applyAlignment="1" applyBorder="1" applyFont="1">
      <alignment horizontal="left" readingOrder="0" shrinkToFit="0" vertical="bottom" wrapText="0"/>
    </xf>
    <xf borderId="10" fillId="7" fontId="14" numFmtId="166" xfId="0" applyAlignment="1" applyBorder="1" applyFont="1" applyNumberFormat="1">
      <alignment horizontal="right" readingOrder="0" shrinkToFit="0" vertical="bottom" wrapText="0"/>
    </xf>
    <xf borderId="10" fillId="6" fontId="12" numFmtId="0" xfId="0" applyAlignment="1" applyBorder="1" applyFont="1">
      <alignment readingOrder="0" shrinkToFit="0" vertical="center" wrapText="1"/>
    </xf>
    <xf borderId="10" fillId="0" fontId="14" numFmtId="165" xfId="0" applyAlignment="1" applyBorder="1" applyFont="1" applyNumberFormat="1">
      <alignment readingOrder="0" shrinkToFit="0" vertical="bottom" wrapText="0"/>
    </xf>
    <xf borderId="10" fillId="0" fontId="14" numFmtId="0" xfId="0" applyAlignment="1" applyBorder="1" applyFont="1">
      <alignment horizontal="left" readingOrder="0" shrinkToFit="0" vertical="bottom" wrapText="0"/>
    </xf>
    <xf borderId="10" fillId="0" fontId="14" numFmtId="166" xfId="0" applyAlignment="1" applyBorder="1" applyFont="1" applyNumberFormat="1">
      <alignment horizontal="right" readingOrder="0" shrinkToFit="0" vertical="bottom" wrapText="0"/>
    </xf>
    <xf borderId="10" fillId="12" fontId="14" numFmtId="164" xfId="0" applyAlignment="1" applyBorder="1" applyFont="1" applyNumberFormat="1">
      <alignment readingOrder="0" shrinkToFit="0" vertical="bottom" wrapText="0"/>
    </xf>
    <xf borderId="10" fillId="12" fontId="13" numFmtId="164" xfId="0" applyAlignment="1" applyBorder="1" applyFont="1" applyNumberFormat="1">
      <alignment shrinkToFit="0" vertical="bottom" wrapText="0"/>
    </xf>
    <xf borderId="10" fillId="7" fontId="14" numFmtId="164" xfId="0" applyAlignment="1" applyBorder="1" applyFont="1" applyNumberFormat="1">
      <alignment readingOrder="0" shrinkToFit="0" vertical="bottom" wrapText="0"/>
    </xf>
    <xf borderId="10" fillId="7" fontId="14" numFmtId="0" xfId="0" applyAlignment="1" applyBorder="1" applyFont="1">
      <alignment readingOrder="0" shrinkToFit="0" vertical="bottom" wrapText="0"/>
    </xf>
    <xf borderId="10" fillId="7" fontId="42" numFmtId="166" xfId="0" applyAlignment="1" applyBorder="1" applyFont="1" applyNumberFormat="1">
      <alignment horizontal="right" readingOrder="0" shrinkToFit="0" vertical="bottom" wrapText="0"/>
    </xf>
    <xf borderId="11" fillId="13" fontId="39" numFmtId="0" xfId="0" applyAlignment="1" applyBorder="1" applyFont="1">
      <alignment readingOrder="0" shrinkToFit="0" wrapText="1"/>
    </xf>
    <xf borderId="10" fillId="0" fontId="2" numFmtId="3" xfId="0" applyBorder="1" applyFont="1" applyNumberFormat="1"/>
    <xf borderId="9" fillId="12" fontId="16" numFmtId="0" xfId="0" applyAlignment="1" applyBorder="1" applyFont="1">
      <alignment horizontal="left" shrinkToFit="0" wrapText="0"/>
    </xf>
    <xf borderId="11" fillId="12" fontId="40" numFmtId="0" xfId="0" applyAlignment="1" applyBorder="1" applyFont="1">
      <alignment readingOrder="0" shrinkToFit="0" wrapText="1"/>
    </xf>
    <xf borderId="11" fillId="12" fontId="42" numFmtId="0" xfId="0" applyAlignment="1" applyBorder="1" applyFont="1">
      <alignment shrinkToFit="0" wrapText="1"/>
    </xf>
    <xf borderId="11" fillId="12" fontId="42" numFmtId="0" xfId="0" applyAlignment="1" applyBorder="1" applyFont="1">
      <alignment shrinkToFit="0" wrapText="1"/>
    </xf>
    <xf borderId="11" fillId="12" fontId="42" numFmtId="0" xfId="0" applyAlignment="1" applyBorder="1" applyFont="1">
      <alignment horizontal="center" shrinkToFit="0" wrapText="0"/>
    </xf>
    <xf borderId="11" fillId="12" fontId="42" numFmtId="0" xfId="0" applyAlignment="1" applyBorder="1" applyFont="1">
      <alignment horizontal="center" readingOrder="0" shrinkToFit="0" wrapText="0"/>
    </xf>
    <xf borderId="10" fillId="12" fontId="42" numFmtId="0" xfId="0" applyAlignment="1" applyBorder="1" applyFont="1">
      <alignment horizontal="center" readingOrder="0" shrinkToFit="0" wrapText="0"/>
    </xf>
    <xf borderId="10" fillId="12" fontId="42" numFmtId="165" xfId="0" applyAlignment="1" applyBorder="1" applyFont="1" applyNumberFormat="1">
      <alignment shrinkToFit="0" wrapText="0"/>
    </xf>
    <xf borderId="10" fillId="12" fontId="42" numFmtId="0" xfId="0" applyBorder="1" applyFont="1"/>
    <xf borderId="10" fillId="12" fontId="42" numFmtId="166" xfId="0" applyAlignment="1" applyBorder="1" applyFont="1" applyNumberFormat="1">
      <alignment horizontal="center" shrinkToFit="0" wrapText="0"/>
    </xf>
    <xf borderId="9" fillId="7" fontId="17" numFmtId="0" xfId="0" applyAlignment="1" applyBorder="1" applyFont="1">
      <alignment horizontal="center" shrinkToFit="0" wrapText="0"/>
    </xf>
    <xf borderId="11" fillId="7" fontId="42" numFmtId="0" xfId="0" applyAlignment="1" applyBorder="1" applyFont="1">
      <alignment shrinkToFit="0" wrapText="1"/>
    </xf>
    <xf borderId="11" fillId="7" fontId="42" numFmtId="0" xfId="0" applyAlignment="1" applyBorder="1" applyFont="1">
      <alignment shrinkToFit="0" wrapText="1"/>
    </xf>
    <xf borderId="11" fillId="7" fontId="42" numFmtId="0" xfId="0" applyAlignment="1" applyBorder="1" applyFont="1">
      <alignment horizontal="center" shrinkToFit="0" wrapText="0"/>
    </xf>
    <xf borderId="10" fillId="7" fontId="42" numFmtId="165" xfId="0" applyAlignment="1" applyBorder="1" applyFont="1" applyNumberFormat="1">
      <alignment shrinkToFit="0" wrapText="0"/>
    </xf>
    <xf borderId="10" fillId="7" fontId="42" numFmtId="0" xfId="0" applyBorder="1" applyFont="1"/>
    <xf borderId="10" fillId="7" fontId="42" numFmtId="166" xfId="0" applyAlignment="1" applyBorder="1" applyFont="1" applyNumberFormat="1">
      <alignment horizontal="center" shrinkToFit="0" wrapText="0"/>
    </xf>
    <xf borderId="10" fillId="7" fontId="41" numFmtId="164" xfId="0" applyAlignment="1" applyBorder="1" applyFont="1" applyNumberFormat="1">
      <alignment vertical="center"/>
    </xf>
    <xf borderId="11" fillId="7" fontId="42" numFmtId="0" xfId="0" applyAlignment="1" applyBorder="1" applyFont="1">
      <alignment readingOrder="0" shrinkToFit="0" wrapText="1"/>
    </xf>
    <xf borderId="11" fillId="7" fontId="42" numFmtId="0" xfId="0" applyAlignment="1" applyBorder="1" applyFont="1">
      <alignment horizontal="center" readingOrder="0" shrinkToFit="0" wrapText="0"/>
    </xf>
    <xf borderId="10" fillId="12" fontId="13" numFmtId="165" xfId="0" applyAlignment="1" applyBorder="1" applyFont="1" applyNumberFormat="1">
      <alignment shrinkToFit="0" vertical="center" wrapText="1"/>
    </xf>
    <xf borderId="10" fillId="12" fontId="13" numFmtId="164" xfId="0" applyAlignment="1" applyBorder="1" applyFont="1" applyNumberFormat="1">
      <alignment readingOrder="0" shrinkToFit="0" vertical="center" wrapText="1"/>
    </xf>
    <xf borderId="10" fillId="12" fontId="13" numFmtId="164" xfId="0" applyAlignment="1" applyBorder="1" applyFont="1" applyNumberFormat="1">
      <alignment shrinkToFit="0" vertical="center" wrapText="1"/>
    </xf>
    <xf borderId="10" fillId="7" fontId="13" numFmtId="165" xfId="0" applyAlignment="1" applyBorder="1" applyFont="1" applyNumberFormat="1">
      <alignment readingOrder="0" shrinkToFit="0" vertical="center" wrapText="1"/>
    </xf>
    <xf borderId="10" fillId="12" fontId="13" numFmtId="165" xfId="0" applyAlignment="1" applyBorder="1" applyFont="1" applyNumberFormat="1">
      <alignment readingOrder="0" shrinkToFit="0" vertical="center" wrapText="1"/>
    </xf>
    <xf borderId="10" fillId="6" fontId="12" numFmtId="0" xfId="0" applyAlignment="1" applyBorder="1" applyFont="1">
      <alignment shrinkToFit="0" vertical="center" wrapText="1"/>
    </xf>
    <xf borderId="10" fillId="6" fontId="14" numFmtId="0" xfId="0" applyAlignment="1" applyBorder="1" applyFont="1">
      <alignment horizontal="left" readingOrder="0" shrinkToFit="0" vertical="center" wrapText="1"/>
    </xf>
    <xf borderId="10" fillId="7" fontId="12" numFmtId="0" xfId="0" applyAlignment="1" applyBorder="1" applyFont="1">
      <alignment readingOrder="0" shrinkToFit="0" vertical="center" wrapText="1"/>
    </xf>
    <xf borderId="46" fillId="6" fontId="33" numFmtId="0" xfId="0" applyAlignment="1" applyBorder="1" applyFont="1">
      <alignment horizontal="center" vertical="center"/>
    </xf>
    <xf borderId="10" fillId="0" fontId="39" numFmtId="0" xfId="0" applyAlignment="1" applyBorder="1" applyFont="1">
      <alignment readingOrder="0" shrinkToFit="0" vertical="center" wrapText="1"/>
    </xf>
    <xf borderId="10" fillId="0" fontId="13" numFmtId="0" xfId="0" applyBorder="1" applyFont="1"/>
    <xf borderId="10" fillId="0" fontId="13" numFmtId="166" xfId="0" applyBorder="1" applyFont="1" applyNumberFormat="1"/>
    <xf borderId="10" fillId="12" fontId="14" numFmtId="0" xfId="0" applyAlignment="1" applyBorder="1" applyFont="1">
      <alignment readingOrder="0" shrinkToFit="0" vertical="center" wrapText="1"/>
    </xf>
    <xf borderId="4" fillId="6" fontId="39" numFmtId="0" xfId="0" applyAlignment="1" applyBorder="1" applyFont="1">
      <alignment readingOrder="0"/>
    </xf>
    <xf borderId="10" fillId="9" fontId="12" numFmtId="165" xfId="0" applyAlignment="1" applyBorder="1" applyFont="1" applyNumberFormat="1">
      <alignment readingOrder="0" vertical="center"/>
    </xf>
    <xf borderId="10" fillId="9" fontId="12" numFmtId="0" xfId="0" applyAlignment="1" applyBorder="1" applyFont="1">
      <alignment readingOrder="0"/>
    </xf>
    <xf borderId="10" fillId="9" fontId="12" numFmtId="166" xfId="0" applyAlignment="1" applyBorder="1" applyFont="1" applyNumberFormat="1">
      <alignment horizontal="center" readingOrder="0" shrinkToFit="0" wrapText="0"/>
    </xf>
    <xf borderId="10" fillId="0" fontId="51" numFmtId="0" xfId="0" applyAlignment="1" applyBorder="1" applyFont="1">
      <alignment readingOrder="0" shrinkToFit="0" vertical="bottom" wrapText="1"/>
    </xf>
    <xf borderId="10" fillId="0" fontId="50" numFmtId="164" xfId="0" applyAlignment="1" applyBorder="1" applyFont="1" applyNumberFormat="1">
      <alignment readingOrder="0" shrinkToFit="0" vertical="bottom" wrapText="0"/>
    </xf>
    <xf borderId="47" fillId="15" fontId="50" numFmtId="164" xfId="0" applyAlignment="1" applyBorder="1" applyFont="1" applyNumberFormat="1">
      <alignment readingOrder="0" shrinkToFit="0" vertical="bottom" wrapText="0"/>
    </xf>
    <xf borderId="10" fillId="12" fontId="14" numFmtId="0" xfId="0" applyAlignment="1" applyBorder="1" applyFont="1">
      <alignment readingOrder="0" shrinkToFit="0" vertical="bottom" wrapText="1"/>
    </xf>
    <xf borderId="10" fillId="12" fontId="14" numFmtId="0" xfId="0" applyAlignment="1" applyBorder="1" applyFont="1">
      <alignment readingOrder="0" vertical="center"/>
    </xf>
    <xf borderId="11" fillId="7" fontId="13" numFmtId="0" xfId="0" applyAlignment="1" applyBorder="1" applyFont="1">
      <alignment horizontal="center" readingOrder="0" vertical="center"/>
    </xf>
    <xf borderId="10" fillId="7" fontId="14" numFmtId="165" xfId="0" applyAlignment="1" applyBorder="1" applyFont="1" applyNumberFormat="1">
      <alignment readingOrder="0" shrinkToFit="0" wrapText="0"/>
    </xf>
    <xf borderId="10" fillId="7" fontId="14" numFmtId="0" xfId="0" applyAlignment="1" applyBorder="1" applyFont="1">
      <alignment readingOrder="0" vertical="center"/>
    </xf>
    <xf borderId="10" fillId="7" fontId="14" numFmtId="166" xfId="0" applyAlignment="1" applyBorder="1" applyFont="1" applyNumberFormat="1">
      <alignment horizontal="center" readingOrder="0" shrinkToFit="0" vertical="center" wrapText="0"/>
    </xf>
    <xf borderId="11" fillId="12" fontId="14" numFmtId="0" xfId="0" applyAlignment="1" applyBorder="1" applyFont="1">
      <alignment readingOrder="0" shrinkToFit="0" vertical="bottom" wrapText="1"/>
    </xf>
    <xf borderId="10" fillId="7" fontId="17" numFmtId="0" xfId="0" applyAlignment="1" applyBorder="1" applyFont="1">
      <alignment horizontal="center" shrinkToFit="0" wrapText="0"/>
    </xf>
    <xf borderId="10" fillId="7" fontId="42" numFmtId="165" xfId="0" applyAlignment="1" applyBorder="1" applyFont="1" applyNumberFormat="1">
      <alignment readingOrder="0" vertical="center"/>
    </xf>
    <xf borderId="11" fillId="6" fontId="14" numFmtId="0" xfId="0" applyAlignment="1" applyBorder="1" applyFont="1">
      <alignment readingOrder="0" shrinkToFit="0" wrapText="1"/>
    </xf>
    <xf borderId="10" fillId="0" fontId="12" numFmtId="0" xfId="0" applyAlignment="1" applyBorder="1" applyFont="1">
      <alignment horizontal="center" readingOrder="0" shrinkToFit="0" wrapText="0"/>
    </xf>
    <xf borderId="10" fillId="6" fontId="42" numFmtId="165" xfId="0" applyAlignment="1" applyBorder="1" applyFont="1" applyNumberFormat="1">
      <alignment readingOrder="0" vertical="center"/>
    </xf>
    <xf borderId="10" fillId="0" fontId="42" numFmtId="0" xfId="0" applyAlignment="1" applyBorder="1" applyFont="1">
      <alignment horizontal="left" readingOrder="0" shrinkToFit="0" vertical="center" wrapText="1"/>
    </xf>
    <xf borderId="10" fillId="0" fontId="42" numFmtId="166" xfId="0" applyAlignment="1" applyBorder="1" applyFont="1" applyNumberFormat="1">
      <alignment horizontal="center" readingOrder="0" vertical="center"/>
    </xf>
    <xf borderId="10" fillId="0" fontId="12" numFmtId="164" xfId="0" applyAlignment="1" applyBorder="1" applyFont="1" applyNumberFormat="1">
      <alignment horizontal="right" readingOrder="0" shrinkToFit="0" vertical="bottom" wrapText="0"/>
    </xf>
    <xf borderId="11" fillId="12" fontId="14" numFmtId="0" xfId="0" applyAlignment="1" applyBorder="1" applyFont="1">
      <alignment shrinkToFit="0" wrapText="1"/>
    </xf>
    <xf borderId="11" fillId="12" fontId="42" numFmtId="0" xfId="0" applyAlignment="1" applyBorder="1" applyFont="1">
      <alignment horizontal="center" shrinkToFit="0" wrapText="0"/>
    </xf>
    <xf borderId="11" fillId="12" fontId="12" numFmtId="0" xfId="0" applyAlignment="1" applyBorder="1" applyFont="1">
      <alignment readingOrder="0" shrinkToFit="0" wrapText="1"/>
    </xf>
    <xf borderId="11" fillId="7" fontId="42" numFmtId="0" xfId="0" applyAlignment="1" applyBorder="1" applyFont="1">
      <alignment horizontal="center" shrinkToFit="0" wrapText="0"/>
    </xf>
    <xf borderId="11" fillId="12" fontId="22" numFmtId="0" xfId="0" applyAlignment="1" applyBorder="1" applyFont="1">
      <alignment shrinkToFit="0" wrapText="1"/>
    </xf>
    <xf borderId="10" fillId="12" fontId="42" numFmtId="165" xfId="0" applyAlignment="1" applyBorder="1" applyFont="1" applyNumberFormat="1">
      <alignment horizontal="right" readingOrder="0" shrinkToFit="0" wrapText="0"/>
    </xf>
    <xf borderId="9" fillId="12" fontId="17" numFmtId="0" xfId="0" applyAlignment="1" applyBorder="1" applyFont="1">
      <alignment horizontal="center" shrinkToFit="0" wrapText="0"/>
    </xf>
    <xf borderId="11" fillId="13" fontId="14" numFmtId="0" xfId="0" applyAlignment="1" applyBorder="1" applyFont="1">
      <alignment readingOrder="0" shrinkToFit="0" wrapText="1"/>
    </xf>
    <xf borderId="11" fillId="12" fontId="42" numFmtId="0" xfId="0" applyAlignment="1" applyBorder="1" applyFont="1">
      <alignment readingOrder="0" shrinkToFit="0" wrapText="1"/>
    </xf>
    <xf borderId="11" fillId="12" fontId="42" numFmtId="166" xfId="0" applyAlignment="1" applyBorder="1" applyFont="1" applyNumberFormat="1">
      <alignment horizontal="center" shrinkToFit="0" wrapText="0"/>
    </xf>
    <xf borderId="11" fillId="12" fontId="14" numFmtId="0" xfId="0" applyAlignment="1" applyBorder="1" applyFont="1">
      <alignment readingOrder="0" shrinkToFit="0" wrapText="1"/>
    </xf>
    <xf borderId="11" fillId="12" fontId="42" numFmtId="0" xfId="0" applyBorder="1" applyFont="1"/>
    <xf borderId="11" fillId="12" fontId="14" numFmtId="0" xfId="0" applyAlignment="1" applyBorder="1" applyFont="1">
      <alignment readingOrder="0" shrinkToFit="0" wrapText="1"/>
    </xf>
    <xf borderId="10" fillId="12" fontId="41" numFmtId="165" xfId="0" applyAlignment="1" applyBorder="1" applyFont="1" applyNumberFormat="1">
      <alignment shrinkToFit="0" wrapText="0"/>
    </xf>
    <xf borderId="10" fillId="7" fontId="41" numFmtId="165" xfId="0" applyAlignment="1" applyBorder="1" applyFont="1" applyNumberFormat="1">
      <alignment shrinkToFit="0" wrapText="0"/>
    </xf>
    <xf borderId="10" fillId="12" fontId="42" numFmtId="0" xfId="0" applyBorder="1" applyFont="1"/>
    <xf borderId="10" fillId="7" fontId="12" numFmtId="0" xfId="0" applyAlignment="1" applyBorder="1" applyFont="1">
      <alignment readingOrder="0"/>
    </xf>
    <xf borderId="10" fillId="7" fontId="45" numFmtId="164" xfId="0" applyAlignment="1" applyBorder="1" applyFont="1" applyNumberFormat="1">
      <alignment vertical="center"/>
    </xf>
    <xf borderId="10" fillId="7" fontId="42" numFmtId="0" xfId="0" applyBorder="1" applyFont="1"/>
    <xf borderId="46" fillId="13" fontId="33" numFmtId="0" xfId="0" applyAlignment="1" applyBorder="1" applyFont="1">
      <alignment horizontal="left" readingOrder="0" vertical="center"/>
    </xf>
    <xf borderId="11" fillId="7" fontId="42" numFmtId="0" xfId="0" applyAlignment="1" applyBorder="1" applyFont="1">
      <alignment shrinkToFit="0" wrapText="1"/>
    </xf>
    <xf borderId="10" fillId="13" fontId="39" numFmtId="0" xfId="0" applyAlignment="1" applyBorder="1" applyFont="1">
      <alignment readingOrder="0" shrinkToFit="0" wrapText="1"/>
    </xf>
    <xf borderId="10" fillId="6" fontId="55" numFmtId="0" xfId="0" applyAlignment="1" applyBorder="1" applyFont="1">
      <alignment readingOrder="0" shrinkToFit="0" vertical="bottom" wrapText="0"/>
    </xf>
    <xf borderId="10" fillId="6" fontId="14" numFmtId="166" xfId="0" applyAlignment="1" applyBorder="1" applyFont="1" applyNumberFormat="1">
      <alignment horizontal="right" readingOrder="0" shrinkToFit="0" vertical="bottom" wrapText="0"/>
    </xf>
    <xf borderId="9" fillId="12" fontId="14" numFmtId="0" xfId="0" applyBorder="1" applyFont="1"/>
    <xf borderId="10" fillId="7" fontId="14" numFmtId="0" xfId="0" applyBorder="1" applyFont="1"/>
    <xf borderId="10" fillId="7" fontId="14" numFmtId="0" xfId="0" applyAlignment="1" applyBorder="1" applyFont="1">
      <alignment horizontal="left" readingOrder="0" shrinkToFit="0" vertical="bottom" wrapText="0"/>
    </xf>
    <xf borderId="9" fillId="13" fontId="39" numFmtId="0" xfId="0" applyAlignment="1" applyBorder="1" applyFont="1">
      <alignment readingOrder="0" shrinkToFit="0" wrapText="1"/>
    </xf>
    <xf borderId="10" fillId="6" fontId="56" numFmtId="0" xfId="0" applyAlignment="1" applyBorder="1" applyFont="1">
      <alignment horizontal="left" readingOrder="0" shrinkToFit="0" vertical="bottom" wrapText="0"/>
    </xf>
    <xf borderId="10" fillId="13" fontId="14" numFmtId="0" xfId="0" applyAlignment="1" applyBorder="1" applyFont="1">
      <alignment readingOrder="0" shrinkToFit="0" vertical="top" wrapText="1"/>
    </xf>
    <xf borderId="9" fillId="12" fontId="14" numFmtId="0" xfId="0" applyBorder="1" applyFont="1"/>
    <xf borderId="9" fillId="12" fontId="12" numFmtId="0" xfId="0" applyAlignment="1" applyBorder="1" applyFont="1">
      <alignment readingOrder="0" shrinkToFit="0" vertical="center" wrapText="1"/>
    </xf>
    <xf borderId="11" fillId="12" fontId="42" numFmtId="0" xfId="0" applyAlignment="1" applyBorder="1" applyFont="1">
      <alignment shrinkToFit="0" vertical="center" wrapText="1"/>
    </xf>
    <xf borderId="11" fillId="12" fontId="42" numFmtId="0" xfId="0" applyAlignment="1" applyBorder="1" applyFont="1">
      <alignment horizontal="center" shrinkToFit="0" vertical="center" wrapText="0"/>
    </xf>
    <xf borderId="11" fillId="12" fontId="42" numFmtId="0" xfId="0" applyAlignment="1" applyBorder="1" applyFont="1">
      <alignment horizontal="center" readingOrder="0" shrinkToFit="0" vertical="center" wrapText="0"/>
    </xf>
    <xf borderId="10" fillId="12" fontId="42" numFmtId="0" xfId="0" applyAlignment="1" applyBorder="1" applyFont="1">
      <alignment horizontal="center" readingOrder="0" shrinkToFit="0" vertical="center" wrapText="0"/>
    </xf>
    <xf borderId="10" fillId="12" fontId="42" numFmtId="165" xfId="0" applyAlignment="1" applyBorder="1" applyFont="1" applyNumberFormat="1">
      <alignment readingOrder="0" shrinkToFit="0" vertical="center" wrapText="0"/>
    </xf>
    <xf borderId="10" fillId="12" fontId="42" numFmtId="0" xfId="0" applyAlignment="1" applyBorder="1" applyFont="1">
      <alignment vertical="center"/>
    </xf>
    <xf borderId="10" fillId="12" fontId="42" numFmtId="166" xfId="0" applyAlignment="1" applyBorder="1" applyFont="1" applyNumberFormat="1">
      <alignment horizontal="center" shrinkToFit="0" vertical="center" wrapText="0"/>
    </xf>
    <xf borderId="48" fillId="6" fontId="13" numFmtId="0" xfId="0" applyAlignment="1" applyBorder="1" applyFont="1">
      <alignment vertical="center"/>
    </xf>
    <xf borderId="10" fillId="7" fontId="42" numFmtId="165" xfId="0" applyAlignment="1" applyBorder="1" applyFont="1" applyNumberFormat="1">
      <alignment readingOrder="0" shrinkToFit="0" wrapText="0"/>
    </xf>
    <xf borderId="11" fillId="7" fontId="12" numFmtId="0" xfId="0" applyAlignment="1" applyBorder="1" applyFont="1">
      <alignment shrinkToFit="0" vertical="center" wrapText="1"/>
    </xf>
    <xf borderId="11" fillId="7" fontId="12" numFmtId="0" xfId="0" applyAlignment="1" applyBorder="1" applyFont="1">
      <alignment horizontal="center" readingOrder="0" vertical="center"/>
    </xf>
    <xf borderId="10" fillId="6" fontId="14" numFmtId="0" xfId="0" applyAlignment="1" applyBorder="1" applyFont="1">
      <alignment horizontal="center" readingOrder="0"/>
    </xf>
    <xf borderId="11" fillId="12" fontId="14" numFmtId="0" xfId="0" applyAlignment="1" applyBorder="1" applyFont="1">
      <alignment shrinkToFit="0" wrapText="1"/>
    </xf>
    <xf borderId="11" fillId="12" fontId="14" numFmtId="0" xfId="0" applyAlignment="1" applyBorder="1" applyFont="1">
      <alignment shrinkToFit="0" wrapText="1"/>
    </xf>
    <xf borderId="11" fillId="12" fontId="14" numFmtId="0" xfId="0" applyAlignment="1" applyBorder="1" applyFont="1">
      <alignment horizontal="center" shrinkToFit="0" wrapText="0"/>
    </xf>
    <xf borderId="11" fillId="12" fontId="42" numFmtId="0" xfId="0" applyAlignment="1" applyBorder="1" applyFont="1">
      <alignment horizontal="center" readingOrder="0"/>
    </xf>
    <xf borderId="10" fillId="12" fontId="42" numFmtId="0" xfId="0" applyAlignment="1" applyBorder="1" applyFont="1">
      <alignment horizontal="center" readingOrder="0"/>
    </xf>
    <xf borderId="11" fillId="7" fontId="14" numFmtId="0" xfId="0" applyAlignment="1" applyBorder="1" applyFont="1">
      <alignment shrinkToFit="0" wrapText="1"/>
    </xf>
    <xf borderId="11" fillId="7" fontId="14" numFmtId="0" xfId="0" applyAlignment="1" applyBorder="1" applyFont="1">
      <alignment shrinkToFit="0" wrapText="1"/>
    </xf>
    <xf borderId="11" fillId="7" fontId="14" numFmtId="0" xfId="0" applyAlignment="1" applyBorder="1" applyFont="1">
      <alignment horizontal="center" shrinkToFit="0" wrapText="0"/>
    </xf>
    <xf borderId="10" fillId="7" fontId="14" numFmtId="165" xfId="0" applyAlignment="1" applyBorder="1" applyFont="1" applyNumberFormat="1">
      <alignment shrinkToFit="0" wrapText="0"/>
    </xf>
    <xf borderId="10" fillId="7" fontId="42" numFmtId="0" xfId="0" applyBorder="1" applyFont="1"/>
    <xf borderId="10" fillId="13" fontId="14" numFmtId="0" xfId="0" applyBorder="1" applyFont="1"/>
    <xf borderId="49" fillId="6" fontId="13" numFmtId="164" xfId="0" applyAlignment="1" applyBorder="1" applyFont="1" applyNumberFormat="1">
      <alignment readingOrder="0" vertical="center"/>
    </xf>
    <xf borderId="10" fillId="7" fontId="42" numFmtId="0" xfId="0" applyAlignment="1" applyBorder="1" applyFont="1">
      <alignment horizontal="left" readingOrder="0" shrinkToFit="0" vertical="center" wrapText="1"/>
    </xf>
    <xf borderId="11" fillId="12" fontId="12" numFmtId="0" xfId="0" applyAlignment="1" applyBorder="1" applyFont="1">
      <alignment readingOrder="0" shrinkToFit="0" vertical="bottom" wrapText="1"/>
    </xf>
    <xf borderId="10" fillId="6" fontId="51" numFmtId="0" xfId="0" applyAlignment="1" applyBorder="1" applyFont="1">
      <alignment readingOrder="0" shrinkToFit="0" vertical="bottom" wrapText="1"/>
    </xf>
    <xf borderId="11" fillId="12" fontId="14" numFmtId="0" xfId="0" applyAlignment="1" applyBorder="1" applyFont="1">
      <alignment horizontal="center" readingOrder="0"/>
    </xf>
    <xf borderId="10" fillId="12" fontId="14" numFmtId="0" xfId="0" applyAlignment="1" applyBorder="1" applyFont="1">
      <alignment horizontal="center" readingOrder="0"/>
    </xf>
    <xf borderId="10" fillId="7" fontId="14" numFmtId="166" xfId="0" applyAlignment="1" applyBorder="1" applyFont="1" applyNumberFormat="1">
      <alignment horizontal="center" readingOrder="0" shrinkToFit="0" wrapText="0"/>
    </xf>
    <xf borderId="47" fillId="6" fontId="12" numFmtId="164" xfId="0" applyAlignment="1" applyBorder="1" applyFont="1" applyNumberFormat="1">
      <alignment vertical="center"/>
    </xf>
    <xf borderId="11" fillId="10" fontId="14" numFmtId="0" xfId="0" applyAlignment="1" applyBorder="1" applyFont="1">
      <alignment readingOrder="0" shrinkToFit="0" vertical="bottom" wrapText="1"/>
    </xf>
    <xf borderId="10" fillId="6" fontId="12" numFmtId="0" xfId="0" applyAlignment="1" applyBorder="1" applyFont="1">
      <alignment horizontal="center" readingOrder="0"/>
    </xf>
    <xf borderId="10" fillId="6" fontId="14" numFmtId="165" xfId="0" applyAlignment="1" applyBorder="1" applyFont="1" applyNumberFormat="1">
      <alignment shrinkToFit="0" wrapText="0"/>
    </xf>
    <xf borderId="10" fillId="6" fontId="14" numFmtId="0" xfId="0" applyBorder="1" applyFont="1"/>
    <xf borderId="10" fillId="6" fontId="14" numFmtId="166" xfId="0" applyAlignment="1" applyBorder="1" applyFont="1" applyNumberFormat="1">
      <alignment horizontal="center" shrinkToFit="0" wrapText="0"/>
    </xf>
    <xf borderId="10" fillId="6" fontId="42" numFmtId="164" xfId="0" applyAlignment="1" applyBorder="1" applyFont="1" applyNumberFormat="1">
      <alignment readingOrder="0" vertical="center"/>
    </xf>
    <xf borderId="10" fillId="12" fontId="14" numFmtId="165" xfId="0" applyAlignment="1" applyBorder="1" applyFont="1" applyNumberFormat="1">
      <alignment shrinkToFit="0" wrapText="0"/>
    </xf>
    <xf borderId="10" fillId="12" fontId="14" numFmtId="166" xfId="0" applyAlignment="1" applyBorder="1" applyFont="1" applyNumberFormat="1">
      <alignment horizontal="center" readingOrder="0" shrinkToFit="0" wrapText="0"/>
    </xf>
    <xf borderId="11" fillId="6" fontId="14" numFmtId="0" xfId="0" applyAlignment="1" applyBorder="1" applyFont="1">
      <alignment shrinkToFit="0" vertical="bottom" wrapText="1"/>
    </xf>
    <xf borderId="11" fillId="6" fontId="14" numFmtId="0" xfId="0" applyAlignment="1" applyBorder="1" applyFont="1">
      <alignment horizontal="center" shrinkToFit="0" vertical="bottom" wrapText="0"/>
    </xf>
    <xf borderId="11" fillId="6" fontId="14" numFmtId="0" xfId="0" applyAlignment="1" applyBorder="1" applyFont="1">
      <alignment horizontal="center" readingOrder="0" vertical="center"/>
    </xf>
    <xf borderId="11" fillId="6" fontId="14" numFmtId="0" xfId="0" applyAlignment="1" applyBorder="1" applyFont="1">
      <alignment readingOrder="0" shrinkToFit="0" vertical="center" wrapText="1"/>
    </xf>
    <xf borderId="10" fillId="0" fontId="51" numFmtId="0" xfId="0" applyAlignment="1" applyBorder="1" applyFont="1">
      <alignment readingOrder="0" shrinkToFit="0" vertical="bottom" wrapText="0"/>
    </xf>
    <xf borderId="10" fillId="0" fontId="50" numFmtId="164" xfId="0" applyAlignment="1" applyBorder="1" applyFont="1" applyNumberFormat="1">
      <alignment shrinkToFit="0" vertical="bottom" wrapText="0"/>
    </xf>
    <xf borderId="47" fillId="11" fontId="50" numFmtId="164" xfId="0" applyAlignment="1" applyBorder="1" applyFont="1" applyNumberFormat="1">
      <alignment readingOrder="0" shrinkToFit="0" vertical="bottom" wrapText="0"/>
    </xf>
    <xf borderId="46" fillId="5" fontId="33" numFmtId="0" xfId="0" applyAlignment="1" applyBorder="1" applyFont="1">
      <alignment horizontal="left" readingOrder="0" vertical="center"/>
    </xf>
    <xf borderId="0" fillId="5" fontId="51" numFmtId="0" xfId="0" applyAlignment="1" applyFont="1">
      <alignment readingOrder="0" shrinkToFit="0" vertical="bottom" wrapText="1"/>
    </xf>
    <xf borderId="10" fillId="5" fontId="17" numFmtId="164" xfId="0" applyAlignment="1" applyBorder="1" applyFont="1" applyNumberFormat="1">
      <alignment shrinkToFit="0" vertical="bottom" wrapText="0"/>
    </xf>
    <xf borderId="10" fillId="5" fontId="17" numFmtId="164" xfId="0" applyAlignment="1" applyBorder="1" applyFont="1" applyNumberFormat="1">
      <alignment readingOrder="0" shrinkToFit="0" vertical="bottom" wrapText="0"/>
    </xf>
    <xf borderId="47" fillId="5" fontId="17" numFmtId="164" xfId="0" applyAlignment="1" applyBorder="1" applyFont="1" applyNumberFormat="1">
      <alignment readingOrder="0" shrinkToFit="0" vertical="bottom" wrapText="0"/>
    </xf>
    <xf borderId="46" fillId="5" fontId="13" numFmtId="0" xfId="0" applyAlignment="1" applyBorder="1" applyFont="1">
      <alignment horizontal="center" vertical="center"/>
    </xf>
    <xf borderId="10" fillId="5" fontId="13" numFmtId="0" xfId="0" applyAlignment="1" applyBorder="1" applyFont="1">
      <alignment readingOrder="0" shrinkToFit="0" vertical="center" wrapText="1"/>
    </xf>
    <xf borderId="10" fillId="6" fontId="13" numFmtId="165" xfId="0" applyAlignment="1" applyBorder="1" applyFont="1" applyNumberFormat="1">
      <alignment vertical="center"/>
    </xf>
    <xf borderId="10" fillId="5" fontId="54" numFmtId="164" xfId="0" applyAlignment="1" applyBorder="1" applyFont="1" applyNumberFormat="1">
      <alignment vertical="center"/>
    </xf>
    <xf borderId="47" fillId="5" fontId="54" numFmtId="164" xfId="0" applyAlignment="1" applyBorder="1" applyFont="1" applyNumberFormat="1">
      <alignment vertical="center"/>
    </xf>
    <xf borderId="10" fillId="12" fontId="57" numFmtId="0" xfId="0" applyAlignment="1" applyBorder="1" applyFont="1">
      <alignment horizontal="center" vertical="center"/>
    </xf>
    <xf borderId="10" fillId="12" fontId="54" numFmtId="164" xfId="0" applyAlignment="1" applyBorder="1" applyFont="1" applyNumberFormat="1">
      <alignment vertical="center"/>
    </xf>
    <xf borderId="47" fillId="12" fontId="54" numFmtId="164" xfId="0" applyAlignment="1" applyBorder="1" applyFont="1" applyNumberFormat="1">
      <alignment vertical="center"/>
    </xf>
    <xf borderId="10" fillId="7" fontId="57" numFmtId="0" xfId="0" applyAlignment="1" applyBorder="1" applyFont="1">
      <alignment horizontal="center" vertical="center"/>
    </xf>
    <xf borderId="46" fillId="5" fontId="32" numFmtId="0" xfId="0" applyAlignment="1" applyBorder="1" applyFont="1">
      <alignment horizontal="center" vertical="center"/>
    </xf>
    <xf borderId="10" fillId="14" fontId="14" numFmtId="0" xfId="0" applyAlignment="1" applyBorder="1" applyFont="1">
      <alignment readingOrder="0" vertical="center"/>
    </xf>
    <xf borderId="40" fillId="0" fontId="51" numFmtId="0" xfId="0" applyAlignment="1" applyBorder="1" applyFont="1">
      <alignment horizontal="center" readingOrder="0"/>
    </xf>
    <xf borderId="10" fillId="12" fontId="13" numFmtId="0" xfId="0" applyAlignment="1" applyBorder="1" applyFont="1">
      <alignment vertical="center"/>
    </xf>
    <xf borderId="10" fillId="12" fontId="58" numFmtId="165" xfId="0" applyAlignment="1" applyBorder="1" applyFont="1" applyNumberFormat="1">
      <alignment vertical="center"/>
    </xf>
    <xf borderId="10" fillId="7" fontId="58" numFmtId="165" xfId="0" applyAlignment="1" applyBorder="1" applyFont="1" applyNumberFormat="1">
      <alignment vertical="center"/>
    </xf>
    <xf borderId="10" fillId="7" fontId="58" numFmtId="164" xfId="0" applyAlignment="1" applyBorder="1" applyFont="1" applyNumberFormat="1">
      <alignment vertical="center"/>
    </xf>
    <xf borderId="47" fillId="7" fontId="44" numFmtId="164" xfId="0" applyAlignment="1" applyBorder="1" applyFont="1" applyNumberFormat="1">
      <alignment vertical="center"/>
    </xf>
    <xf borderId="10" fillId="7" fontId="44" numFmtId="0" xfId="0" applyAlignment="1" applyBorder="1" applyFont="1">
      <alignment horizontal="center" readingOrder="0" vertical="center"/>
    </xf>
    <xf borderId="10" fillId="12" fontId="12" numFmtId="0" xfId="0" applyAlignment="1" applyBorder="1" applyFont="1">
      <alignment readingOrder="0" vertical="center"/>
    </xf>
    <xf borderId="10" fillId="14" fontId="13" numFmtId="0" xfId="0" applyAlignment="1" applyBorder="1" applyFont="1">
      <alignment readingOrder="0" vertical="center"/>
    </xf>
    <xf borderId="10" fillId="12" fontId="13" numFmtId="0" xfId="0" applyAlignment="1" applyBorder="1" applyFont="1">
      <alignment readingOrder="0" vertical="center"/>
    </xf>
    <xf borderId="10" fillId="12" fontId="44" numFmtId="0" xfId="0" applyAlignment="1" applyBorder="1" applyFont="1">
      <alignment horizontal="left" readingOrder="0" shrinkToFit="0" vertical="center" wrapText="1"/>
    </xf>
    <xf borderId="10" fillId="12" fontId="24" numFmtId="0" xfId="0" applyAlignment="1" applyBorder="1" applyFont="1">
      <alignment vertical="center"/>
    </xf>
    <xf borderId="44" fillId="7" fontId="43" numFmtId="164" xfId="0" applyAlignment="1" applyBorder="1" applyFont="1" applyNumberFormat="1">
      <alignment vertical="center"/>
    </xf>
    <xf borderId="47" fillId="7" fontId="40" numFmtId="164" xfId="0" applyAlignment="1" applyBorder="1" applyFont="1" applyNumberFormat="1">
      <alignment vertical="center"/>
    </xf>
    <xf borderId="55" fillId="7" fontId="12" numFmtId="0" xfId="0" applyAlignment="1" applyBorder="1" applyFont="1">
      <alignment shrinkToFit="0" vertical="center" wrapText="1"/>
    </xf>
    <xf borderId="60" fillId="7" fontId="40" numFmtId="164" xfId="0" applyAlignment="1" applyBorder="1" applyFont="1" applyNumberFormat="1">
      <alignment vertical="center"/>
    </xf>
    <xf borderId="61" fillId="7" fontId="40" numFmtId="164" xfId="0" applyAlignment="1" applyBorder="1" applyFont="1" applyNumberFormat="1">
      <alignment vertical="center"/>
    </xf>
    <xf borderId="10" fillId="7" fontId="32" numFmtId="165" xfId="0" applyAlignment="1" applyBorder="1" applyFont="1" applyNumberFormat="1">
      <alignment readingOrder="0" vertical="center"/>
    </xf>
    <xf borderId="1" fillId="12" fontId="32" numFmtId="165" xfId="0" applyAlignment="1" applyBorder="1" applyFont="1" applyNumberFormat="1">
      <alignment readingOrder="0" vertical="center"/>
    </xf>
    <xf borderId="52" fillId="6" fontId="32" numFmtId="0" xfId="0" applyAlignment="1" applyBorder="1" applyFont="1">
      <alignment horizontal="center" vertical="center"/>
    </xf>
    <xf borderId="46" fillId="6" fontId="32" numFmtId="0" xfId="0" applyAlignment="1" applyBorder="1" applyFont="1">
      <alignment horizontal="center" readingOrder="0" vertical="center"/>
    </xf>
    <xf borderId="10" fillId="5" fontId="13" numFmtId="0" xfId="0" applyAlignment="1" applyBorder="1" applyFont="1">
      <alignment shrinkToFit="0" vertical="center" wrapText="1"/>
    </xf>
    <xf borderId="10" fillId="7" fontId="42" numFmtId="0" xfId="0" applyAlignment="1" applyBorder="1" applyFont="1">
      <alignment horizontal="left" shrinkToFit="0" vertical="center" wrapText="1"/>
    </xf>
    <xf borderId="4" fillId="7" fontId="42" numFmtId="0" xfId="0" applyAlignment="1" applyBorder="1" applyFont="1">
      <alignment horizontal="center" readingOrder="0" vertical="center"/>
    </xf>
    <xf borderId="9" fillId="6" fontId="12" numFmtId="0" xfId="0" applyAlignment="1" applyBorder="1" applyFont="1">
      <alignment horizontal="center" readingOrder="0" vertical="center"/>
    </xf>
    <xf borderId="9" fillId="6" fontId="32" numFmtId="165" xfId="0" applyAlignment="1" applyBorder="1" applyFont="1" applyNumberFormat="1">
      <alignment vertical="center"/>
    </xf>
    <xf borderId="9" fillId="6" fontId="13" numFmtId="0" xfId="0" applyAlignment="1" applyBorder="1" applyFont="1">
      <alignment horizontal="left" shrinkToFit="0" vertical="center" wrapText="1"/>
    </xf>
    <xf borderId="9" fillId="6" fontId="13" numFmtId="166" xfId="0" applyAlignment="1" applyBorder="1" applyFont="1" applyNumberFormat="1">
      <alignment horizontal="center" vertical="center"/>
    </xf>
    <xf borderId="43" fillId="7" fontId="14" numFmtId="0" xfId="0" applyAlignment="1" applyBorder="1" applyFont="1">
      <alignment horizontal="center" vertical="center"/>
    </xf>
    <xf borderId="10" fillId="7" fontId="14" numFmtId="0" xfId="0" applyAlignment="1" applyBorder="1" applyFont="1">
      <alignment horizontal="center" vertical="center"/>
    </xf>
    <xf borderId="55" fillId="7" fontId="14" numFmtId="0" xfId="0" applyAlignment="1" applyBorder="1" applyFont="1">
      <alignment horizontal="center" vertical="center"/>
    </xf>
    <xf borderId="10" fillId="13" fontId="14" numFmtId="0" xfId="0" applyAlignment="1" applyBorder="1" applyFont="1">
      <alignment readingOrder="0" shrinkToFit="0" wrapText="1"/>
    </xf>
    <xf borderId="10" fillId="7" fontId="13" numFmtId="0" xfId="0" applyAlignment="1" applyBorder="1" applyFont="1">
      <alignment shrinkToFit="0" wrapText="1"/>
    </xf>
    <xf borderId="10" fillId="6" fontId="12" numFmtId="0" xfId="0" applyAlignment="1" applyBorder="1" applyFont="1">
      <alignment horizontal="center" vertical="center"/>
    </xf>
    <xf borderId="10" fillId="12" fontId="14" numFmtId="165" xfId="0" applyAlignment="1" applyBorder="1" applyFont="1" applyNumberFormat="1">
      <alignment horizontal="left" readingOrder="0" vertical="center"/>
    </xf>
    <xf borderId="10" fillId="7" fontId="13" numFmtId="165" xfId="0" applyAlignment="1" applyBorder="1" applyFont="1" applyNumberFormat="1">
      <alignment horizontal="left" readingOrder="0" vertical="center"/>
    </xf>
    <xf borderId="10" fillId="7" fontId="13" numFmtId="0" xfId="0" applyAlignment="1" applyBorder="1" applyFont="1">
      <alignment horizontal="left" readingOrder="0" shrinkToFit="0" vertical="center" wrapText="1"/>
    </xf>
    <xf borderId="46" fillId="6" fontId="59" numFmtId="0" xfId="0" applyAlignment="1" applyBorder="1" applyFont="1">
      <alignment horizontal="center" vertical="center"/>
    </xf>
    <xf borderId="10" fillId="7" fontId="42" numFmtId="0" xfId="0" applyAlignment="1" applyBorder="1" applyFont="1">
      <alignment vertical="center"/>
    </xf>
    <xf borderId="10" fillId="6" fontId="12" numFmtId="0" xfId="0" applyAlignment="1" applyBorder="1" applyFont="1">
      <alignment horizontal="center" readingOrder="0" shrinkToFit="0" wrapText="0"/>
    </xf>
    <xf borderId="10" fillId="6" fontId="12" numFmtId="165" xfId="0" applyAlignment="1" applyBorder="1" applyFont="1" applyNumberFormat="1">
      <alignment readingOrder="0" vertical="center"/>
    </xf>
    <xf borderId="10" fillId="6" fontId="12" numFmtId="0" xfId="0" applyAlignment="1" applyBorder="1" applyFont="1">
      <alignment readingOrder="0" vertical="center"/>
    </xf>
    <xf borderId="10" fillId="6" fontId="12" numFmtId="166" xfId="0" applyAlignment="1" applyBorder="1" applyFont="1" applyNumberFormat="1">
      <alignment horizontal="center" readingOrder="0" shrinkToFit="0" vertical="center" wrapText="0"/>
    </xf>
    <xf borderId="46" fillId="13" fontId="59" numFmtId="0" xfId="0" applyAlignment="1" applyBorder="1" applyFont="1">
      <alignment horizontal="center" vertical="center"/>
    </xf>
    <xf borderId="4" fillId="12" fontId="13" numFmtId="0" xfId="0" applyAlignment="1" applyBorder="1" applyFont="1">
      <alignment readingOrder="0" shrinkToFit="0" vertical="center" wrapText="1"/>
    </xf>
    <xf borderId="4" fillId="12" fontId="42" numFmtId="0" xfId="0" applyAlignment="1" applyBorder="1" applyFont="1">
      <alignment readingOrder="0" shrinkToFit="0" vertical="center" wrapText="1"/>
    </xf>
    <xf borderId="4" fillId="12" fontId="42" numFmtId="0" xfId="0" applyAlignment="1" applyBorder="1" applyFont="1">
      <alignment horizontal="center" readingOrder="0" shrinkToFit="0" wrapText="0"/>
    </xf>
    <xf borderId="10" fillId="12" fontId="42" numFmtId="0" xfId="0" applyAlignment="1" applyBorder="1" applyFont="1">
      <alignment readingOrder="0" vertical="center"/>
    </xf>
    <xf borderId="10" fillId="12" fontId="42" numFmtId="0" xfId="0" applyAlignment="1" applyBorder="1" applyFont="1">
      <alignment vertical="center"/>
    </xf>
    <xf borderId="10" fillId="12" fontId="42" numFmtId="0" xfId="0" applyAlignment="1" applyBorder="1" applyFont="1">
      <alignment readingOrder="0" shrinkToFit="0" vertical="center" wrapText="1"/>
    </xf>
    <xf borderId="10" fillId="12" fontId="60" numFmtId="0" xfId="0" applyAlignment="1" applyBorder="1" applyFont="1">
      <alignment horizontal="left" readingOrder="0" shrinkToFit="0" vertical="center" wrapText="1"/>
    </xf>
    <xf borderId="4" fillId="12" fontId="39" numFmtId="0" xfId="0" applyAlignment="1" applyBorder="1" applyFont="1">
      <alignment readingOrder="0" shrinkToFit="0" wrapText="1"/>
    </xf>
    <xf borderId="10" fillId="12" fontId="42" numFmtId="0" xfId="0" applyAlignment="1" applyBorder="1" applyFont="1">
      <alignment horizontal="left" readingOrder="0" shrinkToFit="0" vertical="center" wrapText="1"/>
    </xf>
    <xf borderId="10" fillId="7" fontId="42" numFmtId="0" xfId="0" applyAlignment="1" applyBorder="1" applyFont="1">
      <alignment horizontal="left" readingOrder="0" shrinkToFit="0" vertical="center" wrapText="1"/>
    </xf>
    <xf borderId="10" fillId="7" fontId="12" numFmtId="0" xfId="0" applyAlignment="1" applyBorder="1" applyFont="1">
      <alignment readingOrder="0" vertical="center"/>
    </xf>
    <xf borderId="46" fillId="13" fontId="59" numFmtId="0" xfId="0" applyAlignment="1" applyBorder="1" applyFont="1">
      <alignment horizontal="center" vertical="top"/>
    </xf>
    <xf borderId="10" fillId="7" fontId="13" numFmtId="0" xfId="0" applyAlignment="1" applyBorder="1" applyFont="1">
      <alignment horizontal="left" readingOrder="0" vertical="top"/>
    </xf>
    <xf borderId="4" fillId="7" fontId="42" numFmtId="0" xfId="0" applyAlignment="1" applyBorder="1" applyFont="1">
      <alignment shrinkToFit="0" vertical="top" wrapText="1"/>
    </xf>
    <xf borderId="10" fillId="7" fontId="42" numFmtId="165" xfId="0" applyAlignment="1" applyBorder="1" applyFont="1" applyNumberFormat="1">
      <alignment readingOrder="0" vertical="top"/>
    </xf>
    <xf borderId="10" fillId="7" fontId="42" numFmtId="0" xfId="0" applyAlignment="1" applyBorder="1" applyFont="1">
      <alignment readingOrder="0" vertical="top"/>
    </xf>
    <xf borderId="10" fillId="7" fontId="42" numFmtId="166" xfId="0" applyAlignment="1" applyBorder="1" applyFont="1" applyNumberFormat="1">
      <alignment horizontal="center" shrinkToFit="0" vertical="top" wrapText="0"/>
    </xf>
    <xf borderId="0" fillId="6" fontId="13" numFmtId="0" xfId="0" applyAlignment="1" applyFont="1">
      <alignment vertical="top"/>
    </xf>
    <xf borderId="49" fillId="6" fontId="13" numFmtId="164" xfId="0" applyAlignment="1" applyBorder="1" applyFont="1" applyNumberFormat="1">
      <alignment vertical="top"/>
    </xf>
    <xf borderId="10" fillId="13" fontId="39" numFmtId="0" xfId="0" applyAlignment="1" applyBorder="1" applyFont="1">
      <alignment readingOrder="0" shrinkToFit="0" vertical="top" wrapText="1"/>
    </xf>
    <xf borderId="10" fillId="6" fontId="14" numFmtId="165" xfId="0" applyAlignment="1" applyBorder="1" applyFont="1" applyNumberFormat="1">
      <alignment readingOrder="0" vertical="top"/>
    </xf>
    <xf borderId="10" fillId="6" fontId="14" numFmtId="166" xfId="0" applyAlignment="1" applyBorder="1" applyFont="1" applyNumberFormat="1">
      <alignment horizontal="center" shrinkToFit="0" vertical="top" wrapText="0"/>
    </xf>
    <xf borderId="10" fillId="12" fontId="13" numFmtId="0" xfId="0" applyAlignment="1" applyBorder="1" applyFont="1">
      <alignment horizontal="left" readingOrder="0" vertical="center"/>
    </xf>
    <xf borderId="10" fillId="7" fontId="13" numFmtId="0" xfId="0" applyAlignment="1" applyBorder="1" applyFont="1">
      <alignment horizontal="left" readingOrder="0" vertical="center"/>
    </xf>
    <xf borderId="10" fillId="7" fontId="42" numFmtId="0" xfId="0" applyAlignment="1" applyBorder="1" applyFont="1">
      <alignment readingOrder="0"/>
    </xf>
    <xf borderId="10" fillId="6" fontId="61" numFmtId="0" xfId="0" applyAlignment="1" applyBorder="1" applyFont="1">
      <alignment readingOrder="0"/>
    </xf>
    <xf borderId="0" fillId="6" fontId="14" numFmtId="0" xfId="0" applyAlignment="1" applyFont="1">
      <alignment readingOrder="0" shrinkToFit="0" vertical="bottom" wrapText="0"/>
    </xf>
    <xf borderId="46" fillId="14" fontId="59" numFmtId="0" xfId="0" applyAlignment="1" applyBorder="1" applyFont="1">
      <alignment horizontal="center" vertical="center"/>
    </xf>
    <xf borderId="10" fillId="14" fontId="13" numFmtId="0" xfId="0" applyAlignment="1" applyBorder="1" applyFont="1">
      <alignment readingOrder="0" shrinkToFit="0" vertical="center" wrapText="1"/>
    </xf>
    <xf borderId="10" fillId="12" fontId="13" numFmtId="0" xfId="0" applyAlignment="1" applyBorder="1" applyFont="1">
      <alignment horizontal="left" vertical="center"/>
    </xf>
    <xf borderId="10" fillId="12" fontId="44" numFmtId="165" xfId="0" applyAlignment="1" applyBorder="1" applyFont="1" applyNumberFormat="1">
      <alignment readingOrder="0" vertical="center"/>
    </xf>
    <xf borderId="10" fillId="12" fontId="44" numFmtId="0" xfId="0" applyAlignment="1" applyBorder="1" applyFont="1">
      <alignment vertical="center"/>
    </xf>
    <xf borderId="10" fillId="7" fontId="44" numFmtId="0" xfId="0" applyAlignment="1" applyBorder="1" applyFont="1">
      <alignment vertical="center"/>
    </xf>
    <xf borderId="10" fillId="14" fontId="14" numFmtId="0" xfId="0" applyAlignment="1" applyBorder="1" applyFont="1">
      <alignment vertical="center"/>
    </xf>
    <xf borderId="46" fillId="0" fontId="59" numFmtId="0" xfId="0" applyAlignment="1" applyBorder="1" applyFont="1">
      <alignment horizontal="center" vertical="center"/>
    </xf>
    <xf borderId="52" fillId="0" fontId="59" numFmtId="0" xfId="0" applyAlignment="1" applyBorder="1" applyFont="1">
      <alignment horizontal="center" vertical="center"/>
    </xf>
    <xf borderId="10" fillId="7" fontId="24" numFmtId="164" xfId="0" applyAlignment="1" applyBorder="1" applyFont="1" applyNumberFormat="1">
      <alignment readingOrder="0" vertical="center"/>
    </xf>
    <xf borderId="48" fillId="0" fontId="24" numFmtId="164" xfId="0" applyAlignment="1" applyBorder="1" applyFont="1" applyNumberFormat="1">
      <alignment readingOrder="0" vertical="center"/>
    </xf>
    <xf borderId="0" fillId="0" fontId="24" numFmtId="164" xfId="0" applyAlignment="1" applyFont="1" applyNumberFormat="1">
      <alignment readingOrder="0" vertical="center"/>
    </xf>
    <xf borderId="55" fillId="7" fontId="24" numFmtId="164" xfId="0" applyAlignment="1" applyBorder="1" applyFont="1" applyNumberFormat="1">
      <alignment readingOrder="0" vertical="center"/>
    </xf>
    <xf borderId="9" fillId="6" fontId="12" numFmtId="0" xfId="0" applyAlignment="1" applyBorder="1" applyFont="1">
      <alignment horizontal="center" vertical="center"/>
    </xf>
    <xf borderId="9" fillId="6" fontId="13" numFmtId="165" xfId="0" applyAlignment="1" applyBorder="1" applyFont="1" applyNumberFormat="1">
      <alignment vertical="center"/>
    </xf>
    <xf borderId="9" fillId="0" fontId="24" numFmtId="164" xfId="0" applyAlignment="1" applyBorder="1" applyFont="1" applyNumberFormat="1">
      <alignment readingOrder="0" vertical="center"/>
    </xf>
    <xf borderId="58" fillId="0" fontId="24" numFmtId="164" xfId="0" applyAlignment="1" applyBorder="1" applyFont="1" applyNumberFormat="1">
      <alignment readingOrder="0" vertical="center"/>
    </xf>
    <xf borderId="59" fillId="0" fontId="24" numFmtId="164" xfId="0" applyAlignment="1" applyBorder="1" applyFont="1" applyNumberFormat="1">
      <alignment readingOrder="0" vertical="center"/>
    </xf>
    <xf borderId="10" fillId="6" fontId="32" numFmtId="165" xfId="0" applyAlignment="1" applyBorder="1" applyFont="1" applyNumberFormat="1">
      <alignment vertical="center"/>
    </xf>
    <xf borderId="0" fillId="6" fontId="43" numFmtId="164" xfId="0" applyAlignment="1" applyFont="1" applyNumberFormat="1">
      <alignment readingOrder="0" shrinkToFit="0" vertical="bottom" wrapText="0"/>
    </xf>
    <xf borderId="0" fillId="6" fontId="38" numFmtId="164" xfId="0" applyAlignment="1" applyFont="1" applyNumberFormat="1">
      <alignment readingOrder="0" shrinkToFit="0" vertical="bottom" wrapText="0"/>
    </xf>
    <xf borderId="0" fillId="0" fontId="51" numFmtId="0" xfId="0" applyAlignment="1" applyFont="1">
      <alignment readingOrder="0" shrinkToFit="0" vertical="bottom" wrapText="1"/>
    </xf>
    <xf borderId="10" fillId="0" fontId="12" numFmtId="164" xfId="0" applyAlignment="1" applyBorder="1" applyFont="1" applyNumberFormat="1">
      <alignment readingOrder="0" shrinkToFit="0" vertical="bottom" wrapText="0"/>
    </xf>
    <xf borderId="47" fillId="15" fontId="12" numFmtId="164" xfId="0" applyAlignment="1" applyBorder="1" applyFont="1" applyNumberFormat="1">
      <alignment readingOrder="0" shrinkToFit="0" vertical="bottom" wrapText="0"/>
    </xf>
    <xf borderId="10" fillId="12" fontId="23" numFmtId="0" xfId="0" applyAlignment="1" applyBorder="1" applyFont="1">
      <alignment readingOrder="0" vertical="center"/>
    </xf>
    <xf borderId="46" fillId="7" fontId="24" numFmtId="0" xfId="0" applyAlignment="1" applyBorder="1" applyFont="1">
      <alignment horizontal="left" vertical="center"/>
    </xf>
    <xf borderId="10" fillId="7" fontId="24" numFmtId="0" xfId="0" applyAlignment="1" applyBorder="1" applyFont="1">
      <alignment vertical="center"/>
    </xf>
    <xf borderId="48" fillId="0" fontId="24" numFmtId="0" xfId="0" applyAlignment="1" applyBorder="1" applyFont="1">
      <alignment vertical="center"/>
    </xf>
    <xf borderId="54" fillId="7" fontId="24" numFmtId="0" xfId="0" applyAlignment="1" applyBorder="1" applyFont="1">
      <alignment horizontal="left" vertical="center"/>
    </xf>
    <xf borderId="55" fillId="7" fontId="24" numFmtId="0" xfId="0" applyAlignment="1" applyBorder="1" applyFont="1">
      <alignment vertical="center"/>
    </xf>
    <xf borderId="9" fillId="7" fontId="24" numFmtId="0" xfId="0" applyAlignment="1" applyBorder="1" applyFont="1">
      <alignment horizontal="left" vertical="center"/>
    </xf>
    <xf borderId="62" fillId="7" fontId="32" numFmtId="0" xfId="0" applyAlignment="1" applyBorder="1" applyFont="1">
      <alignment horizontal="left" vertical="center"/>
    </xf>
    <xf borderId="52" fillId="0" fontId="13" numFmtId="0" xfId="0" applyAlignment="1" applyBorder="1" applyFont="1">
      <alignment horizontal="center" vertical="center"/>
    </xf>
    <xf borderId="46" fillId="7" fontId="13" numFmtId="0" xfId="0" applyAlignment="1" applyBorder="1" applyFont="1">
      <alignment horizontal="center" readingOrder="0" vertical="center"/>
    </xf>
    <xf borderId="46" fillId="12" fontId="13" numFmtId="0" xfId="0" applyAlignment="1" applyBorder="1" applyFont="1">
      <alignment horizontal="center" vertical="center"/>
    </xf>
    <xf borderId="52" fillId="6" fontId="13" numFmtId="0" xfId="0" applyAlignment="1" applyBorder="1" applyFont="1">
      <alignment horizontal="center" vertical="center"/>
    </xf>
    <xf borderId="9" fillId="7" fontId="13" numFmtId="0" xfId="0" applyAlignment="1" applyBorder="1" applyFont="1">
      <alignment horizontal="center" readingOrder="0" vertical="center"/>
    </xf>
    <xf borderId="9" fillId="7" fontId="11" numFmtId="0" xfId="0" applyAlignment="1" applyBorder="1" applyFont="1">
      <alignment horizontal="right" shrinkToFit="0" wrapText="1"/>
    </xf>
    <xf borderId="9" fillId="7" fontId="12" numFmtId="0" xfId="0" applyAlignment="1" applyBorder="1" applyFont="1">
      <alignment shrinkToFit="0" vertical="center" wrapText="1"/>
    </xf>
    <xf borderId="9" fillId="7" fontId="12" numFmtId="0" xfId="0" applyAlignment="1" applyBorder="1" applyFont="1">
      <alignment horizontal="center" vertical="center"/>
    </xf>
    <xf borderId="9" fillId="7" fontId="13" numFmtId="165" xfId="0" applyAlignment="1" applyBorder="1" applyFont="1" applyNumberFormat="1">
      <alignment readingOrder="0" vertical="center"/>
    </xf>
    <xf borderId="9" fillId="7" fontId="13" numFmtId="0" xfId="0" applyAlignment="1" applyBorder="1" applyFont="1">
      <alignment horizontal="left" readingOrder="0" shrinkToFit="0" vertical="center" wrapText="1"/>
    </xf>
    <xf borderId="9" fillId="7" fontId="13" numFmtId="166" xfId="0" applyAlignment="1" applyBorder="1" applyFont="1" applyNumberFormat="1">
      <alignment horizontal="center" readingOrder="0" vertical="center"/>
    </xf>
    <xf borderId="9" fillId="7" fontId="13" numFmtId="164" xfId="0" applyAlignment="1" applyBorder="1" applyFont="1" applyNumberFormat="1">
      <alignment readingOrder="0" vertical="center"/>
    </xf>
    <xf borderId="9" fillId="7" fontId="12" numFmtId="164" xfId="0" applyAlignment="1" applyBorder="1" applyFont="1" applyNumberFormat="1">
      <alignment readingOrder="0" vertical="center"/>
    </xf>
    <xf borderId="9" fillId="7" fontId="12" numFmtId="164" xfId="0" applyAlignment="1" applyBorder="1" applyFont="1" applyNumberFormat="1">
      <alignment vertical="center"/>
    </xf>
    <xf borderId="58" fillId="7" fontId="12" numFmtId="164" xfId="0" applyAlignment="1" applyBorder="1" applyFont="1" applyNumberFormat="1">
      <alignment vertical="center"/>
    </xf>
    <xf borderId="46" fillId="6" fontId="17" numFmtId="0" xfId="0" applyAlignment="1" applyBorder="1" applyFont="1">
      <alignment horizontal="center" shrinkToFit="0" wrapText="0"/>
    </xf>
    <xf borderId="4" fillId="7" fontId="17" numFmtId="0" xfId="0" applyAlignment="1" applyBorder="1" applyFont="1">
      <alignment horizontal="center" readingOrder="0" shrinkToFit="0" wrapText="0"/>
    </xf>
    <xf borderId="4" fillId="7" fontId="13" numFmtId="0" xfId="0" applyAlignment="1" applyBorder="1" applyFont="1">
      <alignment horizontal="center" readingOrder="0" vertical="center"/>
    </xf>
    <xf borderId="46" fillId="13" fontId="17" numFmtId="0" xfId="0" applyAlignment="1" applyBorder="1" applyFont="1">
      <alignment horizontal="center" shrinkToFit="0" wrapText="0"/>
    </xf>
    <xf borderId="43" fillId="7" fontId="13" numFmtId="0" xfId="0" applyAlignment="1" applyBorder="1" applyFont="1">
      <alignment horizontal="center" readingOrder="0" vertical="center"/>
    </xf>
    <xf borderId="55" fillId="7" fontId="13" numFmtId="0" xfId="0" applyAlignment="1" applyBorder="1" applyFont="1">
      <alignment horizontal="center" readingOrder="0" vertical="center"/>
    </xf>
    <xf borderId="10" fillId="0" fontId="12" numFmtId="0" xfId="0" applyAlignment="1" applyBorder="1" applyFont="1">
      <alignment readingOrder="0" shrinkToFit="0" vertical="center" wrapText="1"/>
    </xf>
    <xf borderId="10" fillId="12" fontId="14" numFmtId="166" xfId="0" applyAlignment="1" applyBorder="1" applyFont="1" applyNumberFormat="1">
      <alignment horizontal="center" vertical="center"/>
    </xf>
    <xf borderId="10" fillId="7" fontId="33" numFmtId="0" xfId="0" applyAlignment="1" applyBorder="1" applyFont="1">
      <alignment vertical="center"/>
    </xf>
    <xf borderId="55" fillId="7" fontId="33" numFmtId="0" xfId="0" applyAlignment="1" applyBorder="1" applyFont="1">
      <alignment vertical="center"/>
    </xf>
    <xf borderId="10" fillId="7" fontId="31" numFmtId="0" xfId="0" applyAlignment="1" applyBorder="1" applyFont="1">
      <alignment horizontal="left" vertical="center"/>
    </xf>
    <xf borderId="10" fillId="0" fontId="24" numFmtId="0" xfId="0" applyAlignment="1" applyBorder="1" applyFont="1">
      <alignment shrinkToFit="0" vertical="center" wrapText="1"/>
    </xf>
    <xf borderId="10" fillId="0" fontId="24" numFmtId="164" xfId="0" applyAlignment="1" applyBorder="1" applyFont="1" applyNumberFormat="1">
      <alignment vertical="center"/>
    </xf>
    <xf borderId="47" fillId="0" fontId="24" numFmtId="164" xfId="0" applyAlignment="1" applyBorder="1" applyFont="1" applyNumberFormat="1">
      <alignment vertical="center"/>
    </xf>
    <xf borderId="10" fillId="7" fontId="32" numFmtId="0" xfId="0" applyAlignment="1" applyBorder="1" applyFont="1">
      <alignment horizontal="left" readingOrder="0" vertical="center"/>
    </xf>
    <xf borderId="10" fillId="6" fontId="12" numFmtId="165" xfId="0" applyAlignment="1" applyBorder="1" applyFont="1" applyNumberFormat="1">
      <alignment vertical="center"/>
    </xf>
    <xf borderId="0" fillId="12" fontId="2" numFmtId="0" xfId="0" applyFont="1"/>
    <xf borderId="10" fillId="7" fontId="14" numFmtId="0" xfId="0" applyAlignment="1" applyBorder="1" applyFont="1">
      <alignment readingOrder="0" shrinkToFit="0" vertical="center" wrapText="1"/>
    </xf>
    <xf borderId="10" fillId="0" fontId="40" numFmtId="0" xfId="0" applyAlignment="1" applyBorder="1" applyFont="1">
      <alignment readingOrder="0" shrinkToFit="0" vertical="center" wrapText="1"/>
    </xf>
    <xf borderId="4" fillId="13" fontId="39" numFmtId="0" xfId="0" applyAlignment="1" applyBorder="1" applyFont="1">
      <alignment readingOrder="0" shrinkToFit="0" wrapText="0"/>
    </xf>
    <xf borderId="11" fillId="12" fontId="22" numFmtId="0" xfId="0" applyAlignment="1" applyBorder="1" applyFont="1">
      <alignment shrinkToFit="0" wrapText="0"/>
    </xf>
    <xf borderId="10" fillId="7" fontId="33" numFmtId="0" xfId="0" applyAlignment="1" applyBorder="1" applyFont="1">
      <alignment horizontal="center" readingOrder="0" vertical="center"/>
    </xf>
    <xf borderId="10" fillId="7" fontId="33" numFmtId="165" xfId="0" applyAlignment="1" applyBorder="1" applyFont="1" applyNumberFormat="1">
      <alignment readingOrder="0" vertical="center"/>
    </xf>
    <xf borderId="10" fillId="13" fontId="33" numFmtId="0" xfId="0" applyAlignment="1" applyBorder="1" applyFont="1">
      <alignment readingOrder="0" vertical="center"/>
    </xf>
    <xf borderId="10" fillId="12" fontId="42" numFmtId="164" xfId="0" applyAlignment="1" applyBorder="1" applyFont="1" applyNumberFormat="1">
      <alignment horizontal="center" vertical="center"/>
    </xf>
    <xf borderId="46" fillId="5" fontId="59" numFmtId="0" xfId="0" applyAlignment="1" applyBorder="1" applyFont="1">
      <alignment horizontal="center" vertical="center"/>
    </xf>
    <xf borderId="10" fillId="6" fontId="14" numFmtId="0" xfId="0" applyAlignment="1" applyBorder="1" applyFont="1">
      <alignment horizontal="left" shrinkToFit="0" vertical="center" wrapText="1"/>
    </xf>
    <xf borderId="10" fillId="6" fontId="14" numFmtId="166" xfId="0" applyAlignment="1" applyBorder="1" applyFont="1" applyNumberFormat="1">
      <alignment horizontal="center" vertical="center"/>
    </xf>
    <xf borderId="46" fillId="5" fontId="31" numFmtId="0" xfId="0" applyAlignment="1" applyBorder="1" applyFont="1">
      <alignment horizontal="center" vertical="center"/>
    </xf>
    <xf borderId="10" fillId="5" fontId="24" numFmtId="164" xfId="0" applyAlignment="1" applyBorder="1" applyFont="1" applyNumberFormat="1">
      <alignment vertical="center"/>
    </xf>
    <xf borderId="47" fillId="5" fontId="24" numFmtId="164" xfId="0" applyAlignment="1" applyBorder="1" applyFont="1" applyNumberFormat="1">
      <alignment vertical="center"/>
    </xf>
    <xf borderId="46" fillId="5" fontId="32" numFmtId="0" xfId="0" applyAlignment="1" applyBorder="1" applyFont="1">
      <alignment horizontal="center" readingOrder="0" vertical="center"/>
    </xf>
    <xf borderId="10" fillId="5" fontId="33" numFmtId="164" xfId="0" applyAlignment="1" applyBorder="1" applyFont="1" applyNumberFormat="1">
      <alignment vertical="center"/>
    </xf>
    <xf borderId="47" fillId="5" fontId="33" numFmtId="164" xfId="0" applyAlignment="1" applyBorder="1" applyFont="1" applyNumberFormat="1">
      <alignment vertical="center"/>
    </xf>
    <xf borderId="9" fillId="5" fontId="33" numFmtId="164" xfId="0" applyAlignment="1" applyBorder="1" applyFont="1" applyNumberFormat="1">
      <alignment vertical="center"/>
    </xf>
    <xf borderId="58" fillId="5" fontId="33" numFmtId="164" xfId="0" applyAlignment="1" applyBorder="1" applyFont="1" applyNumberFormat="1">
      <alignment vertical="center"/>
    </xf>
    <xf borderId="63" fillId="0" fontId="13" numFmtId="164" xfId="0" applyAlignment="1" applyBorder="1" applyFont="1" applyNumberFormat="1">
      <alignment vertical="center"/>
    </xf>
    <xf borderId="54" fillId="0" fontId="32" numFmtId="0" xfId="0" applyAlignment="1" applyBorder="1" applyFont="1">
      <alignment horizontal="center" readingOrder="0" vertical="center"/>
    </xf>
    <xf borderId="64" fillId="7" fontId="32" numFmtId="0" xfId="0" applyAlignment="1" applyBorder="1" applyFont="1">
      <alignment horizontal="left" vertical="center"/>
    </xf>
    <xf borderId="65" fillId="0" fontId="24" numFmtId="0" xfId="0" applyAlignment="1" applyBorder="1" applyFont="1">
      <alignment vertical="center"/>
    </xf>
    <xf borderId="55" fillId="6" fontId="12" numFmtId="0" xfId="0" applyAlignment="1" applyBorder="1" applyFont="1">
      <alignment horizontal="center" vertical="center"/>
    </xf>
    <xf borderId="55" fillId="6" fontId="32" numFmtId="165" xfId="0" applyAlignment="1" applyBorder="1" applyFont="1" applyNumberFormat="1">
      <alignment vertical="center"/>
    </xf>
    <xf borderId="55" fillId="6" fontId="13" numFmtId="0" xfId="0" applyAlignment="1" applyBorder="1" applyFont="1">
      <alignment horizontal="left" shrinkToFit="0" vertical="center" wrapText="1"/>
    </xf>
    <xf borderId="55" fillId="6" fontId="13" numFmtId="166" xfId="0" applyAlignment="1" applyBorder="1" applyFont="1" applyNumberFormat="1">
      <alignment horizontal="center" vertical="center"/>
    </xf>
    <xf borderId="55" fillId="0" fontId="33" numFmtId="0" xfId="0" applyAlignment="1" applyBorder="1" applyFont="1">
      <alignment vertical="center"/>
    </xf>
    <xf borderId="56" fillId="0" fontId="33" numFmtId="164" xfId="0" applyAlignment="1" applyBorder="1" applyFont="1" applyNumberFormat="1">
      <alignment vertical="center"/>
    </xf>
    <xf borderId="48" fillId="6" fontId="13" numFmtId="3" xfId="0" applyAlignment="1" applyBorder="1" applyFont="1" applyNumberFormat="1">
      <alignment vertical="center"/>
    </xf>
    <xf borderId="0" fillId="0" fontId="13" numFmtId="0" xfId="0" applyAlignment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center" vertical="center"/>
    </xf>
    <xf borderId="0" fillId="0" fontId="13" numFmtId="165" xfId="0" applyAlignment="1" applyFont="1" applyNumberFormat="1">
      <alignment vertical="center"/>
    </xf>
    <xf borderId="0" fillId="0" fontId="13" numFmtId="0" xfId="0" applyAlignment="1" applyFont="1">
      <alignment horizontal="left" shrinkToFit="0" vertical="center" wrapText="1"/>
    </xf>
    <xf borderId="0" fillId="0" fontId="13" numFmtId="166" xfId="0" applyAlignment="1" applyFont="1" applyNumberFormat="1">
      <alignment horizontal="center" vertical="center"/>
    </xf>
    <xf borderId="0" fillId="0" fontId="13" numFmtId="0" xfId="0" applyAlignment="1" applyFont="1">
      <alignment vertical="center"/>
    </xf>
    <xf borderId="66" fillId="6" fontId="62" numFmtId="0" xfId="0" applyAlignment="1" applyBorder="1" applyFont="1">
      <alignment horizontal="center" readingOrder="0" vertical="center"/>
    </xf>
    <xf borderId="11" fillId="0" fontId="4" numFmtId="0" xfId="0" applyBorder="1" applyFont="1"/>
    <xf borderId="9" fillId="0" fontId="24" numFmtId="0" xfId="0" applyAlignment="1" applyBorder="1" applyFont="1">
      <alignment horizontal="center" vertical="center"/>
    </xf>
    <xf borderId="9" fillId="0" fontId="13" numFmtId="0" xfId="0" applyAlignment="1" applyBorder="1" applyFont="1">
      <alignment shrinkToFit="0" vertical="center" wrapText="1"/>
    </xf>
    <xf borderId="9" fillId="6" fontId="13" numFmtId="0" xfId="0" applyAlignment="1" applyBorder="1" applyFont="1">
      <alignment shrinkToFit="0" vertical="center" wrapText="1"/>
    </xf>
    <xf borderId="9" fillId="6" fontId="13" numFmtId="0" xfId="0" applyAlignment="1" applyBorder="1" applyFont="1">
      <alignment horizontal="center" vertical="center"/>
    </xf>
    <xf borderId="9" fillId="0" fontId="13" numFmtId="0" xfId="0" applyAlignment="1" applyBorder="1" applyFont="1">
      <alignment horizontal="center" vertical="center"/>
    </xf>
    <xf borderId="9" fillId="0" fontId="23" numFmtId="164" xfId="0" applyAlignment="1" applyBorder="1" applyFont="1" applyNumberFormat="1">
      <alignment vertical="center"/>
    </xf>
    <xf borderId="67" fillId="6" fontId="13" numFmtId="164" xfId="0" applyAlignment="1" applyBorder="1" applyFont="1" applyNumberFormat="1">
      <alignment readingOrder="0" vertical="center"/>
    </xf>
    <xf borderId="0" fillId="6" fontId="13" numFmtId="164" xfId="0" applyAlignment="1" applyFont="1" applyNumberFormat="1">
      <alignment readingOrder="0" vertical="center"/>
    </xf>
    <xf borderId="68" fillId="6" fontId="63" numFmtId="0" xfId="0" applyAlignment="1" applyBorder="1" applyFont="1">
      <alignment horizontal="right" readingOrder="0" vertical="center"/>
    </xf>
    <xf borderId="4" fillId="12" fontId="63" numFmtId="0" xfId="0" applyAlignment="1" applyBorder="1" applyFont="1">
      <alignment horizontal="right" readingOrder="0" vertical="center"/>
    </xf>
    <xf borderId="10" fillId="12" fontId="13" numFmtId="0" xfId="0" applyAlignment="1" applyBorder="1" applyFont="1">
      <alignment horizontal="right" readingOrder="0" vertical="center"/>
    </xf>
    <xf borderId="10" fillId="12" fontId="24" numFmtId="164" xfId="0" applyAlignment="1" applyBorder="1" applyFont="1" applyNumberFormat="1">
      <alignment vertical="center"/>
    </xf>
    <xf borderId="45" fillId="12" fontId="24" numFmtId="164" xfId="0" applyAlignment="1" applyBorder="1" applyFont="1" applyNumberFormat="1">
      <alignment vertical="center"/>
    </xf>
    <xf borderId="0" fillId="6" fontId="13" numFmtId="10" xfId="0" applyAlignment="1" applyFont="1" applyNumberFormat="1">
      <alignment vertical="center"/>
    </xf>
    <xf borderId="67" fillId="0" fontId="13" numFmtId="164" xfId="0" applyAlignment="1" applyBorder="1" applyFont="1" applyNumberFormat="1">
      <alignment vertical="center"/>
    </xf>
    <xf borderId="4" fillId="7" fontId="63" numFmtId="0" xfId="0" applyAlignment="1" applyBorder="1" applyFont="1">
      <alignment horizontal="right" readingOrder="0" vertical="center"/>
    </xf>
    <xf borderId="10" fillId="6" fontId="13" numFmtId="0" xfId="0" applyAlignment="1" applyBorder="1" applyFont="1">
      <alignment shrinkToFit="0" vertical="center" wrapText="1"/>
    </xf>
    <xf borderId="10" fillId="6" fontId="13" numFmtId="164" xfId="0" applyAlignment="1" applyBorder="1" applyFont="1" applyNumberFormat="1">
      <alignment shrinkToFit="0" vertical="center" wrapText="1"/>
    </xf>
    <xf borderId="10" fillId="6" fontId="13" numFmtId="0" xfId="0" applyAlignment="1" applyBorder="1" applyFont="1">
      <alignment horizontal="center" vertical="center"/>
    </xf>
    <xf borderId="69" fillId="6" fontId="13" numFmtId="164" xfId="0" applyAlignment="1" applyBorder="1" applyFont="1" applyNumberFormat="1">
      <alignment vertical="center"/>
    </xf>
    <xf borderId="70" fillId="6" fontId="13" numFmtId="164" xfId="0" applyAlignment="1" applyBorder="1" applyFont="1" applyNumberFormat="1">
      <alignment vertical="center"/>
    </xf>
    <xf borderId="10" fillId="5" fontId="13" numFmtId="0" xfId="0" applyAlignment="1" applyBorder="1" applyFont="1">
      <alignment horizontal="center" vertical="center"/>
    </xf>
    <xf borderId="10" fillId="7" fontId="64" numFmtId="0" xfId="0" applyAlignment="1" applyBorder="1" applyFont="1">
      <alignment horizontal="center" vertical="center"/>
    </xf>
    <xf borderId="10" fillId="7" fontId="64" numFmtId="165" xfId="0" applyAlignment="1" applyBorder="1" applyFont="1" applyNumberFormat="1">
      <alignment vertical="center"/>
    </xf>
    <xf borderId="10" fillId="7" fontId="64" numFmtId="0" xfId="0" applyAlignment="1" applyBorder="1" applyFont="1">
      <alignment horizontal="left" shrinkToFit="0" vertical="center" wrapText="1"/>
    </xf>
    <xf borderId="10" fillId="7" fontId="64" numFmtId="166" xfId="0" applyAlignment="1" applyBorder="1" applyFont="1" applyNumberFormat="1">
      <alignment horizontal="center" vertical="center"/>
    </xf>
    <xf borderId="71" fillId="6" fontId="13" numFmtId="164" xfId="0" applyAlignment="1" applyBorder="1" applyFont="1" applyNumberFormat="1">
      <alignment vertical="center"/>
    </xf>
    <xf borderId="72" fillId="6" fontId="13" numFmtId="164" xfId="0" applyAlignment="1" applyBorder="1" applyFont="1" applyNumberFormat="1">
      <alignment vertical="center"/>
    </xf>
    <xf borderId="68" fillId="5" fontId="62" numFmtId="0" xfId="0" applyAlignment="1" applyBorder="1" applyFont="1">
      <alignment horizontal="center" readingOrder="0" vertical="center"/>
    </xf>
    <xf borderId="10" fillId="5" fontId="24" numFmtId="0" xfId="0" applyAlignment="1" applyBorder="1" applyFont="1">
      <alignment horizontal="center" vertical="center"/>
    </xf>
    <xf borderId="10" fillId="5" fontId="64" numFmtId="0" xfId="0" applyAlignment="1" applyBorder="1" applyFont="1">
      <alignment horizontal="center" vertical="center"/>
    </xf>
    <xf borderId="10" fillId="5" fontId="64" numFmtId="165" xfId="0" applyAlignment="1" applyBorder="1" applyFont="1" applyNumberFormat="1">
      <alignment vertical="center"/>
    </xf>
    <xf borderId="10" fillId="5" fontId="64" numFmtId="0" xfId="0" applyAlignment="1" applyBorder="1" applyFont="1">
      <alignment horizontal="left" shrinkToFit="0" vertical="center" wrapText="1"/>
    </xf>
    <xf borderId="10" fillId="5" fontId="64" numFmtId="166" xfId="0" applyAlignment="1" applyBorder="1" applyFont="1" applyNumberFormat="1">
      <alignment horizontal="center" vertical="center"/>
    </xf>
    <xf borderId="10" fillId="5" fontId="22" numFmtId="164" xfId="0" applyAlignment="1" applyBorder="1" applyFont="1" applyNumberFormat="1">
      <alignment vertical="center"/>
    </xf>
    <xf borderId="2" fillId="5" fontId="22" numFmtId="164" xfId="0" applyAlignment="1" applyBorder="1" applyFont="1" applyNumberFormat="1">
      <alignment vertical="center"/>
    </xf>
    <xf borderId="72" fillId="6" fontId="13" numFmtId="164" xfId="0" applyAlignment="1" applyBorder="1" applyFont="1" applyNumberFormat="1">
      <alignment readingOrder="0" vertical="center"/>
    </xf>
    <xf borderId="68" fillId="5" fontId="63" numFmtId="0" xfId="0" applyAlignment="1" applyBorder="1" applyFont="1">
      <alignment horizontal="center" readingOrder="0" vertical="center"/>
    </xf>
    <xf borderId="4" fillId="12" fontId="63" numFmtId="0" xfId="0" applyAlignment="1" applyBorder="1" applyFont="1">
      <alignment horizontal="center" readingOrder="0" vertical="center"/>
    </xf>
    <xf borderId="2" fillId="12" fontId="13" numFmtId="164" xfId="0" applyAlignment="1" applyBorder="1" applyFont="1" applyNumberFormat="1">
      <alignment vertical="center"/>
    </xf>
    <xf borderId="71" fillId="6" fontId="13" numFmtId="10" xfId="0" applyAlignment="1" applyBorder="1" applyFont="1" applyNumberFormat="1">
      <alignment vertical="center"/>
    </xf>
    <xf borderId="72" fillId="0" fontId="13" numFmtId="164" xfId="0" applyAlignment="1" applyBorder="1" applyFont="1" applyNumberFormat="1">
      <alignment vertical="center"/>
    </xf>
    <xf borderId="4" fillId="7" fontId="63" numFmtId="0" xfId="0" applyAlignment="1" applyBorder="1" applyFont="1">
      <alignment horizontal="center" readingOrder="0" vertical="center"/>
    </xf>
    <xf borderId="2" fillId="7" fontId="13" numFmtId="164" xfId="0" applyAlignment="1" applyBorder="1" applyFont="1" applyNumberFormat="1">
      <alignment vertical="center"/>
    </xf>
    <xf borderId="71" fillId="6" fontId="13" numFmtId="164" xfId="0" applyBorder="1" applyFont="1" applyNumberFormat="1"/>
    <xf borderId="68" fillId="6" fontId="62" numFmtId="0" xfId="0" applyAlignment="1" applyBorder="1" applyFont="1">
      <alignment horizontal="center" readingOrder="0" vertical="center"/>
    </xf>
    <xf borderId="10" fillId="0" fontId="24" numFmtId="0" xfId="0" applyAlignment="1" applyBorder="1" applyFont="1">
      <alignment horizontal="center" vertical="center"/>
    </xf>
    <xf borderId="10" fillId="0" fontId="23" numFmtId="164" xfId="0" applyAlignment="1" applyBorder="1" applyFont="1" applyNumberFormat="1">
      <alignment vertical="center"/>
    </xf>
    <xf borderId="2" fillId="0" fontId="23" numFmtId="164" xfId="0" applyAlignment="1" applyBorder="1" applyFont="1" applyNumberFormat="1">
      <alignment vertical="center"/>
    </xf>
    <xf borderId="68" fillId="6" fontId="63" numFmtId="0" xfId="0" applyAlignment="1" applyBorder="1" applyFont="1">
      <alignment horizontal="center" readingOrder="0" vertical="center"/>
    </xf>
    <xf borderId="2" fillId="12" fontId="24" numFmtId="164" xfId="0" applyAlignment="1" applyBorder="1" applyFont="1" applyNumberFormat="1">
      <alignment vertical="center"/>
    </xf>
    <xf borderId="73" fillId="6" fontId="13" numFmtId="0" xfId="0" applyAlignment="1" applyBorder="1" applyFont="1">
      <alignment vertical="center"/>
    </xf>
    <xf borderId="74" fillId="0" fontId="13" numFmtId="0" xfId="0" applyAlignment="1" applyBorder="1" applyFont="1">
      <alignment vertical="center"/>
    </xf>
    <xf borderId="10" fillId="13" fontId="13" numFmtId="0" xfId="0" applyAlignment="1" applyBorder="1" applyFont="1">
      <alignment shrinkToFit="0" vertical="center" wrapText="1"/>
    </xf>
    <xf borderId="10" fillId="13" fontId="13" numFmtId="0" xfId="0" applyAlignment="1" applyBorder="1" applyFont="1">
      <alignment shrinkToFit="0" vertical="center" wrapText="1"/>
    </xf>
    <xf borderId="10" fillId="13" fontId="13" numFmtId="0" xfId="0" applyAlignment="1" applyBorder="1" applyFont="1">
      <alignment horizontal="center" vertical="center"/>
    </xf>
    <xf borderId="10" fillId="7" fontId="13" numFmtId="0" xfId="0" applyAlignment="1" applyBorder="1" applyFont="1">
      <alignment vertical="center"/>
    </xf>
    <xf borderId="71" fillId="6" fontId="13" numFmtId="0" xfId="0" applyAlignment="1" applyBorder="1" applyFont="1">
      <alignment vertical="center"/>
    </xf>
    <xf borderId="72" fillId="0" fontId="13" numFmtId="0" xfId="0" applyAlignment="1" applyBorder="1" applyFont="1">
      <alignment vertical="center"/>
    </xf>
    <xf borderId="68" fillId="13" fontId="62" numFmtId="0" xfId="0" applyAlignment="1" applyBorder="1" applyFont="1">
      <alignment horizontal="center" readingOrder="0" vertical="center"/>
    </xf>
    <xf borderId="10" fillId="13" fontId="24" numFmtId="0" xfId="0" applyAlignment="1" applyBorder="1" applyFont="1">
      <alignment horizontal="center" readingOrder="0" vertical="center"/>
    </xf>
    <xf borderId="10" fillId="13" fontId="13" numFmtId="0" xfId="0" applyAlignment="1" applyBorder="1" applyFont="1">
      <alignment vertical="center"/>
    </xf>
    <xf borderId="10" fillId="13" fontId="13" numFmtId="165" xfId="0" applyAlignment="1" applyBorder="1" applyFont="1" applyNumberFormat="1">
      <alignment vertical="center"/>
    </xf>
    <xf borderId="10" fillId="13" fontId="13" numFmtId="0" xfId="0" applyAlignment="1" applyBorder="1" applyFont="1">
      <alignment horizontal="left" shrinkToFit="0" vertical="center" wrapText="1"/>
    </xf>
    <xf borderId="10" fillId="13" fontId="13" numFmtId="166" xfId="0" applyAlignment="1" applyBorder="1" applyFont="1" applyNumberFormat="1">
      <alignment horizontal="center" vertical="center"/>
    </xf>
    <xf borderId="10" fillId="13" fontId="13" numFmtId="164" xfId="0" applyAlignment="1" applyBorder="1" applyFont="1" applyNumberFormat="1">
      <alignment vertical="center"/>
    </xf>
    <xf borderId="2" fillId="13" fontId="13" numFmtId="164" xfId="0" applyAlignment="1" applyBorder="1" applyFont="1" applyNumberFormat="1">
      <alignment vertical="center"/>
    </xf>
    <xf borderId="72" fillId="6" fontId="13" numFmtId="0" xfId="0" applyAlignment="1" applyBorder="1" applyFont="1">
      <alignment vertical="center"/>
    </xf>
    <xf borderId="68" fillId="13" fontId="63" numFmtId="0" xfId="0" applyAlignment="1" applyBorder="1" applyFont="1">
      <alignment horizontal="center" readingOrder="0" vertical="center"/>
    </xf>
    <xf borderId="10" fillId="12" fontId="42" numFmtId="0" xfId="0" applyAlignment="1" applyBorder="1" applyFont="1">
      <alignment shrinkToFit="0" vertical="center" wrapText="1"/>
    </xf>
    <xf borderId="10" fillId="12" fontId="42" numFmtId="0" xfId="0" applyAlignment="1" applyBorder="1" applyFont="1">
      <alignment horizontal="center" vertical="center"/>
    </xf>
    <xf borderId="2" fillId="12" fontId="42" numFmtId="164" xfId="0" applyAlignment="1" applyBorder="1" applyFont="1" applyNumberFormat="1">
      <alignment vertical="center"/>
    </xf>
    <xf borderId="10" fillId="0" fontId="42" numFmtId="0" xfId="0" applyAlignment="1" applyBorder="1" applyFont="1">
      <alignment shrinkToFit="0" vertical="center" wrapText="1"/>
    </xf>
    <xf borderId="10" fillId="0" fontId="42" numFmtId="0" xfId="0" applyAlignment="1" applyBorder="1" applyFont="1">
      <alignment shrinkToFit="0" vertical="center" wrapText="1"/>
    </xf>
    <xf borderId="10" fillId="0" fontId="42" numFmtId="0" xfId="0" applyAlignment="1" applyBorder="1" applyFont="1">
      <alignment horizontal="center" vertical="center"/>
    </xf>
    <xf borderId="10" fillId="7" fontId="42" numFmtId="0" xfId="0" applyAlignment="1" applyBorder="1" applyFont="1">
      <alignment horizontal="left" shrinkToFit="0" vertical="center" wrapText="1"/>
    </xf>
    <xf borderId="2" fillId="7" fontId="42" numFmtId="164" xfId="0" applyAlignment="1" applyBorder="1" applyFont="1" applyNumberFormat="1">
      <alignment vertical="center"/>
    </xf>
    <xf borderId="75" fillId="6" fontId="13" numFmtId="164" xfId="0" applyAlignment="1" applyBorder="1" applyFont="1" applyNumberFormat="1">
      <alignment vertical="center"/>
    </xf>
    <xf borderId="10" fillId="14" fontId="14" numFmtId="0" xfId="0" applyAlignment="1" applyBorder="1" applyFont="1">
      <alignment shrinkToFit="0" vertical="center" wrapText="1"/>
    </xf>
    <xf borderId="10" fillId="14" fontId="14" numFmtId="0" xfId="0" applyAlignment="1" applyBorder="1" applyFont="1">
      <alignment shrinkToFit="0" vertical="center" wrapText="1"/>
    </xf>
    <xf borderId="10" fillId="14" fontId="14" numFmtId="0" xfId="0" applyAlignment="1" applyBorder="1" applyFont="1">
      <alignment horizontal="center" vertical="center"/>
    </xf>
    <xf borderId="10" fillId="7" fontId="14" numFmtId="0" xfId="0" applyAlignment="1" applyBorder="1" applyFont="1">
      <alignment vertical="center"/>
    </xf>
    <xf borderId="72" fillId="6" fontId="13" numFmtId="164" xfId="0" applyBorder="1" applyFont="1" applyNumberFormat="1"/>
    <xf borderId="68" fillId="14" fontId="62" numFmtId="0" xfId="0" applyAlignment="1" applyBorder="1" applyFont="1">
      <alignment horizontal="center" readingOrder="0" vertical="center"/>
    </xf>
    <xf borderId="10" fillId="14" fontId="22" numFmtId="0" xfId="0" applyAlignment="1" applyBorder="1" applyFont="1">
      <alignment horizontal="center" readingOrder="0" vertical="center"/>
    </xf>
    <xf borderId="10" fillId="14" fontId="14" numFmtId="0" xfId="0" applyAlignment="1" applyBorder="1" applyFont="1">
      <alignment vertical="center"/>
    </xf>
    <xf borderId="10" fillId="14" fontId="14" numFmtId="165" xfId="0" applyAlignment="1" applyBorder="1" applyFont="1" applyNumberFormat="1">
      <alignment vertical="center"/>
    </xf>
    <xf borderId="10" fillId="14" fontId="14" numFmtId="0" xfId="0" applyAlignment="1" applyBorder="1" applyFont="1">
      <alignment horizontal="left" shrinkToFit="0" vertical="center" wrapText="1"/>
    </xf>
    <xf borderId="10" fillId="14" fontId="14" numFmtId="166" xfId="0" applyAlignment="1" applyBorder="1" applyFont="1" applyNumberFormat="1">
      <alignment horizontal="center" vertical="center"/>
    </xf>
    <xf borderId="2" fillId="14" fontId="14" numFmtId="164" xfId="0" applyAlignment="1" applyBorder="1" applyFont="1" applyNumberFormat="1">
      <alignment vertical="center"/>
    </xf>
    <xf borderId="76" fillId="6" fontId="13" numFmtId="164" xfId="0" applyBorder="1" applyFont="1" applyNumberFormat="1"/>
    <xf borderId="68" fillId="14" fontId="63" numFmtId="0" xfId="0" applyAlignment="1" applyBorder="1" applyFont="1">
      <alignment horizontal="center" readingOrder="0" vertical="center"/>
    </xf>
    <xf borderId="10" fillId="12" fontId="44" numFmtId="0" xfId="0" applyAlignment="1" applyBorder="1" applyFont="1">
      <alignment shrinkToFit="0" vertical="center" wrapText="1"/>
    </xf>
    <xf borderId="10" fillId="12" fontId="44" numFmtId="0" xfId="0" applyAlignment="1" applyBorder="1" applyFont="1">
      <alignment horizontal="center" vertical="center"/>
    </xf>
    <xf borderId="10" fillId="12" fontId="44" numFmtId="0" xfId="0" applyAlignment="1" applyBorder="1" applyFont="1">
      <alignment horizontal="left" shrinkToFit="0" vertical="center" wrapText="1"/>
    </xf>
    <xf borderId="2" fillId="12" fontId="44" numFmtId="164" xfId="0" applyAlignment="1" applyBorder="1" applyFont="1" applyNumberFormat="1">
      <alignment vertical="center"/>
    </xf>
    <xf borderId="10" fillId="0" fontId="44" numFmtId="0" xfId="0" applyAlignment="1" applyBorder="1" applyFont="1">
      <alignment shrinkToFit="0" vertical="center" wrapText="1"/>
    </xf>
    <xf borderId="10" fillId="0" fontId="44" numFmtId="0" xfId="0" applyAlignment="1" applyBorder="1" applyFont="1">
      <alignment shrinkToFit="0" vertical="center" wrapText="1"/>
    </xf>
    <xf borderId="10" fillId="0" fontId="44" numFmtId="0" xfId="0" applyAlignment="1" applyBorder="1" applyFont="1">
      <alignment horizontal="center" vertical="center"/>
    </xf>
    <xf borderId="10" fillId="7" fontId="44" numFmtId="0" xfId="0" applyAlignment="1" applyBorder="1" applyFont="1">
      <alignment horizontal="left" shrinkToFit="0" vertical="center" wrapText="1"/>
    </xf>
    <xf borderId="2" fillId="7" fontId="44" numFmtId="164" xfId="0" applyAlignment="1" applyBorder="1" applyFont="1" applyNumberFormat="1">
      <alignment vertical="center"/>
    </xf>
    <xf borderId="77" fillId="6" fontId="13" numFmtId="166" xfId="0" applyAlignment="1" applyBorder="1" applyFont="1" applyNumberFormat="1">
      <alignment horizontal="center" vertical="center"/>
    </xf>
    <xf borderId="78" fillId="0" fontId="13" numFmtId="164" xfId="0" applyAlignment="1" applyBorder="1" applyFont="1" applyNumberFormat="1">
      <alignment vertical="center"/>
    </xf>
    <xf borderId="10" fillId="14" fontId="44" numFmtId="0" xfId="0" applyAlignment="1" applyBorder="1" applyFont="1">
      <alignment shrinkToFit="0" vertical="center" wrapText="1"/>
    </xf>
    <xf borderId="10" fillId="14" fontId="44" numFmtId="0" xfId="0" applyAlignment="1" applyBorder="1" applyFont="1">
      <alignment shrinkToFit="0" vertical="center" wrapText="1"/>
    </xf>
    <xf borderId="10" fillId="14" fontId="44" numFmtId="0" xfId="0" applyAlignment="1" applyBorder="1" applyFont="1">
      <alignment horizontal="center" vertical="center"/>
    </xf>
    <xf borderId="10" fillId="7" fontId="44" numFmtId="0" xfId="0" applyAlignment="1" applyBorder="1" applyFont="1">
      <alignment vertical="center"/>
    </xf>
    <xf borderId="79" fillId="14" fontId="63" numFmtId="0" xfId="0" applyAlignment="1" applyBorder="1" applyFont="1">
      <alignment horizontal="center" readingOrder="0" vertical="center"/>
    </xf>
    <xf borderId="65" fillId="7" fontId="63" numFmtId="0" xfId="0" applyAlignment="1" applyBorder="1" applyFont="1">
      <alignment horizontal="center" readingOrder="0" vertical="center"/>
    </xf>
    <xf borderId="55" fillId="14" fontId="44" numFmtId="0" xfId="0" applyAlignment="1" applyBorder="1" applyFont="1">
      <alignment shrinkToFit="0" vertical="center" wrapText="1"/>
    </xf>
    <xf borderId="55" fillId="14" fontId="44" numFmtId="0" xfId="0" applyAlignment="1" applyBorder="1" applyFont="1">
      <alignment shrinkToFit="0" vertical="center" wrapText="1"/>
    </xf>
    <xf borderId="55" fillId="14" fontId="44" numFmtId="0" xfId="0" applyAlignment="1" applyBorder="1" applyFont="1">
      <alignment horizontal="center" vertical="center"/>
    </xf>
    <xf borderId="55" fillId="7" fontId="44" numFmtId="0" xfId="0" applyAlignment="1" applyBorder="1" applyFont="1">
      <alignment vertical="center"/>
    </xf>
    <xf borderId="55" fillId="7" fontId="44" numFmtId="165" xfId="0" applyAlignment="1" applyBorder="1" applyFont="1" applyNumberFormat="1">
      <alignment vertical="center"/>
    </xf>
    <xf borderId="55" fillId="7" fontId="44" numFmtId="0" xfId="0" applyAlignment="1" applyBorder="1" applyFont="1">
      <alignment horizontal="left" shrinkToFit="0" vertical="center" wrapText="1"/>
    </xf>
    <xf borderId="55" fillId="7" fontId="44" numFmtId="166" xfId="0" applyAlignment="1" applyBorder="1" applyFont="1" applyNumberFormat="1">
      <alignment horizontal="center" vertical="center"/>
    </xf>
    <xf borderId="55" fillId="7" fontId="44" numFmtId="164" xfId="0" applyAlignment="1" applyBorder="1" applyFont="1" applyNumberFormat="1">
      <alignment vertical="center"/>
    </xf>
    <xf borderId="64" fillId="7" fontId="44" numFmtId="164" xfId="0" applyAlignment="1" applyBorder="1" applyFont="1" applyNumberFormat="1">
      <alignment vertical="center"/>
    </xf>
    <xf borderId="66" fillId="6" fontId="65" numFmtId="0" xfId="0" applyAlignment="1" applyBorder="1" applyFont="1">
      <alignment horizontal="right" readingOrder="0" vertical="center"/>
    </xf>
    <xf borderId="13" fillId="6" fontId="65" numFmtId="0" xfId="0" applyAlignment="1" applyBorder="1" applyFont="1">
      <alignment horizontal="right" readingOrder="0" vertical="center"/>
    </xf>
    <xf borderId="11" fillId="6" fontId="65" numFmtId="0" xfId="0" applyAlignment="1" applyBorder="1" applyFont="1">
      <alignment horizontal="right" readingOrder="0" vertical="center"/>
    </xf>
    <xf borderId="9" fillId="14" fontId="44" numFmtId="0" xfId="0" applyAlignment="1" applyBorder="1" applyFont="1">
      <alignment shrinkToFit="0" vertical="center" wrapText="1"/>
    </xf>
    <xf borderId="9" fillId="14" fontId="44" numFmtId="0" xfId="0" applyAlignment="1" applyBorder="1" applyFont="1">
      <alignment shrinkToFit="0" vertical="center" wrapText="1"/>
    </xf>
    <xf borderId="9" fillId="14" fontId="44" numFmtId="0" xfId="0" applyAlignment="1" applyBorder="1" applyFont="1">
      <alignment horizontal="center" vertical="center"/>
    </xf>
    <xf borderId="9" fillId="6" fontId="44" numFmtId="0" xfId="0" applyAlignment="1" applyBorder="1" applyFont="1">
      <alignment vertical="center"/>
    </xf>
    <xf borderId="9" fillId="6" fontId="44" numFmtId="165" xfId="0" applyAlignment="1" applyBorder="1" applyFont="1" applyNumberFormat="1">
      <alignment vertical="center"/>
    </xf>
    <xf borderId="9" fillId="6" fontId="44" numFmtId="0" xfId="0" applyAlignment="1" applyBorder="1" applyFont="1">
      <alignment horizontal="left" shrinkToFit="0" vertical="center" wrapText="1"/>
    </xf>
    <xf borderId="9" fillId="6" fontId="44" numFmtId="166" xfId="0" applyAlignment="1" applyBorder="1" applyFont="1" applyNumberFormat="1">
      <alignment horizontal="center" vertical="center"/>
    </xf>
    <xf borderId="9" fillId="6" fontId="22" numFmtId="164" xfId="0" applyAlignment="1" applyBorder="1" applyFont="1" applyNumberFormat="1">
      <alignment vertical="center"/>
    </xf>
    <xf borderId="12" fillId="6" fontId="22" numFmtId="164" xfId="0" applyAlignment="1" applyBorder="1" applyFont="1" applyNumberFormat="1">
      <alignment vertical="center"/>
    </xf>
    <xf borderId="80" fillId="6" fontId="13" numFmtId="164" xfId="0" applyBorder="1" applyFont="1" applyNumberFormat="1"/>
    <xf borderId="68" fillId="6" fontId="13" numFmtId="0" xfId="0" applyAlignment="1" applyBorder="1" applyFont="1">
      <alignment horizontal="right" readingOrder="0" vertical="center"/>
    </xf>
    <xf borderId="3" fillId="12" fontId="13" numFmtId="0" xfId="0" applyAlignment="1" applyBorder="1" applyFont="1">
      <alignment horizontal="right" readingOrder="0" vertical="center"/>
    </xf>
    <xf borderId="4" fillId="12" fontId="13" numFmtId="0" xfId="0" applyAlignment="1" applyBorder="1" applyFont="1">
      <alignment horizontal="right" readingOrder="0" vertical="center"/>
    </xf>
    <xf borderId="10" fillId="12" fontId="22" numFmtId="164" xfId="0" applyAlignment="1" applyBorder="1" applyFont="1" applyNumberFormat="1">
      <alignment vertical="center"/>
    </xf>
    <xf borderId="2" fillId="12" fontId="22" numFmtId="164" xfId="0" applyAlignment="1" applyBorder="1" applyFont="1" applyNumberFormat="1">
      <alignment vertical="center"/>
    </xf>
    <xf borderId="71" fillId="6" fontId="13" numFmtId="10" xfId="0" applyAlignment="1" applyBorder="1" applyFont="1" applyNumberFormat="1">
      <alignment horizontal="center" vertical="center"/>
    </xf>
    <xf borderId="72" fillId="0" fontId="13" numFmtId="10" xfId="0" applyAlignment="1" applyBorder="1" applyFont="1" applyNumberFormat="1">
      <alignment vertical="center"/>
    </xf>
    <xf borderId="68" fillId="6" fontId="33" numFmtId="0" xfId="0" applyAlignment="1" applyBorder="1" applyFont="1">
      <alignment horizontal="right" readingOrder="0" vertical="center"/>
    </xf>
    <xf borderId="3" fillId="7" fontId="33" numFmtId="0" xfId="0" applyAlignment="1" applyBorder="1" applyFont="1">
      <alignment horizontal="right" readingOrder="0" vertical="center"/>
    </xf>
    <xf borderId="4" fillId="7" fontId="33" numFmtId="0" xfId="0" applyAlignment="1" applyBorder="1" applyFont="1">
      <alignment horizontal="right" readingOrder="0" vertical="center"/>
    </xf>
    <xf borderId="10" fillId="7" fontId="22" numFmtId="164" xfId="0" applyAlignment="1" applyBorder="1" applyFont="1" applyNumberFormat="1">
      <alignment vertical="center"/>
    </xf>
    <xf borderId="2" fillId="7" fontId="22" numFmtId="164" xfId="0" applyAlignment="1" applyBorder="1" applyFont="1" applyNumberFormat="1">
      <alignment vertical="center"/>
    </xf>
    <xf borderId="77" fillId="6" fontId="13" numFmtId="4" xfId="0" applyAlignment="1" applyBorder="1" applyFont="1" applyNumberFormat="1">
      <alignment horizontal="center" vertical="center"/>
    </xf>
    <xf borderId="10" fillId="0" fontId="2" numFmtId="165" xfId="0" applyAlignment="1" applyBorder="1" applyFont="1" applyNumberForma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10" fillId="0" fontId="19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vertical="center"/>
    </xf>
    <xf borderId="10" fillId="7" fontId="2" numFmtId="165" xfId="0" applyAlignment="1" applyBorder="1" applyFont="1" applyNumberFormat="1">
      <alignment vertical="center"/>
    </xf>
    <xf borderId="10" fillId="7" fontId="2" numFmtId="0" xfId="0" applyAlignment="1" applyBorder="1" applyFont="1">
      <alignment horizontal="left" shrinkToFit="0" vertical="center" wrapText="1"/>
    </xf>
    <xf borderId="10" fillId="7" fontId="2" numFmtId="166" xfId="0" applyAlignment="1" applyBorder="1" applyFont="1" applyNumberFormat="1">
      <alignment horizontal="center" vertical="center"/>
    </xf>
    <xf borderId="71" fillId="0" fontId="2" numFmtId="0" xfId="0" applyAlignment="1" applyBorder="1" applyFont="1">
      <alignment vertical="center"/>
    </xf>
    <xf borderId="72" fillId="0" fontId="2" numFmtId="0" xfId="0" applyAlignment="1" applyBorder="1" applyFont="1">
      <alignment vertical="center"/>
    </xf>
    <xf borderId="81" fillId="6" fontId="33" numFmtId="0" xfId="0" applyAlignment="1" applyBorder="1" applyFont="1">
      <alignment horizontal="right" readingOrder="0" vertical="center"/>
    </xf>
    <xf borderId="82" fillId="7" fontId="33" numFmtId="0" xfId="0" applyAlignment="1" applyBorder="1" applyFont="1">
      <alignment horizontal="right" readingOrder="0" vertical="center"/>
    </xf>
    <xf borderId="83" fillId="7" fontId="33" numFmtId="0" xfId="0" applyAlignment="1" applyBorder="1" applyFont="1">
      <alignment horizontal="right" readingOrder="0" vertical="center"/>
    </xf>
    <xf borderId="84" fillId="0" fontId="2" numFmtId="165" xfId="0" applyAlignment="1" applyBorder="1" applyFont="1" applyNumberFormat="1">
      <alignment shrinkToFit="0" vertical="center" wrapText="1"/>
    </xf>
    <xf borderId="84" fillId="0" fontId="2" numFmtId="0" xfId="0" applyAlignment="1" applyBorder="1" applyFont="1">
      <alignment shrinkToFit="0" vertical="center" wrapText="1"/>
    </xf>
    <xf borderId="84" fillId="0" fontId="19" numFmtId="0" xfId="0" applyAlignment="1" applyBorder="1" applyFont="1">
      <alignment shrinkToFit="0" vertical="center" wrapText="1"/>
    </xf>
    <xf borderId="84" fillId="0" fontId="2" numFmtId="0" xfId="0" applyAlignment="1" applyBorder="1" applyFont="1">
      <alignment horizontal="center" vertical="center"/>
    </xf>
    <xf borderId="84" fillId="7" fontId="2" numFmtId="165" xfId="0" applyAlignment="1" applyBorder="1" applyFont="1" applyNumberFormat="1">
      <alignment vertical="center"/>
    </xf>
    <xf borderId="84" fillId="7" fontId="2" numFmtId="0" xfId="0" applyAlignment="1" applyBorder="1" applyFont="1">
      <alignment horizontal="left" shrinkToFit="0" vertical="center" wrapText="1"/>
    </xf>
    <xf borderId="84" fillId="7" fontId="2" numFmtId="166" xfId="0" applyAlignment="1" applyBorder="1" applyFont="1" applyNumberFormat="1">
      <alignment horizontal="center" vertical="center"/>
    </xf>
    <xf borderId="84" fillId="7" fontId="22" numFmtId="164" xfId="0" applyAlignment="1" applyBorder="1" applyFont="1" applyNumberFormat="1">
      <alignment vertical="center"/>
    </xf>
    <xf borderId="85" fillId="7" fontId="22" numFmtId="164" xfId="0" applyAlignment="1" applyBorder="1" applyFont="1" applyNumberFormat="1">
      <alignment vertical="center"/>
    </xf>
    <xf borderId="77" fillId="0" fontId="2" numFmtId="0" xfId="0" applyAlignment="1" applyBorder="1" applyFont="1">
      <alignment vertical="center"/>
    </xf>
    <xf borderId="86" fillId="0" fontId="2" numFmtId="0" xfId="0" applyAlignment="1" applyBorder="1" applyFont="1">
      <alignment vertical="center"/>
    </xf>
    <xf borderId="0" fillId="0" fontId="2" numFmtId="164" xfId="0" applyAlignment="1" applyFont="1" applyNumberFormat="1">
      <alignment vertical="center"/>
    </xf>
    <xf borderId="0" fillId="0" fontId="66" numFmtId="0" xfId="0" applyAlignment="1" applyFont="1">
      <alignment vertical="center"/>
    </xf>
    <xf borderId="0" fillId="0" fontId="59" numFmtId="0" xfId="0" applyAlignment="1" applyFont="1">
      <alignment vertical="center"/>
    </xf>
    <xf borderId="0" fillId="0" fontId="67" numFmtId="164" xfId="0" applyAlignment="1" applyFont="1" applyNumberFormat="1">
      <alignment vertical="center"/>
    </xf>
    <xf borderId="0" fillId="6" fontId="68" numFmtId="0" xfId="0" applyAlignment="1" applyFont="1">
      <alignment vertical="center"/>
    </xf>
    <xf borderId="0" fillId="0" fontId="19" numFmtId="0" xfId="0" applyAlignment="1" applyFont="1">
      <alignment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readingOrder="0" vertical="center"/>
    </xf>
    <xf borderId="0" fillId="6" fontId="59" numFmtId="0" xfId="0" applyAlignment="1" applyFont="1">
      <alignment vertical="center"/>
    </xf>
    <xf borderId="10" fillId="0" fontId="67" numFmtId="164" xfId="0" applyAlignment="1" applyBorder="1" applyFont="1" applyNumberFormat="1">
      <alignment vertical="center"/>
    </xf>
    <xf borderId="50" fillId="0" fontId="13" numFmtId="164" xfId="0" applyAlignment="1" applyBorder="1" applyFont="1" applyNumberFormat="1">
      <alignment vertical="center"/>
    </xf>
    <xf borderId="0" fillId="14" fontId="2" numFmtId="164" xfId="0" applyAlignment="1" applyFont="1" applyNumberFormat="1">
      <alignment vertical="center"/>
    </xf>
    <xf borderId="0" fillId="6" fontId="19" numFmtId="164" xfId="0" applyAlignment="1" applyFont="1" applyNumberFormat="1">
      <alignment vertical="center"/>
    </xf>
    <xf borderId="0" fillId="6" fontId="59" numFmtId="10" xfId="0" applyAlignment="1" applyFont="1" applyNumberFormat="1">
      <alignment vertical="center"/>
    </xf>
    <xf borderId="0" fillId="6" fontId="59" numFmtId="0" xfId="0" applyAlignment="1" applyFont="1">
      <alignment readingOrder="0" vertical="center"/>
    </xf>
    <xf borderId="0" fillId="0" fontId="69" numFmtId="0" xfId="0" applyAlignment="1" applyFont="1">
      <alignment readingOrder="0" vertical="center"/>
    </xf>
    <xf borderId="10" fillId="6" fontId="59" numFmtId="10" xfId="0" applyAlignment="1" applyBorder="1" applyFont="1" applyNumberFormat="1">
      <alignment vertical="center"/>
    </xf>
    <xf borderId="0" fillId="0" fontId="59" numFmtId="0" xfId="0" applyAlignment="1" applyFont="1">
      <alignment readingOrder="0" vertical="center"/>
    </xf>
    <xf borderId="0" fillId="12" fontId="19" numFmtId="164" xfId="0" applyAlignment="1" applyFont="1" applyNumberFormat="1">
      <alignment vertical="center"/>
    </xf>
    <xf borderId="0" fillId="7" fontId="2" numFmtId="164" xfId="0" applyFont="1" applyNumberFormat="1"/>
    <xf borderId="0" fillId="0" fontId="67" numFmtId="0" xfId="0" applyAlignment="1" applyFont="1">
      <alignment vertical="center"/>
    </xf>
    <xf borderId="10" fillId="6" fontId="6" numFmtId="10" xfId="0" applyAlignment="1" applyBorder="1" applyFont="1" applyNumberFormat="1">
      <alignment vertical="center"/>
    </xf>
    <xf borderId="0" fillId="0" fontId="67" numFmtId="0" xfId="0" applyAlignment="1" applyFont="1">
      <alignment readingOrder="0" vertical="center"/>
    </xf>
    <xf borderId="0" fillId="6" fontId="2" numFmtId="10" xfId="0" applyAlignment="1" applyFont="1" applyNumberFormat="1">
      <alignment vertical="center"/>
    </xf>
    <xf borderId="0" fillId="0" fontId="69" numFmtId="0" xfId="0" applyFont="1"/>
    <xf borderId="0" fillId="0" fontId="69" numFmtId="0" xfId="0" applyAlignment="1" applyFont="1">
      <alignment shrinkToFit="0" wrapText="1"/>
    </xf>
    <xf borderId="0" fillId="3" fontId="5" numFmtId="0" xfId="0" applyAlignment="1" applyFont="1">
      <alignment horizontal="center" readingOrder="0" vertical="center"/>
    </xf>
    <xf borderId="87" fillId="3" fontId="30" numFmtId="0" xfId="0" applyAlignment="1" applyBorder="1" applyFont="1">
      <alignment horizontal="center" readingOrder="0" shrinkToFit="0" vertical="center" wrapText="0"/>
    </xf>
    <xf borderId="88" fillId="0" fontId="4" numFmtId="0" xfId="0" applyBorder="1" applyFont="1"/>
    <xf borderId="89" fillId="3" fontId="30" numFmtId="0" xfId="0" applyAlignment="1" applyBorder="1" applyFont="1">
      <alignment readingOrder="0" shrinkToFit="0" vertical="center" wrapText="1"/>
    </xf>
    <xf borderId="89" fillId="3" fontId="30" numFmtId="0" xfId="0" applyAlignment="1" applyBorder="1" applyFont="1">
      <alignment horizontal="center" readingOrder="0" shrinkToFit="0" vertical="center" wrapText="1"/>
    </xf>
    <xf borderId="90" fillId="3" fontId="30" numFmtId="0" xfId="0" applyAlignment="1" applyBorder="1" applyFont="1">
      <alignment horizontal="center" readingOrder="0" shrinkToFit="0" vertical="center" wrapText="1"/>
    </xf>
    <xf borderId="91" fillId="0" fontId="4" numFmtId="0" xfId="0" applyBorder="1" applyFont="1"/>
    <xf borderId="89" fillId="3" fontId="30" numFmtId="0" xfId="0" applyAlignment="1" applyBorder="1" applyFont="1">
      <alignment horizontal="center" readingOrder="0" vertical="center"/>
    </xf>
    <xf borderId="87" fillId="3" fontId="30" numFmtId="0" xfId="0" applyAlignment="1" applyBorder="1" applyFont="1">
      <alignment horizontal="center" readingOrder="0" shrinkToFit="0" wrapText="0"/>
    </xf>
    <xf borderId="90" fillId="0" fontId="4" numFmtId="0" xfId="0" applyBorder="1" applyFont="1"/>
    <xf borderId="89" fillId="0" fontId="4" numFmtId="0" xfId="0" applyBorder="1" applyFont="1"/>
    <xf borderId="33" fillId="3" fontId="30" numFmtId="0" xfId="0" applyAlignment="1" applyBorder="1" applyFont="1">
      <alignment horizontal="center" readingOrder="0" shrinkToFit="0" vertical="center" wrapText="1"/>
    </xf>
    <xf borderId="33" fillId="3" fontId="30" numFmtId="0" xfId="0" applyAlignment="1" applyBorder="1" applyFont="1">
      <alignment horizontal="center" readingOrder="0" shrinkToFit="0" wrapText="0"/>
    </xf>
    <xf borderId="33" fillId="17" fontId="30" numFmtId="0" xfId="0" applyAlignment="1" applyBorder="1" applyFill="1" applyFont="1">
      <alignment horizontal="center" readingOrder="0" shrinkToFit="0" wrapText="0"/>
    </xf>
    <xf borderId="10" fillId="0" fontId="31" numFmtId="0" xfId="0" applyAlignment="1" applyBorder="1" applyFont="1">
      <alignment horizontal="center" vertical="center"/>
    </xf>
    <xf borderId="10" fillId="0" fontId="31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/>
    </xf>
    <xf borderId="10" fillId="0" fontId="11" numFmtId="3" xfId="0" applyBorder="1" applyFont="1" applyNumberFormat="1"/>
    <xf borderId="10" fillId="0" fontId="32" numFmtId="0" xfId="0" applyAlignment="1" applyBorder="1" applyFont="1">
      <alignment horizontal="center" vertical="center"/>
    </xf>
    <xf borderId="10" fillId="0" fontId="2" numFmtId="0" xfId="0" applyAlignment="1" applyBorder="1" applyFont="1">
      <alignment shrinkToFit="0" wrapText="1"/>
    </xf>
    <xf borderId="10" fillId="0" fontId="17" numFmtId="0" xfId="0" applyAlignment="1" applyBorder="1" applyFont="1">
      <alignment horizontal="center" readingOrder="0" shrinkToFit="0" vertical="bottom" wrapText="0"/>
    </xf>
    <xf borderId="10" fillId="0" fontId="17" numFmtId="0" xfId="0" applyAlignment="1" applyBorder="1" applyFont="1">
      <alignment readingOrder="0" shrinkToFit="0" vertical="bottom" wrapText="1"/>
    </xf>
    <xf borderId="10" fillId="0" fontId="17" numFmtId="3" xfId="0" applyAlignment="1" applyBorder="1" applyFont="1" applyNumberFormat="1">
      <alignment horizontal="right" readingOrder="0" shrinkToFit="0" vertical="bottom" wrapText="0"/>
    </xf>
    <xf borderId="10" fillId="0" fontId="13" numFmtId="0" xfId="0" applyAlignment="1" applyBorder="1" applyFont="1">
      <alignment shrinkToFit="0" wrapText="1"/>
    </xf>
    <xf borderId="10" fillId="0" fontId="20" numFmtId="0" xfId="0" applyAlignment="1" applyBorder="1" applyFont="1">
      <alignment shrinkToFit="0" wrapText="1"/>
    </xf>
    <xf borderId="0" fillId="0" fontId="20" numFmtId="0" xfId="0" applyFont="1"/>
    <xf borderId="10" fillId="6" fontId="33" numFmtId="0" xfId="0" applyAlignment="1" applyBorder="1" applyFont="1">
      <alignment horizontal="left" readingOrder="0" vertical="center"/>
    </xf>
    <xf borderId="10" fillId="0" fontId="12" numFmtId="0" xfId="0" applyAlignment="1" applyBorder="1" applyFont="1">
      <alignment readingOrder="0" shrinkToFit="0" vertical="bottom" wrapText="1"/>
    </xf>
    <xf borderId="10" fillId="0" fontId="17" numFmtId="3" xfId="0" applyAlignment="1" applyBorder="1" applyFont="1" applyNumberFormat="1">
      <alignment shrinkToFit="0" vertical="bottom" wrapText="0"/>
    </xf>
    <xf borderId="10" fillId="13" fontId="32" numFmtId="0" xfId="0" applyAlignment="1" applyBorder="1" applyFont="1">
      <alignment horizontal="center" vertical="center"/>
    </xf>
    <xf borderId="10" fillId="0" fontId="69" numFmtId="0" xfId="0" applyAlignment="1" applyBorder="1" applyFont="1">
      <alignment shrinkToFit="0" wrapText="1"/>
    </xf>
    <xf borderId="10" fillId="6" fontId="32" numFmtId="0" xfId="0" applyAlignment="1" applyBorder="1" applyFont="1">
      <alignment horizontal="center" vertical="center"/>
    </xf>
    <xf borderId="10" fillId="6" fontId="14" numFmtId="0" xfId="0" applyAlignment="1" applyBorder="1" applyFont="1">
      <alignment readingOrder="0" shrinkToFit="0" vertical="bottom" wrapText="1"/>
    </xf>
    <xf borderId="10" fillId="10" fontId="2" numFmtId="0" xfId="0" applyBorder="1" applyFont="1"/>
    <xf borderId="10" fillId="13" fontId="13" numFmtId="0" xfId="0" applyAlignment="1" applyBorder="1" applyFont="1">
      <alignment horizontal="center" vertical="center"/>
    </xf>
    <xf borderId="10" fillId="13" fontId="33" numFmtId="0" xfId="0" applyAlignment="1" applyBorder="1" applyFont="1">
      <alignment horizontal="center" vertical="top"/>
    </xf>
    <xf borderId="10" fillId="10" fontId="70" numFmtId="0" xfId="0" applyAlignment="1" applyBorder="1" applyFont="1">
      <alignment shrinkToFit="0" wrapText="1"/>
    </xf>
    <xf borderId="10" fillId="13" fontId="33" numFmtId="0" xfId="0" applyAlignment="1" applyBorder="1" applyFont="1">
      <alignment horizontal="center" vertical="center"/>
    </xf>
    <xf borderId="10" fillId="10" fontId="69" numFmtId="0" xfId="0" applyAlignment="1" applyBorder="1" applyFont="1">
      <alignment shrinkToFit="0" wrapText="1"/>
    </xf>
    <xf borderId="10" fillId="14" fontId="32" numFmtId="0" xfId="0" applyAlignment="1" applyBorder="1" applyFont="1">
      <alignment horizontal="center" vertical="center"/>
    </xf>
    <xf borderId="10" fillId="14" fontId="13" numFmtId="0" xfId="0" applyAlignment="1" applyBorder="1" applyFont="1">
      <alignment horizontal="center" vertical="center"/>
    </xf>
    <xf borderId="10" fillId="0" fontId="32" numFmtId="0" xfId="0" applyAlignment="1" applyBorder="1" applyFont="1">
      <alignment horizontal="center" readingOrder="0" vertical="center"/>
    </xf>
    <xf borderId="10" fillId="0" fontId="13" numFmtId="3" xfId="0" applyAlignment="1" applyBorder="1" applyFont="1" applyNumberFormat="1">
      <alignment readingOrder="0"/>
    </xf>
    <xf borderId="10" fillId="15" fontId="20" numFmtId="3" xfId="0" applyAlignment="1" applyBorder="1" applyFont="1" applyNumberFormat="1">
      <alignment readingOrder="0"/>
    </xf>
    <xf borderId="10" fillId="13" fontId="14" numFmtId="0" xfId="0" applyAlignment="1" applyBorder="1" applyFont="1">
      <alignment horizontal="center" vertical="center"/>
    </xf>
    <xf borderId="10" fillId="10" fontId="14" numFmtId="0" xfId="0" applyAlignment="1" applyBorder="1" applyFont="1">
      <alignment readingOrder="0" shrinkToFit="0" vertical="bottom" wrapText="1"/>
    </xf>
    <xf borderId="10" fillId="0" fontId="13" numFmtId="0" xfId="0" applyAlignment="1" applyBorder="1" applyFont="1">
      <alignment horizontal="center" readingOrder="0" vertical="center"/>
    </xf>
    <xf borderId="10" fillId="10" fontId="13" numFmtId="0" xfId="0" applyAlignment="1" applyBorder="1" applyFont="1">
      <alignment readingOrder="0" shrinkToFit="0" vertical="center" wrapText="1"/>
    </xf>
    <xf borderId="10" fillId="10" fontId="14" numFmtId="0" xfId="0" applyAlignment="1" applyBorder="1" applyFont="1">
      <alignment readingOrder="0" shrinkToFit="0" vertical="center" wrapText="1"/>
    </xf>
    <xf borderId="10" fillId="10" fontId="13" numFmtId="0" xfId="0" applyAlignment="1" applyBorder="1" applyFont="1">
      <alignment shrinkToFit="0" vertical="center" wrapText="1"/>
    </xf>
    <xf borderId="10" fillId="13" fontId="33" numFmtId="0" xfId="0" applyAlignment="1" applyBorder="1" applyFont="1">
      <alignment horizontal="left" readingOrder="0" vertical="center"/>
    </xf>
    <xf borderId="10" fillId="5" fontId="33" numFmtId="0" xfId="0" applyAlignment="1" applyBorder="1" applyFont="1">
      <alignment horizontal="left" readingOrder="0" vertical="center"/>
    </xf>
    <xf borderId="10" fillId="18" fontId="14" numFmtId="0" xfId="0" applyAlignment="1" applyBorder="1" applyFill="1" applyFont="1">
      <alignment readingOrder="0" shrinkToFit="0" vertical="bottom" wrapText="1"/>
    </xf>
    <xf borderId="10" fillId="6" fontId="32" numFmtId="0" xfId="0" applyAlignment="1" applyBorder="1" applyFont="1">
      <alignment horizontal="center" readingOrder="0" vertical="center"/>
    </xf>
    <xf borderId="10" fillId="6" fontId="59" numFmtId="0" xfId="0" applyAlignment="1" applyBorder="1" applyFont="1">
      <alignment horizontal="center" vertical="center"/>
    </xf>
    <xf borderId="10" fillId="13" fontId="59" numFmtId="0" xfId="0" applyAlignment="1" applyBorder="1" applyFont="1">
      <alignment horizontal="center" vertical="top"/>
    </xf>
    <xf borderId="10" fillId="13" fontId="59" numFmtId="0" xfId="0" applyAlignment="1" applyBorder="1" applyFont="1">
      <alignment horizontal="center" vertical="center"/>
    </xf>
    <xf borderId="10" fillId="14" fontId="59" numFmtId="0" xfId="0" applyAlignment="1" applyBorder="1" applyFont="1">
      <alignment horizontal="center" vertical="center"/>
    </xf>
    <xf borderId="10" fillId="0" fontId="59" numFmtId="0" xfId="0" applyAlignment="1" applyBorder="1" applyFont="1">
      <alignment horizontal="center" vertical="center"/>
    </xf>
    <xf borderId="2" fillId="0" fontId="32" numFmtId="0" xfId="0" applyAlignment="1" applyBorder="1" applyFont="1">
      <alignment horizontal="center" readingOrder="0" vertical="center"/>
    </xf>
    <xf borderId="2" fillId="0" fontId="13" numFmtId="0" xfId="0" applyAlignment="1" applyBorder="1" applyFont="1">
      <alignment horizontal="center" vertical="center"/>
    </xf>
    <xf borderId="10" fillId="13" fontId="17" numFmtId="0" xfId="0" applyAlignment="1" applyBorder="1" applyFont="1">
      <alignment horizontal="center" shrinkToFit="0" wrapText="0"/>
    </xf>
    <xf borderId="0" fillId="10" fontId="2" numFmtId="0" xfId="0" applyAlignment="1" applyFont="1">
      <alignment readingOrder="0"/>
    </xf>
    <xf borderId="10" fillId="0" fontId="16" numFmtId="3" xfId="0" applyAlignment="1" applyBorder="1" applyFont="1" applyNumberFormat="1">
      <alignment shrinkToFit="0" vertical="bottom" wrapText="0"/>
    </xf>
    <xf borderId="10" fillId="5" fontId="31" numFmtId="0" xfId="0" applyAlignment="1" applyBorder="1" applyFont="1">
      <alignment horizontal="center" vertical="center"/>
    </xf>
    <xf borderId="10" fillId="5" fontId="32" numFmtId="0" xfId="0" applyAlignment="1" applyBorder="1" applyFont="1">
      <alignment horizontal="center" readingOrder="0" vertical="center"/>
    </xf>
    <xf borderId="1" fillId="0" fontId="32" numFmtId="0" xfId="0" applyAlignment="1" applyBorder="1" applyFont="1">
      <alignment horizontal="center" readingOrder="0" vertical="center"/>
    </xf>
    <xf borderId="39" fillId="7" fontId="32" numFmtId="0" xfId="0" applyAlignment="1" applyBorder="1" applyFont="1">
      <alignment horizontal="left" vertical="center"/>
    </xf>
    <xf borderId="40" fillId="0" fontId="24" numFmtId="0" xfId="0" applyAlignment="1" applyBorder="1" applyFont="1">
      <alignment vertical="center"/>
    </xf>
    <xf borderId="2" fillId="6" fontId="62" numFmtId="0" xfId="0" applyAlignment="1" applyBorder="1" applyFont="1">
      <alignment horizontal="center" readingOrder="0" vertical="center"/>
    </xf>
    <xf borderId="10" fillId="0" fontId="69" numFmtId="0" xfId="0" applyBorder="1" applyFont="1"/>
    <xf borderId="2" fillId="5" fontId="62" numFmtId="0" xfId="0" applyAlignment="1" applyBorder="1" applyFont="1">
      <alignment horizontal="center" readingOrder="0" vertical="center"/>
    </xf>
    <xf borderId="0" fillId="0" fontId="2" numFmtId="3" xfId="0" applyAlignment="1" applyFont="1" applyNumberFormat="1">
      <alignment readingOrder="0"/>
    </xf>
    <xf borderId="10" fillId="0" fontId="27" numFmtId="0" xfId="0" applyAlignment="1" applyBorder="1" applyFont="1">
      <alignment vertical="center"/>
    </xf>
    <xf borderId="0" fillId="0" fontId="71" numFmtId="0" xfId="0" applyAlignment="1" applyFont="1">
      <alignment horizontal="center" readingOrder="0"/>
    </xf>
    <xf borderId="1" fillId="19" fontId="71" numFmtId="0" xfId="0" applyAlignment="1" applyBorder="1" applyFill="1" applyFont="1">
      <alignment horizontal="center" readingOrder="0"/>
    </xf>
    <xf borderId="39" fillId="19" fontId="71" numFmtId="0" xfId="0" applyAlignment="1" applyBorder="1" applyFont="1">
      <alignment horizontal="center" readingOrder="0"/>
    </xf>
    <xf borderId="92" fillId="0" fontId="4" numFmtId="0" xfId="0" applyBorder="1" applyFont="1"/>
    <xf borderId="40" fillId="0" fontId="4" numFmtId="0" xfId="0" applyBorder="1" applyFont="1"/>
    <xf borderId="1" fillId="0" fontId="72" numFmtId="0" xfId="0" applyAlignment="1" applyBorder="1" applyFont="1">
      <alignment horizontal="center" readingOrder="0" shrinkToFit="0" vertical="center" wrapText="1"/>
    </xf>
    <xf borderId="1" fillId="0" fontId="51" numFmtId="0" xfId="0" applyAlignment="1" applyBorder="1" applyFont="1">
      <alignment horizontal="center" readingOrder="0"/>
    </xf>
    <xf borderId="1" fillId="0" fontId="0" numFmtId="0" xfId="0" applyAlignment="1" applyBorder="1" applyFont="1">
      <alignment readingOrder="0" shrinkToFit="0" wrapText="1"/>
    </xf>
    <xf borderId="1" fillId="0" fontId="51" numFmtId="3" xfId="0" applyAlignment="1" applyBorder="1" applyFont="1" applyNumberFormat="1">
      <alignment horizontal="center" readingOrder="0"/>
    </xf>
    <xf borderId="1" fillId="20" fontId="72" numFmtId="9" xfId="0" applyAlignment="1" applyBorder="1" applyFill="1" applyFont="1" applyNumberFormat="1">
      <alignment horizontal="center" readingOrder="0"/>
    </xf>
    <xf borderId="1" fillId="0" fontId="0" numFmtId="0" xfId="0" applyBorder="1" applyFont="1"/>
    <xf borderId="1" fillId="21" fontId="0" numFmtId="0" xfId="0" applyBorder="1" applyFill="1" applyFont="1"/>
    <xf borderId="0" fillId="21" fontId="0" numFmtId="0" xfId="0" applyFont="1"/>
    <xf borderId="1" fillId="0" fontId="51" numFmtId="0" xfId="0" applyAlignment="1" applyBorder="1" applyFont="1">
      <alignment horizontal="left" readingOrder="0" shrinkToFit="0" wrapText="1"/>
    </xf>
    <xf borderId="1" fillId="0" fontId="51" numFmtId="0" xfId="0" applyAlignment="1" applyBorder="1" applyFont="1">
      <alignment horizontal="center" readingOrder="0" vertical="top"/>
    </xf>
    <xf borderId="0" fillId="0" fontId="0" numFmtId="0" xfId="0" applyFont="1"/>
    <xf borderId="39" fillId="0" fontId="72" numFmtId="0" xfId="0" applyAlignment="1" applyBorder="1" applyFont="1">
      <alignment horizontal="center" readingOrder="0"/>
    </xf>
    <xf borderId="1" fillId="0" fontId="72" numFmtId="3" xfId="0" applyAlignment="1" applyBorder="1" applyFont="1" applyNumberFormat="1">
      <alignment horizontal="center" readingOrder="0"/>
    </xf>
    <xf borderId="39" fillId="3" fontId="2" numFmtId="0" xfId="0" applyAlignment="1" applyBorder="1" applyFont="1">
      <alignment horizontal="center" readingOrder="0" vertical="center"/>
    </xf>
    <xf borderId="93" fillId="3" fontId="7" numFmtId="0" xfId="0" applyAlignment="1" applyBorder="1" applyFont="1">
      <alignment shrinkToFit="0" vertical="center" wrapText="1"/>
    </xf>
    <xf borderId="94" fillId="3" fontId="7" numFmtId="0" xfId="0" applyAlignment="1" applyBorder="1" applyFont="1">
      <alignment horizontal="center" shrinkToFit="0" vertical="center" wrapText="1"/>
    </xf>
    <xf borderId="95" fillId="3" fontId="7" numFmtId="0" xfId="0" applyAlignment="1" applyBorder="1" applyFont="1">
      <alignment horizontal="center" vertical="center"/>
    </xf>
    <xf borderId="96" fillId="3" fontId="7" numFmtId="0" xfId="0" applyAlignment="1" applyBorder="1" applyFont="1">
      <alignment horizontal="center" vertical="center"/>
    </xf>
    <xf borderId="97" fillId="0" fontId="4" numFmtId="0" xfId="0" applyBorder="1" applyFont="1"/>
    <xf borderId="98" fillId="0" fontId="4" numFmtId="0" xfId="0" applyBorder="1" applyFont="1"/>
    <xf borderId="27" fillId="3" fontId="7" numFmtId="0" xfId="0" applyAlignment="1" applyBorder="1" applyFont="1">
      <alignment horizontal="center" vertical="center"/>
    </xf>
    <xf borderId="23" fillId="3" fontId="7" numFmtId="0" xfId="0" applyAlignment="1" applyBorder="1" applyFont="1">
      <alignment horizontal="center" vertical="center"/>
    </xf>
    <xf borderId="99" fillId="0" fontId="4" numFmtId="0" xfId="0" applyBorder="1" applyFont="1"/>
    <xf borderId="100" fillId="0" fontId="4" numFmtId="0" xfId="0" applyBorder="1" applyFont="1"/>
    <xf borderId="93" fillId="3" fontId="28" numFmtId="0" xfId="0" applyAlignment="1" applyBorder="1" applyFont="1">
      <alignment readingOrder="0" shrinkToFit="0" vertical="center" wrapText="1"/>
    </xf>
    <xf borderId="36" fillId="4" fontId="7" numFmtId="0" xfId="0" applyAlignment="1" applyBorder="1" applyFont="1">
      <alignment horizontal="center" vertical="center"/>
    </xf>
    <xf borderId="31" fillId="3" fontId="7" numFmtId="0" xfId="0" applyAlignment="1" applyBorder="1" applyFont="1">
      <alignment horizontal="center" vertical="center"/>
    </xf>
    <xf borderId="94" fillId="3" fontId="7" numFmtId="0" xfId="0" applyAlignment="1" applyBorder="1" applyFont="1">
      <alignment horizontal="center" vertical="center"/>
    </xf>
    <xf borderId="0" fillId="0" fontId="13" numFmtId="164" xfId="0" applyFont="1" applyNumberFormat="1"/>
    <xf borderId="12" fillId="6" fontId="2" numFmtId="0" xfId="0" applyAlignment="1" applyBorder="1" applyFont="1">
      <alignment horizontal="center" readingOrder="0" vertical="center"/>
    </xf>
    <xf borderId="13" fillId="6" fontId="2" numFmtId="0" xfId="0" applyAlignment="1" applyBorder="1" applyFont="1">
      <alignment horizontal="center" readingOrder="0" vertical="center"/>
    </xf>
    <xf borderId="101" fillId="0" fontId="9" numFmtId="0" xfId="0" applyAlignment="1" applyBorder="1" applyFont="1">
      <alignment horizontal="center" readingOrder="0" shrinkToFit="0" vertical="top" wrapText="0"/>
    </xf>
    <xf borderId="67" fillId="0" fontId="9" numFmtId="0" xfId="0" applyAlignment="1" applyBorder="1" applyFont="1">
      <alignment horizontal="left" readingOrder="0" shrinkToFit="0" vertical="bottom" wrapText="0"/>
    </xf>
    <xf borderId="101" fillId="0" fontId="11" numFmtId="0" xfId="0" applyAlignment="1" applyBorder="1" applyFont="1">
      <alignment horizontal="center" readingOrder="0" shrinkToFit="0" vertical="top" wrapText="0"/>
    </xf>
    <xf borderId="13" fillId="0" fontId="11" numFmtId="0" xfId="0" applyAlignment="1" applyBorder="1" applyFont="1">
      <alignment horizontal="left" readingOrder="0" shrinkToFit="0" vertical="bottom" wrapText="0"/>
    </xf>
    <xf borderId="10" fillId="0" fontId="73" numFmtId="164" xfId="0" applyBorder="1" applyFont="1" applyNumberFormat="1"/>
    <xf borderId="10" fillId="0" fontId="11" numFmtId="0" xfId="0" applyAlignment="1" applyBorder="1" applyFont="1">
      <alignment horizontal="center" readingOrder="0" shrinkToFit="0" vertical="top" wrapText="0"/>
    </xf>
    <xf borderId="10" fillId="0" fontId="13" numFmtId="0" xfId="0" applyAlignment="1" applyBorder="1" applyFont="1">
      <alignment horizontal="center" readingOrder="0" shrinkToFit="0" wrapText="1"/>
    </xf>
    <xf borderId="10" fillId="0" fontId="13" numFmtId="0" xfId="0" applyAlignment="1" applyBorder="1" applyFont="1">
      <alignment readingOrder="0" shrinkToFit="0" wrapText="1"/>
    </xf>
    <xf borderId="10" fillId="0" fontId="13" numFmtId="164" xfId="0" applyAlignment="1" applyBorder="1" applyFont="1" applyNumberFormat="1">
      <alignment horizontal="center" vertical="center"/>
    </xf>
    <xf borderId="10" fillId="11" fontId="13" numFmtId="164" xfId="0" applyAlignment="1" applyBorder="1" applyFont="1" applyNumberFormat="1">
      <alignment horizontal="center" vertical="center"/>
    </xf>
    <xf borderId="50" fillId="0" fontId="13" numFmtId="164" xfId="0" applyBorder="1" applyFont="1" applyNumberFormat="1"/>
    <xf borderId="102" fillId="0" fontId="13" numFmtId="164" xfId="0" applyBorder="1" applyFont="1" applyNumberFormat="1"/>
    <xf borderId="10" fillId="0" fontId="13" numFmtId="0" xfId="0" applyAlignment="1" applyBorder="1" applyFont="1">
      <alignment horizontal="center" shrinkToFit="0" wrapText="1"/>
    </xf>
    <xf borderId="2" fillId="0" fontId="11" numFmtId="0" xfId="0" applyAlignment="1" applyBorder="1" applyFont="1">
      <alignment horizontal="left" readingOrder="0" shrinkToFit="0" vertical="top" wrapText="1"/>
    </xf>
    <xf borderId="10" fillId="0" fontId="73" numFmtId="164" xfId="0" applyAlignment="1" applyBorder="1" applyFont="1" applyNumberFormat="1">
      <alignment horizontal="center" vertical="center"/>
    </xf>
    <xf borderId="10" fillId="0" fontId="13" numFmtId="0" xfId="0" applyAlignment="1" applyBorder="1" applyFont="1">
      <alignment shrinkToFit="0" wrapText="1"/>
    </xf>
    <xf borderId="10" fillId="0" fontId="15" numFmtId="0" xfId="0" applyAlignment="1" applyBorder="1" applyFont="1">
      <alignment horizontal="center" readingOrder="0" shrinkToFit="0" vertical="top" wrapText="0"/>
    </xf>
    <xf borderId="2" fillId="0" fontId="15" numFmtId="0" xfId="0" applyAlignment="1" applyBorder="1" applyFont="1">
      <alignment horizontal="left" readingOrder="0" shrinkToFit="0" vertical="top" wrapText="1"/>
    </xf>
    <xf borderId="10" fillId="0" fontId="6" numFmtId="164" xfId="0" applyAlignment="1" applyBorder="1" applyFont="1" applyNumberFormat="1">
      <alignment horizontal="center" vertical="center"/>
    </xf>
    <xf borderId="10" fillId="0" fontId="16" numFmtId="0" xfId="0" applyAlignment="1" applyBorder="1" applyFont="1">
      <alignment horizontal="center" readingOrder="0" shrinkToFit="0" vertical="top" wrapText="0"/>
    </xf>
    <xf borderId="2" fillId="0" fontId="16" numFmtId="0" xfId="0" applyAlignment="1" applyBorder="1" applyFont="1">
      <alignment horizontal="left" readingOrder="0" shrinkToFit="0" vertical="top" wrapText="1"/>
    </xf>
    <xf borderId="10" fillId="5" fontId="13" numFmtId="0" xfId="0" applyAlignment="1" applyBorder="1" applyFont="1">
      <alignment horizontal="center" shrinkToFit="0" wrapText="1"/>
    </xf>
    <xf borderId="10" fillId="5" fontId="13" numFmtId="0" xfId="0" applyAlignment="1" applyBorder="1" applyFont="1">
      <alignment readingOrder="0" shrinkToFit="0" wrapText="1"/>
    </xf>
    <xf borderId="10" fillId="11" fontId="12" numFmtId="164" xfId="0" applyAlignment="1" applyBorder="1" applyFont="1" applyNumberFormat="1">
      <alignment horizontal="center" vertical="center"/>
    </xf>
    <xf borderId="103" fillId="0" fontId="13" numFmtId="164" xfId="0" applyBorder="1" applyFont="1" applyNumberFormat="1"/>
    <xf borderId="10" fillId="5" fontId="13" numFmtId="0" xfId="0" applyAlignment="1" applyBorder="1" applyFont="1">
      <alignment horizontal="center" readingOrder="0" shrinkToFit="0" wrapText="1"/>
    </xf>
    <xf borderId="10" fillId="0" fontId="73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2" fillId="0" fontId="27" numFmtId="0" xfId="0" applyAlignment="1" applyBorder="1" applyFont="1">
      <alignment horizontal="center" vertical="center"/>
    </xf>
    <xf borderId="10" fillId="6" fontId="2" numFmtId="164" xfId="0" applyAlignment="1" applyBorder="1" applyFont="1" applyNumberFormat="1">
      <alignment horizontal="center" vertical="center"/>
    </xf>
    <xf borderId="2" fillId="0" fontId="27" numFmtId="0" xfId="0" applyAlignment="1" applyBorder="1" applyFont="1">
      <alignment horizontal="center" readingOrder="0" vertical="center"/>
    </xf>
    <xf borderId="10" fillId="5" fontId="2" numFmtId="164" xfId="0" applyAlignment="1" applyBorder="1" applyFont="1" applyNumberFormat="1">
      <alignment horizontal="center" vertical="center"/>
    </xf>
    <xf borderId="2" fillId="0" fontId="21" numFmtId="0" xfId="0" applyAlignment="1" applyBorder="1" applyFont="1">
      <alignment horizontal="center" readingOrder="0" shrinkToFit="0" wrapText="0"/>
    </xf>
    <xf borderId="0" fillId="0" fontId="25" numFmtId="0" xfId="0" applyAlignment="1" applyFont="1">
      <alignment horizontal="right" readingOrder="0"/>
    </xf>
    <xf borderId="0" fillId="0" fontId="8" numFmtId="0" xfId="0" applyAlignment="1" applyFont="1">
      <alignment horizontal="center" vertical="center"/>
    </xf>
    <xf borderId="0" fillId="8" fontId="15" numFmtId="0" xfId="0" applyAlignment="1" applyFont="1">
      <alignment horizontal="center" readingOrder="0" shrinkToFit="0" vertical="bottom" wrapText="0"/>
    </xf>
    <xf borderId="0" fillId="9" fontId="15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2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roker%202025_Komersial%20New%20RKAP_BAU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PSD\Dropbox\PC%20(2)\Downloads\IASS_RKAP%202025%20V%207.0_07012025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put COGS 2025_R"/>
      <sheetName val="Input Proker Komersial 2025_R"/>
      <sheetName val="(Revisi) Proker Komersial 2025"/>
      <sheetName val="Input Proker Komersial 2025"/>
      <sheetName val="DE"/>
      <sheetName val="DM"/>
      <sheetName val="BAU"/>
      <sheetName val="New Project"/>
      <sheetName val="Input COGS 2025"/>
      <sheetName val="Summary"/>
      <sheetName val="Co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put IS-23A-24F"/>
      <sheetName val="Input Overhead 2025"/>
      <sheetName val="Input Capex 2025"/>
      <sheetName val="WC Assumption"/>
      <sheetName val="Input Produksi"/>
      <sheetName val="Input SDM"/>
      <sheetName val="IS-M 2025"/>
      <sheetName val="BS-M 2025"/>
      <sheetName val="Input Proker Komersial 2025"/>
      <sheetName val="Input COGS 2025"/>
      <sheetName val="Rencanan Penambahan Pendapatan"/>
      <sheetName val="IS-Compare"/>
      <sheetName val="BS-Compare"/>
      <sheetName val="CF-M 2025"/>
      <sheetName val="DB"/>
      <sheetName val="W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pjj.cgk.gm/" TargetMode="External"/><Relationship Id="rId42" Type="http://schemas.openxmlformats.org/officeDocument/2006/relationships/hyperlink" Target="http://pjj.cgk.d.af/" TargetMode="External"/><Relationship Id="rId41" Type="http://schemas.openxmlformats.org/officeDocument/2006/relationships/hyperlink" Target="http://pjj.cgk.a.am/" TargetMode="External"/><Relationship Id="rId44" Type="http://schemas.openxmlformats.org/officeDocument/2006/relationships/hyperlink" Target="http://pjj.bdo.gm/" TargetMode="External"/><Relationship Id="rId43" Type="http://schemas.openxmlformats.org/officeDocument/2006/relationships/hyperlink" Target="http://pjj.bdo.v.at/" TargetMode="External"/><Relationship Id="rId46" Type="http://schemas.openxmlformats.org/officeDocument/2006/relationships/hyperlink" Target="http://spr.bwx.gm/" TargetMode="External"/><Relationship Id="rId45" Type="http://schemas.openxmlformats.org/officeDocument/2006/relationships/hyperlink" Target="http://pjj.bdo.gm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pjj.btj.gm/" TargetMode="External"/><Relationship Id="rId3" Type="http://schemas.openxmlformats.org/officeDocument/2006/relationships/hyperlink" Target="http://pjj.btj.gm/" TargetMode="External"/><Relationship Id="rId4" Type="http://schemas.openxmlformats.org/officeDocument/2006/relationships/hyperlink" Target="http://pjj.btj.v.at/" TargetMode="External"/><Relationship Id="rId9" Type="http://schemas.openxmlformats.org/officeDocument/2006/relationships/hyperlink" Target="http://pjj.bks.gm/" TargetMode="External"/><Relationship Id="rId48" Type="http://schemas.openxmlformats.org/officeDocument/2006/relationships/hyperlink" Target="http://spr.bwx.gm/" TargetMode="External"/><Relationship Id="rId47" Type="http://schemas.openxmlformats.org/officeDocument/2006/relationships/hyperlink" Target="http://spr.bwx.gm/" TargetMode="External"/><Relationship Id="rId49" Type="http://schemas.openxmlformats.org/officeDocument/2006/relationships/hyperlink" Target="http://spk.bwx.gm/" TargetMode="External"/><Relationship Id="rId5" Type="http://schemas.openxmlformats.org/officeDocument/2006/relationships/hyperlink" Target="http://pjj.btj.gm/" TargetMode="External"/><Relationship Id="rId6" Type="http://schemas.openxmlformats.org/officeDocument/2006/relationships/hyperlink" Target="http://pjj.btj.gm/" TargetMode="External"/><Relationship Id="rId7" Type="http://schemas.openxmlformats.org/officeDocument/2006/relationships/hyperlink" Target="http://pjj.dtb.gm/" TargetMode="External"/><Relationship Id="rId8" Type="http://schemas.openxmlformats.org/officeDocument/2006/relationships/hyperlink" Target="http://pjj.dtb.gm/" TargetMode="External"/><Relationship Id="rId31" Type="http://schemas.openxmlformats.org/officeDocument/2006/relationships/hyperlink" Target="http://pjj.tjq.gm/" TargetMode="External"/><Relationship Id="rId30" Type="http://schemas.openxmlformats.org/officeDocument/2006/relationships/hyperlink" Target="http://pjj.tjq.gm/" TargetMode="External"/><Relationship Id="rId33" Type="http://schemas.openxmlformats.org/officeDocument/2006/relationships/hyperlink" Target="http://pjj.cgk.gm/" TargetMode="External"/><Relationship Id="rId32" Type="http://schemas.openxmlformats.org/officeDocument/2006/relationships/hyperlink" Target="http://pjj.cgk.gm/" TargetMode="External"/><Relationship Id="rId35" Type="http://schemas.openxmlformats.org/officeDocument/2006/relationships/hyperlink" Target="http://pjj.cgk.gm/" TargetMode="External"/><Relationship Id="rId34" Type="http://schemas.openxmlformats.org/officeDocument/2006/relationships/hyperlink" Target="http://pjj.ccgk.gm/" TargetMode="External"/><Relationship Id="rId37" Type="http://schemas.openxmlformats.org/officeDocument/2006/relationships/hyperlink" Target="http://pjj.cgk.gm/" TargetMode="External"/><Relationship Id="rId36" Type="http://schemas.openxmlformats.org/officeDocument/2006/relationships/hyperlink" Target="http://pjj.cgk.gm/" TargetMode="External"/><Relationship Id="rId39" Type="http://schemas.openxmlformats.org/officeDocument/2006/relationships/hyperlink" Target="http://pjj.cgk.gm/" TargetMode="External"/><Relationship Id="rId38" Type="http://schemas.openxmlformats.org/officeDocument/2006/relationships/hyperlink" Target="http://pjj.cgk.gm/" TargetMode="External"/><Relationship Id="rId20" Type="http://schemas.openxmlformats.org/officeDocument/2006/relationships/hyperlink" Target="http://pjj.tkd.gm/" TargetMode="External"/><Relationship Id="rId22" Type="http://schemas.openxmlformats.org/officeDocument/2006/relationships/hyperlink" Target="http://pjj.pgk.gm/" TargetMode="External"/><Relationship Id="rId21" Type="http://schemas.openxmlformats.org/officeDocument/2006/relationships/hyperlink" Target="http://pjj.pgk.gm/" TargetMode="External"/><Relationship Id="rId24" Type="http://schemas.openxmlformats.org/officeDocument/2006/relationships/hyperlink" Target="http://pjj.pgk.gm/" TargetMode="External"/><Relationship Id="rId23" Type="http://schemas.openxmlformats.org/officeDocument/2006/relationships/hyperlink" Target="http://pjj.pgk.gm/" TargetMode="External"/><Relationship Id="rId60" Type="http://schemas.openxmlformats.org/officeDocument/2006/relationships/vmlDrawing" Target="../drawings/vmlDrawing2.vml"/><Relationship Id="rId26" Type="http://schemas.openxmlformats.org/officeDocument/2006/relationships/hyperlink" Target="http://pjj.pgk.gm/" TargetMode="External"/><Relationship Id="rId25" Type="http://schemas.openxmlformats.org/officeDocument/2006/relationships/hyperlink" Target="http://pjj.pgk.gm/" TargetMode="External"/><Relationship Id="rId28" Type="http://schemas.openxmlformats.org/officeDocument/2006/relationships/hyperlink" Target="http://pjj.pgk.gm/" TargetMode="External"/><Relationship Id="rId27" Type="http://schemas.openxmlformats.org/officeDocument/2006/relationships/hyperlink" Target="http://pjj.pgk.gm/" TargetMode="External"/><Relationship Id="rId29" Type="http://schemas.openxmlformats.org/officeDocument/2006/relationships/hyperlink" Target="http://pjj.pgk.v.at/" TargetMode="External"/><Relationship Id="rId51" Type="http://schemas.openxmlformats.org/officeDocument/2006/relationships/hyperlink" Target="http://pjj.bwx.gm/" TargetMode="External"/><Relationship Id="rId50" Type="http://schemas.openxmlformats.org/officeDocument/2006/relationships/hyperlink" Target="http://spr.bwx.gm/" TargetMode="External"/><Relationship Id="rId53" Type="http://schemas.openxmlformats.org/officeDocument/2006/relationships/hyperlink" Target="http://pjj.pnk.gm/" TargetMode="External"/><Relationship Id="rId52" Type="http://schemas.openxmlformats.org/officeDocument/2006/relationships/hyperlink" Target="http://sp.1.hk/" TargetMode="External"/><Relationship Id="rId11" Type="http://schemas.openxmlformats.org/officeDocument/2006/relationships/hyperlink" Target="http://pjj.tnj.gm/" TargetMode="External"/><Relationship Id="rId55" Type="http://schemas.openxmlformats.org/officeDocument/2006/relationships/hyperlink" Target="http://pjj.pnk.gm/" TargetMode="External"/><Relationship Id="rId10" Type="http://schemas.openxmlformats.org/officeDocument/2006/relationships/hyperlink" Target="http://pjj.bks.gm/" TargetMode="External"/><Relationship Id="rId54" Type="http://schemas.openxmlformats.org/officeDocument/2006/relationships/hyperlink" Target="http://pjj.pnk.gm/" TargetMode="External"/><Relationship Id="rId13" Type="http://schemas.openxmlformats.org/officeDocument/2006/relationships/hyperlink" Target="http://pjj.tnj.gm/" TargetMode="External"/><Relationship Id="rId57" Type="http://schemas.openxmlformats.org/officeDocument/2006/relationships/hyperlink" Target="http://pjj.pky.gm/" TargetMode="External"/><Relationship Id="rId12" Type="http://schemas.openxmlformats.org/officeDocument/2006/relationships/hyperlink" Target="http://pjj.tnj.gm/" TargetMode="External"/><Relationship Id="rId56" Type="http://schemas.openxmlformats.org/officeDocument/2006/relationships/hyperlink" Target="http://pjj.pky.gm/" TargetMode="External"/><Relationship Id="rId15" Type="http://schemas.openxmlformats.org/officeDocument/2006/relationships/hyperlink" Target="http://pjj.tnj.gm/" TargetMode="External"/><Relationship Id="rId59" Type="http://schemas.openxmlformats.org/officeDocument/2006/relationships/drawing" Target="../drawings/drawing4.xml"/><Relationship Id="rId14" Type="http://schemas.openxmlformats.org/officeDocument/2006/relationships/hyperlink" Target="http://pjj.tnj.gm/" TargetMode="External"/><Relationship Id="rId58" Type="http://schemas.openxmlformats.org/officeDocument/2006/relationships/hyperlink" Target="http://pjj.pky.gm/" TargetMode="External"/><Relationship Id="rId17" Type="http://schemas.openxmlformats.org/officeDocument/2006/relationships/hyperlink" Target="http://pjj.djb.gm/" TargetMode="External"/><Relationship Id="rId16" Type="http://schemas.openxmlformats.org/officeDocument/2006/relationships/hyperlink" Target="http://pjj.djb.gm/" TargetMode="External"/><Relationship Id="rId19" Type="http://schemas.openxmlformats.org/officeDocument/2006/relationships/hyperlink" Target="http://pjj.tkg.gm/" TargetMode="External"/><Relationship Id="rId18" Type="http://schemas.openxmlformats.org/officeDocument/2006/relationships/hyperlink" Target="http://pjj.tkg.g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8.0" ySplit="7.0" topLeftCell="I8" activePane="bottomRight" state="frozen"/>
      <selection activeCell="I1" sqref="I1" pane="topRight"/>
      <selection activeCell="A8" sqref="A8" pane="bottomLeft"/>
      <selection activeCell="I8" sqref="I8" pane="bottomRight"/>
    </sheetView>
  </sheetViews>
  <sheetFormatPr customHeight="1" defaultColWidth="14.43" defaultRowHeight="15.0"/>
  <cols>
    <col customWidth="1" min="1" max="1" width="6.0"/>
    <col customWidth="1" min="2" max="2" width="46.14"/>
    <col customWidth="1" min="3" max="3" width="6.57"/>
    <col customWidth="1" min="4" max="4" width="4.43"/>
    <col customWidth="1" min="5" max="5" width="6.71"/>
    <col customWidth="1" min="6" max="6" width="11.43"/>
    <col customWidth="1" min="7" max="7" width="10.0"/>
    <col customWidth="1" min="8" max="8" width="10.57"/>
    <col customWidth="1" min="9" max="9" width="9.86"/>
    <col customWidth="1" min="10" max="10" width="12.57"/>
    <col customWidth="1" min="11" max="13" width="10.43"/>
    <col customWidth="1" min="14" max="14" width="9.29"/>
    <col customWidth="1" min="15" max="15" width="9.14"/>
    <col customWidth="1" min="16" max="16" width="9.43"/>
    <col customWidth="1" min="17" max="17" width="8.86"/>
    <col customWidth="1" min="18" max="18" width="9.14"/>
    <col customWidth="1" min="19" max="22" width="8.86"/>
    <col customWidth="1" min="23" max="26" width="9.29"/>
    <col customWidth="1" min="27" max="30" width="9.14"/>
    <col customWidth="1" min="31" max="34" width="8.86"/>
    <col customWidth="1" min="35" max="38" width="9.0"/>
    <col customWidth="1" min="39" max="42" width="8.86"/>
    <col customWidth="1" min="43" max="46" width="9.14"/>
    <col customWidth="1" min="47" max="54" width="8.86"/>
    <col customWidth="1" min="55" max="58" width="9.14"/>
    <col customWidth="1" min="59" max="62" width="10.86"/>
    <col customWidth="1" min="63" max="63" width="8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1</v>
      </c>
      <c r="B4" s="4" t="s">
        <v>2</v>
      </c>
      <c r="C4" s="5" t="s">
        <v>3</v>
      </c>
      <c r="D4" s="6"/>
      <c r="E4" s="6"/>
      <c r="F4" s="6"/>
      <c r="G4" s="6"/>
      <c r="H4" s="7"/>
      <c r="I4" s="8" t="s">
        <v>4</v>
      </c>
      <c r="J4" s="6"/>
      <c r="K4" s="6"/>
      <c r="L4" s="6"/>
      <c r="M4" s="7"/>
      <c r="N4" s="9" t="s">
        <v>3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7"/>
    </row>
    <row r="5">
      <c r="A5" s="10"/>
      <c r="B5" s="10"/>
      <c r="C5" s="11" t="s">
        <v>5</v>
      </c>
      <c r="D5" s="6"/>
      <c r="E5" s="7"/>
      <c r="F5" s="11" t="s">
        <v>6</v>
      </c>
      <c r="G5" s="6"/>
      <c r="H5" s="7"/>
      <c r="I5" s="12" t="s">
        <v>7</v>
      </c>
      <c r="J5" s="12" t="s">
        <v>8</v>
      </c>
      <c r="K5" s="12" t="s">
        <v>9</v>
      </c>
      <c r="L5" s="13" t="s">
        <v>10</v>
      </c>
      <c r="M5" s="7"/>
      <c r="N5" s="14" t="s">
        <v>11</v>
      </c>
      <c r="Q5" s="15"/>
      <c r="R5" s="16" t="s">
        <v>12</v>
      </c>
      <c r="U5" s="15"/>
      <c r="V5" s="16" t="s">
        <v>13</v>
      </c>
      <c r="Y5" s="15"/>
      <c r="Z5" s="16" t="s">
        <v>14</v>
      </c>
      <c r="AC5" s="15"/>
      <c r="AD5" s="16" t="s">
        <v>15</v>
      </c>
      <c r="AG5" s="15"/>
      <c r="AH5" s="16" t="s">
        <v>16</v>
      </c>
      <c r="AK5" s="15"/>
      <c r="AL5" s="16" t="s">
        <v>17</v>
      </c>
      <c r="AO5" s="15"/>
      <c r="AP5" s="16" t="s">
        <v>18</v>
      </c>
      <c r="AS5" s="15"/>
      <c r="AT5" s="16" t="s">
        <v>19</v>
      </c>
      <c r="AW5" s="15"/>
      <c r="AX5" s="16" t="s">
        <v>20</v>
      </c>
      <c r="BA5" s="15"/>
      <c r="BB5" s="16" t="s">
        <v>21</v>
      </c>
      <c r="BE5" s="15"/>
      <c r="BF5" s="16" t="s">
        <v>22</v>
      </c>
      <c r="BI5" s="15"/>
      <c r="BJ5" s="17">
        <v>2025.0</v>
      </c>
    </row>
    <row r="6" ht="27.75" customHeight="1">
      <c r="A6" s="18"/>
      <c r="B6" s="18"/>
      <c r="C6" s="19" t="s">
        <v>23</v>
      </c>
      <c r="D6" s="20" t="s">
        <v>24</v>
      </c>
      <c r="E6" s="19" t="s">
        <v>25</v>
      </c>
      <c r="F6" s="19" t="s">
        <v>23</v>
      </c>
      <c r="G6" s="20" t="s">
        <v>24</v>
      </c>
      <c r="H6" s="19" t="s">
        <v>25</v>
      </c>
      <c r="I6" s="18"/>
      <c r="J6" s="18"/>
      <c r="K6" s="18"/>
      <c r="L6" s="21" t="s">
        <v>26</v>
      </c>
      <c r="M6" s="22" t="s">
        <v>7</v>
      </c>
      <c r="N6" s="23" t="s">
        <v>7</v>
      </c>
      <c r="O6" s="23" t="s">
        <v>8</v>
      </c>
      <c r="P6" s="23" t="s">
        <v>9</v>
      </c>
      <c r="Q6" s="23" t="s">
        <v>10</v>
      </c>
      <c r="R6" s="23" t="s">
        <v>7</v>
      </c>
      <c r="S6" s="23" t="s">
        <v>8</v>
      </c>
      <c r="T6" s="23" t="s">
        <v>9</v>
      </c>
      <c r="U6" s="23" t="s">
        <v>10</v>
      </c>
      <c r="V6" s="23" t="s">
        <v>7</v>
      </c>
      <c r="W6" s="23" t="s">
        <v>8</v>
      </c>
      <c r="X6" s="23" t="s">
        <v>9</v>
      </c>
      <c r="Y6" s="23" t="s">
        <v>10</v>
      </c>
      <c r="Z6" s="23" t="s">
        <v>7</v>
      </c>
      <c r="AA6" s="23" t="s">
        <v>8</v>
      </c>
      <c r="AB6" s="23" t="s">
        <v>9</v>
      </c>
      <c r="AC6" s="23" t="s">
        <v>10</v>
      </c>
      <c r="AD6" s="23" t="s">
        <v>7</v>
      </c>
      <c r="AE6" s="23" t="s">
        <v>8</v>
      </c>
      <c r="AF6" s="23" t="s">
        <v>9</v>
      </c>
      <c r="AG6" s="23" t="s">
        <v>10</v>
      </c>
      <c r="AH6" s="23" t="s">
        <v>7</v>
      </c>
      <c r="AI6" s="23" t="s">
        <v>8</v>
      </c>
      <c r="AJ6" s="23" t="s">
        <v>9</v>
      </c>
      <c r="AK6" s="23" t="s">
        <v>10</v>
      </c>
      <c r="AL6" s="23" t="s">
        <v>7</v>
      </c>
      <c r="AM6" s="23" t="s">
        <v>8</v>
      </c>
      <c r="AN6" s="23" t="s">
        <v>9</v>
      </c>
      <c r="AO6" s="23" t="s">
        <v>10</v>
      </c>
      <c r="AP6" s="23" t="s">
        <v>7</v>
      </c>
      <c r="AQ6" s="23" t="s">
        <v>8</v>
      </c>
      <c r="AR6" s="23" t="s">
        <v>9</v>
      </c>
      <c r="AS6" s="23" t="s">
        <v>10</v>
      </c>
      <c r="AT6" s="23" t="s">
        <v>7</v>
      </c>
      <c r="AU6" s="23" t="s">
        <v>8</v>
      </c>
      <c r="AV6" s="23" t="s">
        <v>9</v>
      </c>
      <c r="AW6" s="23" t="s">
        <v>10</v>
      </c>
      <c r="AX6" s="23" t="s">
        <v>7</v>
      </c>
      <c r="AY6" s="23" t="s">
        <v>8</v>
      </c>
      <c r="AZ6" s="23" t="s">
        <v>9</v>
      </c>
      <c r="BA6" s="23" t="s">
        <v>10</v>
      </c>
      <c r="BB6" s="23" t="s">
        <v>7</v>
      </c>
      <c r="BC6" s="23" t="s">
        <v>8</v>
      </c>
      <c r="BD6" s="23" t="s">
        <v>9</v>
      </c>
      <c r="BE6" s="23" t="s">
        <v>10</v>
      </c>
      <c r="BF6" s="23" t="s">
        <v>7</v>
      </c>
      <c r="BG6" s="23" t="s">
        <v>8</v>
      </c>
      <c r="BH6" s="23" t="s">
        <v>9</v>
      </c>
      <c r="BI6" s="23" t="s">
        <v>10</v>
      </c>
      <c r="BJ6" s="24"/>
    </row>
    <row r="7">
      <c r="A7" s="25" t="s">
        <v>27</v>
      </c>
      <c r="B7" s="26" t="s">
        <v>28</v>
      </c>
      <c r="C7" s="27"/>
      <c r="D7" s="28"/>
      <c r="E7" s="27"/>
      <c r="F7" s="27"/>
      <c r="G7" s="28"/>
      <c r="H7" s="27"/>
      <c r="I7" s="29"/>
      <c r="J7" s="29"/>
      <c r="K7" s="29"/>
      <c r="L7" s="29"/>
      <c r="M7" s="29"/>
      <c r="N7" s="30" t="str">
        <f>#REF!</f>
        <v>#REF!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>
      <c r="A8" s="31">
        <v>1.0</v>
      </c>
      <c r="B8" s="32" t="s">
        <v>29</v>
      </c>
      <c r="C8" s="33">
        <v>5.0</v>
      </c>
      <c r="D8" s="34"/>
      <c r="E8" s="33">
        <f t="shared" ref="E8:E17" si="2">C8+D8</f>
        <v>5</v>
      </c>
      <c r="F8" s="35">
        <f>'DB Monitoring'!AC9</f>
        <v>3286283680</v>
      </c>
      <c r="G8" s="36"/>
      <c r="H8" s="35">
        <f t="shared" ref="H8:H17" si="3">F8+G8</f>
        <v>3286283680</v>
      </c>
      <c r="I8" s="37">
        <f t="shared" ref="I8:J8" si="1">N8+R8+V8</f>
        <v>821570920.1</v>
      </c>
      <c r="J8" s="38" t="str">
        <f t="shared" si="1"/>
        <v>#REF!</v>
      </c>
      <c r="K8" s="38" t="str">
        <f t="shared" ref="K8:K17" si="5">J8-I8</f>
        <v>#REF!</v>
      </c>
      <c r="L8" s="39" t="str">
        <f t="shared" ref="L8:L17" si="6">J8/I8</f>
        <v>#REF!</v>
      </c>
      <c r="M8" s="39" t="str">
        <f t="shared" ref="M8:M17" si="7">J8/H8</f>
        <v>#REF!</v>
      </c>
      <c r="N8" s="40">
        <v>2.738569733693692E8</v>
      </c>
      <c r="O8" s="41" t="str">
        <f>#REF!</f>
        <v>#REF!</v>
      </c>
      <c r="P8" s="42" t="str">
        <f t="shared" ref="P8:P51" si="8">O8-N8</f>
        <v>#REF!</v>
      </c>
      <c r="Q8" s="43" t="str">
        <f t="shared" ref="Q8:Q51" si="9">O8/N8</f>
        <v>#REF!</v>
      </c>
      <c r="R8" s="40">
        <v>2.738569733693692E8</v>
      </c>
      <c r="S8" s="41" t="str">
        <f>#REF!</f>
        <v>#REF!</v>
      </c>
      <c r="T8" s="42" t="str">
        <f t="shared" ref="T8:T51" si="10">S8-R8</f>
        <v>#REF!</v>
      </c>
      <c r="U8" s="43" t="str">
        <f t="shared" ref="U8:U51" si="11">S8/R8</f>
        <v>#REF!</v>
      </c>
      <c r="V8" s="40">
        <v>2.738569733693692E8</v>
      </c>
      <c r="W8" s="41" t="str">
        <f>#REF!</f>
        <v>#REF!</v>
      </c>
      <c r="X8" s="42" t="str">
        <f t="shared" ref="X8:X51" si="12">W8-V8</f>
        <v>#REF!</v>
      </c>
      <c r="Y8" s="43" t="str">
        <f t="shared" ref="Y8:Y51" si="13">W8/V8</f>
        <v>#REF!</v>
      </c>
      <c r="Z8" s="40">
        <v>2.738569733693692E8</v>
      </c>
      <c r="AA8" s="44"/>
      <c r="AB8" s="40"/>
      <c r="AC8" s="40"/>
      <c r="AD8" s="40">
        <v>2.738569733693692E8</v>
      </c>
      <c r="AE8" s="44"/>
      <c r="AF8" s="40"/>
      <c r="AG8" s="40"/>
      <c r="AH8" s="40">
        <v>2.738569733693692E8</v>
      </c>
      <c r="AI8" s="44"/>
      <c r="AJ8" s="40"/>
      <c r="AK8" s="40"/>
      <c r="AL8" s="40">
        <v>2.738569733693692E8</v>
      </c>
      <c r="AM8" s="44"/>
      <c r="AN8" s="40"/>
      <c r="AO8" s="40"/>
      <c r="AP8" s="40">
        <v>2.738569733693692E8</v>
      </c>
      <c r="AQ8" s="44"/>
      <c r="AR8" s="40"/>
      <c r="AS8" s="40"/>
      <c r="AT8" s="40">
        <v>2.738569733693692E8</v>
      </c>
      <c r="AU8" s="44"/>
      <c r="AV8" s="40"/>
      <c r="AW8" s="40"/>
      <c r="AX8" s="40">
        <v>2.738569733693692E8</v>
      </c>
      <c r="AY8" s="44"/>
      <c r="AZ8" s="40"/>
      <c r="BA8" s="40"/>
      <c r="BB8" s="40">
        <v>2.738569733693692E8</v>
      </c>
      <c r="BC8" s="44"/>
      <c r="BD8" s="40"/>
      <c r="BE8" s="40"/>
      <c r="BF8" s="40">
        <v>2.738569733693692E8</v>
      </c>
      <c r="BG8" s="44"/>
      <c r="BH8" s="24"/>
      <c r="BI8" s="24"/>
      <c r="BJ8" s="45">
        <f t="shared" ref="BJ8:BJ51" si="14">N8+R8+V8+Z8+AD8+AH8+AL8+AP8+AT8+AX8+BB8+BF8</f>
        <v>3286283680</v>
      </c>
      <c r="BK8" s="46">
        <f t="shared" ref="BK8:BK52" si="15">H8-BJ8</f>
        <v>0</v>
      </c>
    </row>
    <row r="9">
      <c r="A9" s="31">
        <v>2.0</v>
      </c>
      <c r="B9" s="47" t="s">
        <v>30</v>
      </c>
      <c r="C9" s="48">
        <v>16.0</v>
      </c>
      <c r="D9" s="36"/>
      <c r="E9" s="33">
        <f t="shared" si="2"/>
        <v>16</v>
      </c>
      <c r="F9" s="35">
        <f>'DB Monitoring'!AC49</f>
        <v>75345414500</v>
      </c>
      <c r="G9" s="36"/>
      <c r="H9" s="35">
        <f t="shared" si="3"/>
        <v>75345414500</v>
      </c>
      <c r="I9" s="37">
        <f t="shared" ref="I9:J9" si="4">N9+R9+V9</f>
        <v>19961791347</v>
      </c>
      <c r="J9" s="37">
        <f t="shared" si="4"/>
        <v>0</v>
      </c>
      <c r="K9" s="37">
        <f t="shared" si="5"/>
        <v>-19961791347</v>
      </c>
      <c r="L9" s="39">
        <f t="shared" si="6"/>
        <v>0</v>
      </c>
      <c r="M9" s="39">
        <f t="shared" si="7"/>
        <v>0</v>
      </c>
      <c r="N9" s="40">
        <v>6.653930448943134E9</v>
      </c>
      <c r="O9" s="41" t="str">
        <f>'DB Monitoring'!Q63</f>
        <v/>
      </c>
      <c r="P9" s="42">
        <f t="shared" si="8"/>
        <v>-6653930449</v>
      </c>
      <c r="Q9" s="43">
        <f t="shared" si="9"/>
        <v>0</v>
      </c>
      <c r="R9" s="40">
        <v>6.653930448943134E9</v>
      </c>
      <c r="S9" s="41" t="str">
        <f>'DB Monitoring'!R63</f>
        <v/>
      </c>
      <c r="T9" s="42">
        <f t="shared" si="10"/>
        <v>-6653930449</v>
      </c>
      <c r="U9" s="43">
        <f t="shared" si="11"/>
        <v>0</v>
      </c>
      <c r="V9" s="40">
        <v>6.653930448943134E9</v>
      </c>
      <c r="W9" s="41" t="str">
        <f>'DB Monitoring'!S63</f>
        <v/>
      </c>
      <c r="X9" s="42">
        <f t="shared" si="12"/>
        <v>-6653930449</v>
      </c>
      <c r="Y9" s="43">
        <f t="shared" si="13"/>
        <v>0</v>
      </c>
      <c r="Z9" s="40">
        <v>6.653930448943134E9</v>
      </c>
      <c r="AA9" s="44"/>
      <c r="AB9" s="40"/>
      <c r="AC9" s="40"/>
      <c r="AD9" s="40">
        <v>6.653930448943134E9</v>
      </c>
      <c r="AE9" s="44"/>
      <c r="AF9" s="40"/>
      <c r="AG9" s="40"/>
      <c r="AH9" s="40">
        <v>6.653930448943134E9</v>
      </c>
      <c r="AI9" s="44"/>
      <c r="AJ9" s="40"/>
      <c r="AK9" s="40"/>
      <c r="AL9" s="40">
        <v>6.653930448943134E9</v>
      </c>
      <c r="AM9" s="44"/>
      <c r="AN9" s="40"/>
      <c r="AO9" s="40"/>
      <c r="AP9" s="40">
        <v>6.653930448943134E9</v>
      </c>
      <c r="AQ9" s="44"/>
      <c r="AR9" s="40"/>
      <c r="AS9" s="40"/>
      <c r="AT9" s="40">
        <v>6.653930448943134E9</v>
      </c>
      <c r="AU9" s="44"/>
      <c r="AV9" s="40"/>
      <c r="AW9" s="40"/>
      <c r="AX9" s="40">
        <v>6.653930448943134E9</v>
      </c>
      <c r="AY9" s="44"/>
      <c r="AZ9" s="40"/>
      <c r="BA9" s="40"/>
      <c r="BB9" s="40">
        <v>6.653930448943134E9</v>
      </c>
      <c r="BC9" s="44"/>
      <c r="BD9" s="40"/>
      <c r="BE9" s="40"/>
      <c r="BF9" s="40">
        <v>6.653930448943134E9</v>
      </c>
      <c r="BG9" s="44"/>
      <c r="BH9" s="24"/>
      <c r="BI9" s="24"/>
      <c r="BJ9" s="45">
        <f t="shared" si="14"/>
        <v>79847165387</v>
      </c>
      <c r="BK9" s="46">
        <f t="shared" si="15"/>
        <v>-4501750887</v>
      </c>
    </row>
    <row r="10">
      <c r="A10" s="31">
        <v>3.0</v>
      </c>
      <c r="B10" s="47" t="s">
        <v>31</v>
      </c>
      <c r="C10" s="48">
        <v>12.0</v>
      </c>
      <c r="D10" s="36"/>
      <c r="E10" s="33">
        <f t="shared" si="2"/>
        <v>12</v>
      </c>
      <c r="F10" s="35">
        <f>'DB Monitoring'!AC162</f>
        <v>21368089345</v>
      </c>
      <c r="G10" s="36"/>
      <c r="H10" s="35">
        <f t="shared" si="3"/>
        <v>21368089345</v>
      </c>
      <c r="I10" s="37">
        <f t="shared" ref="I10:J10" si="16">N10+R10+V10</f>
        <v>3988552827</v>
      </c>
      <c r="J10" s="37">
        <f t="shared" si="16"/>
        <v>9402430863</v>
      </c>
      <c r="K10" s="37">
        <f t="shared" si="5"/>
        <v>5413878036</v>
      </c>
      <c r="L10" s="39">
        <f t="shared" si="6"/>
        <v>2.357353975</v>
      </c>
      <c r="M10" s="39">
        <f t="shared" si="7"/>
        <v>0.440022068</v>
      </c>
      <c r="N10" s="40">
        <v>1.3295176090911558E9</v>
      </c>
      <c r="O10" s="41">
        <f>'DB Monitoring'!Q162</f>
        <v>1329517609</v>
      </c>
      <c r="P10" s="42">
        <f t="shared" si="8"/>
        <v>0</v>
      </c>
      <c r="Q10" s="43">
        <f t="shared" si="9"/>
        <v>1</v>
      </c>
      <c r="R10" s="40">
        <v>1.3295176090911558E9</v>
      </c>
      <c r="S10" s="41">
        <f>'DB Monitoring'!R162</f>
        <v>1329517609</v>
      </c>
      <c r="T10" s="42">
        <f t="shared" si="10"/>
        <v>0</v>
      </c>
      <c r="U10" s="43">
        <f t="shared" si="11"/>
        <v>1</v>
      </c>
      <c r="V10" s="40">
        <v>1.3295176090911558E9</v>
      </c>
      <c r="W10" s="41">
        <f>'DB Monitoring'!S162</f>
        <v>6743395645</v>
      </c>
      <c r="X10" s="42">
        <f t="shared" si="12"/>
        <v>5413878036</v>
      </c>
      <c r="Y10" s="43">
        <f t="shared" si="13"/>
        <v>5.072061926</v>
      </c>
      <c r="Z10" s="40">
        <v>1.3295176090911558E9</v>
      </c>
      <c r="AA10" s="44"/>
      <c r="AB10" s="40"/>
      <c r="AC10" s="40"/>
      <c r="AD10" s="40">
        <v>1.3295176090911558E9</v>
      </c>
      <c r="AE10" s="44"/>
      <c r="AF10" s="40"/>
      <c r="AG10" s="40"/>
      <c r="AH10" s="40">
        <v>1.3295176090911558E9</v>
      </c>
      <c r="AI10" s="44"/>
      <c r="AJ10" s="40"/>
      <c r="AK10" s="40"/>
      <c r="AL10" s="40">
        <v>1.3295176090911558E9</v>
      </c>
      <c r="AM10" s="44"/>
      <c r="AN10" s="40"/>
      <c r="AO10" s="40"/>
      <c r="AP10" s="40">
        <v>1.3295176090911558E9</v>
      </c>
      <c r="AQ10" s="44"/>
      <c r="AR10" s="40"/>
      <c r="AS10" s="40"/>
      <c r="AT10" s="40">
        <v>1.3295176090911558E9</v>
      </c>
      <c r="AU10" s="44"/>
      <c r="AV10" s="40"/>
      <c r="AW10" s="40"/>
      <c r="AX10" s="40">
        <v>1.3295176090911558E9</v>
      </c>
      <c r="AY10" s="44"/>
      <c r="AZ10" s="40"/>
      <c r="BA10" s="40"/>
      <c r="BB10" s="40">
        <v>1.3295176090911558E9</v>
      </c>
      <c r="BC10" s="44"/>
      <c r="BD10" s="40"/>
      <c r="BE10" s="40"/>
      <c r="BF10" s="40">
        <v>1.3295176090911558E9</v>
      </c>
      <c r="BG10" s="44"/>
      <c r="BH10" s="24"/>
      <c r="BI10" s="24"/>
      <c r="BJ10" s="45">
        <f t="shared" si="14"/>
        <v>15954211309</v>
      </c>
      <c r="BK10" s="46">
        <f t="shared" si="15"/>
        <v>5413878036</v>
      </c>
    </row>
    <row r="11">
      <c r="A11" s="31">
        <v>4.0</v>
      </c>
      <c r="B11" s="47" t="s">
        <v>32</v>
      </c>
      <c r="C11" s="48">
        <v>6.0</v>
      </c>
      <c r="D11" s="36"/>
      <c r="E11" s="33">
        <f t="shared" si="2"/>
        <v>6</v>
      </c>
      <c r="F11" s="35">
        <f>'DB Monitoring'!AC258</f>
        <v>9893474910</v>
      </c>
      <c r="G11" s="36"/>
      <c r="H11" s="35">
        <f t="shared" si="3"/>
        <v>9893474910</v>
      </c>
      <c r="I11" s="37">
        <f t="shared" ref="I11:J11" si="17">N11+R11+V11</f>
        <v>2473368727</v>
      </c>
      <c r="J11" s="37">
        <f t="shared" si="17"/>
        <v>1608073718</v>
      </c>
      <c r="K11" s="37">
        <f t="shared" si="5"/>
        <v>-865295009.4</v>
      </c>
      <c r="L11" s="39">
        <f t="shared" si="6"/>
        <v>0.6501552721</v>
      </c>
      <c r="M11" s="39">
        <f t="shared" si="7"/>
        <v>0.162538818</v>
      </c>
      <c r="N11" s="40">
        <v>8.2445624246E8</v>
      </c>
      <c r="O11" s="41">
        <f>'DB Monitoring'!Q197</f>
        <v>536024572.7</v>
      </c>
      <c r="P11" s="42">
        <f t="shared" si="8"/>
        <v>-288431669.8</v>
      </c>
      <c r="Q11" s="43">
        <f t="shared" si="9"/>
        <v>0.6501552721</v>
      </c>
      <c r="R11" s="40">
        <v>8.2445624246E8</v>
      </c>
      <c r="S11" s="41">
        <f>'DB Monitoring'!R197</f>
        <v>536024572.7</v>
      </c>
      <c r="T11" s="42">
        <f t="shared" si="10"/>
        <v>-288431669.8</v>
      </c>
      <c r="U11" s="43">
        <f t="shared" si="11"/>
        <v>0.6501552721</v>
      </c>
      <c r="V11" s="40">
        <v>8.2445624246E8</v>
      </c>
      <c r="W11" s="41">
        <f>'DB Monitoring'!S197</f>
        <v>536024572.7</v>
      </c>
      <c r="X11" s="42">
        <f t="shared" si="12"/>
        <v>-288431669.8</v>
      </c>
      <c r="Y11" s="43">
        <f t="shared" si="13"/>
        <v>0.6501552721</v>
      </c>
      <c r="Z11" s="40">
        <v>8.2445624246E8</v>
      </c>
      <c r="AA11" s="44"/>
      <c r="AB11" s="40"/>
      <c r="AC11" s="40"/>
      <c r="AD11" s="40">
        <v>8.2445624246E8</v>
      </c>
      <c r="AE11" s="44"/>
      <c r="AF11" s="40"/>
      <c r="AG11" s="40"/>
      <c r="AH11" s="40">
        <v>8.2445624246E8</v>
      </c>
      <c r="AI11" s="44"/>
      <c r="AJ11" s="40"/>
      <c r="AK11" s="40"/>
      <c r="AL11" s="40">
        <v>8.2445624246E8</v>
      </c>
      <c r="AM11" s="44"/>
      <c r="AN11" s="40"/>
      <c r="AO11" s="40"/>
      <c r="AP11" s="40">
        <v>8.2445624246E8</v>
      </c>
      <c r="AQ11" s="44"/>
      <c r="AR11" s="40"/>
      <c r="AS11" s="40"/>
      <c r="AT11" s="40">
        <v>8.2445624246E8</v>
      </c>
      <c r="AU11" s="44"/>
      <c r="AV11" s="40"/>
      <c r="AW11" s="40"/>
      <c r="AX11" s="40">
        <v>8.2445624246E8</v>
      </c>
      <c r="AY11" s="44"/>
      <c r="AZ11" s="40"/>
      <c r="BA11" s="40"/>
      <c r="BB11" s="40">
        <v>8.2445624246E8</v>
      </c>
      <c r="BC11" s="44"/>
      <c r="BD11" s="40"/>
      <c r="BE11" s="40"/>
      <c r="BF11" s="40">
        <v>8.2445624246E8</v>
      </c>
      <c r="BG11" s="44"/>
      <c r="BH11" s="24"/>
      <c r="BI11" s="24"/>
      <c r="BJ11" s="45">
        <f t="shared" si="14"/>
        <v>9893474910</v>
      </c>
      <c r="BK11" s="46">
        <f t="shared" si="15"/>
        <v>0</v>
      </c>
    </row>
    <row r="12">
      <c r="A12" s="31">
        <v>5.0</v>
      </c>
      <c r="B12" s="47" t="s">
        <v>33</v>
      </c>
      <c r="C12" s="48">
        <v>2.0</v>
      </c>
      <c r="D12" s="36"/>
      <c r="E12" s="33">
        <f t="shared" si="2"/>
        <v>2</v>
      </c>
      <c r="F12" s="35">
        <f>'DB Monitoring'!AC300</f>
        <v>5901618252</v>
      </c>
      <c r="G12" s="36"/>
      <c r="H12" s="35">
        <f t="shared" si="3"/>
        <v>5901618252</v>
      </c>
      <c r="I12" s="37">
        <f t="shared" ref="I12:J12" si="18">N12+R12+V12</f>
        <v>1475404563</v>
      </c>
      <c r="J12" s="37">
        <f t="shared" si="18"/>
        <v>136715934</v>
      </c>
      <c r="K12" s="37">
        <f t="shared" si="5"/>
        <v>-1338688629</v>
      </c>
      <c r="L12" s="39">
        <f t="shared" si="6"/>
        <v>0.09266335311</v>
      </c>
      <c r="M12" s="39">
        <f t="shared" si="7"/>
        <v>0.02316583828</v>
      </c>
      <c r="N12" s="40">
        <v>4.91801521E8</v>
      </c>
      <c r="O12" s="41">
        <f>'DB Monitoring'!Q217</f>
        <v>45571978</v>
      </c>
      <c r="P12" s="42">
        <f t="shared" si="8"/>
        <v>-446229543</v>
      </c>
      <c r="Q12" s="43">
        <f t="shared" si="9"/>
        <v>0.09266335311</v>
      </c>
      <c r="R12" s="40">
        <v>4.91801521E8</v>
      </c>
      <c r="S12" s="41">
        <f>'DB Monitoring'!R217</f>
        <v>45571978</v>
      </c>
      <c r="T12" s="42">
        <f t="shared" si="10"/>
        <v>-446229543</v>
      </c>
      <c r="U12" s="43">
        <f t="shared" si="11"/>
        <v>0.09266335311</v>
      </c>
      <c r="V12" s="40">
        <v>4.91801521E8</v>
      </c>
      <c r="W12" s="41">
        <f>'DB Monitoring'!S217</f>
        <v>45571978</v>
      </c>
      <c r="X12" s="42">
        <f t="shared" si="12"/>
        <v>-446229543</v>
      </c>
      <c r="Y12" s="43">
        <f t="shared" si="13"/>
        <v>0.09266335311</v>
      </c>
      <c r="Z12" s="40">
        <v>4.91801521E8</v>
      </c>
      <c r="AA12" s="44"/>
      <c r="AB12" s="40"/>
      <c r="AC12" s="40"/>
      <c r="AD12" s="40">
        <v>4.91801521E8</v>
      </c>
      <c r="AE12" s="44"/>
      <c r="AF12" s="40"/>
      <c r="AG12" s="40"/>
      <c r="AH12" s="40">
        <v>4.91801521E8</v>
      </c>
      <c r="AI12" s="44"/>
      <c r="AJ12" s="40"/>
      <c r="AK12" s="40"/>
      <c r="AL12" s="40">
        <v>4.91801521E8</v>
      </c>
      <c r="AM12" s="44"/>
      <c r="AN12" s="40"/>
      <c r="AO12" s="40"/>
      <c r="AP12" s="40">
        <v>4.91801521E8</v>
      </c>
      <c r="AQ12" s="44"/>
      <c r="AR12" s="40"/>
      <c r="AS12" s="40"/>
      <c r="AT12" s="40">
        <v>4.91801521E8</v>
      </c>
      <c r="AU12" s="44"/>
      <c r="AV12" s="40"/>
      <c r="AW12" s="40"/>
      <c r="AX12" s="40">
        <v>4.91801521E8</v>
      </c>
      <c r="AY12" s="44"/>
      <c r="AZ12" s="40"/>
      <c r="BA12" s="40"/>
      <c r="BB12" s="40">
        <v>4.91801521E8</v>
      </c>
      <c r="BC12" s="44"/>
      <c r="BD12" s="40"/>
      <c r="BE12" s="40"/>
      <c r="BF12" s="40">
        <v>4.91801521E8</v>
      </c>
      <c r="BG12" s="44"/>
      <c r="BH12" s="24"/>
      <c r="BI12" s="24"/>
      <c r="BJ12" s="45">
        <f t="shared" si="14"/>
        <v>5901618252</v>
      </c>
      <c r="BK12" s="46">
        <f t="shared" si="15"/>
        <v>0</v>
      </c>
    </row>
    <row r="13">
      <c r="A13" s="31">
        <v>6.0</v>
      </c>
      <c r="B13" s="47" t="s">
        <v>34</v>
      </c>
      <c r="C13" s="48">
        <v>4.0</v>
      </c>
      <c r="D13" s="36"/>
      <c r="E13" s="33">
        <f t="shared" si="2"/>
        <v>4</v>
      </c>
      <c r="F13" s="35">
        <f>'DB Monitoring'!AC319</f>
        <v>10307027070</v>
      </c>
      <c r="G13" s="36"/>
      <c r="H13" s="35">
        <f t="shared" si="3"/>
        <v>10307027070</v>
      </c>
      <c r="I13" s="37">
        <f t="shared" ref="I13:J13" si="19">N13+R13+V13</f>
        <v>2576756767</v>
      </c>
      <c r="J13" s="37">
        <f t="shared" si="19"/>
        <v>0</v>
      </c>
      <c r="K13" s="37">
        <f t="shared" si="5"/>
        <v>-2576756767</v>
      </c>
      <c r="L13" s="39">
        <f t="shared" si="6"/>
        <v>0</v>
      </c>
      <c r="M13" s="39">
        <f t="shared" si="7"/>
        <v>0</v>
      </c>
      <c r="N13" s="40">
        <v>8.589189224774776E8</v>
      </c>
      <c r="O13" s="41" t="str">
        <f>'DB Monitoring'!Q245</f>
        <v/>
      </c>
      <c r="P13" s="42">
        <f t="shared" si="8"/>
        <v>-858918922.5</v>
      </c>
      <c r="Q13" s="43">
        <f t="shared" si="9"/>
        <v>0</v>
      </c>
      <c r="R13" s="40">
        <v>8.589189224774776E8</v>
      </c>
      <c r="S13" s="41" t="str">
        <f>'DB Monitoring'!R245</f>
        <v/>
      </c>
      <c r="T13" s="42">
        <f t="shared" si="10"/>
        <v>-858918922.5</v>
      </c>
      <c r="U13" s="43">
        <f t="shared" si="11"/>
        <v>0</v>
      </c>
      <c r="V13" s="40">
        <v>8.589189224774776E8</v>
      </c>
      <c r="W13" s="41" t="str">
        <f>'DB Monitoring'!S245</f>
        <v/>
      </c>
      <c r="X13" s="42">
        <f t="shared" si="12"/>
        <v>-858918922.5</v>
      </c>
      <c r="Y13" s="43">
        <f t="shared" si="13"/>
        <v>0</v>
      </c>
      <c r="Z13" s="40">
        <v>8.589189224774776E8</v>
      </c>
      <c r="AA13" s="44"/>
      <c r="AB13" s="40"/>
      <c r="AC13" s="40"/>
      <c r="AD13" s="40">
        <v>8.589189224774776E8</v>
      </c>
      <c r="AE13" s="44"/>
      <c r="AF13" s="40"/>
      <c r="AG13" s="40"/>
      <c r="AH13" s="40">
        <v>8.589189224774776E8</v>
      </c>
      <c r="AI13" s="44"/>
      <c r="AJ13" s="40"/>
      <c r="AK13" s="40"/>
      <c r="AL13" s="40">
        <v>8.589189224774776E8</v>
      </c>
      <c r="AM13" s="44"/>
      <c r="AN13" s="40"/>
      <c r="AO13" s="40"/>
      <c r="AP13" s="40">
        <v>8.589189224774776E8</v>
      </c>
      <c r="AQ13" s="44"/>
      <c r="AR13" s="40"/>
      <c r="AS13" s="40"/>
      <c r="AT13" s="40">
        <v>8.589189224774776E8</v>
      </c>
      <c r="AU13" s="44"/>
      <c r="AV13" s="40"/>
      <c r="AW13" s="40"/>
      <c r="AX13" s="40">
        <v>8.589189224774776E8</v>
      </c>
      <c r="AY13" s="44"/>
      <c r="AZ13" s="40"/>
      <c r="BA13" s="40"/>
      <c r="BB13" s="40">
        <v>8.589189224774776E8</v>
      </c>
      <c r="BC13" s="44"/>
      <c r="BD13" s="40"/>
      <c r="BE13" s="40"/>
      <c r="BF13" s="40">
        <v>8.589189224774776E8</v>
      </c>
      <c r="BG13" s="44"/>
      <c r="BH13" s="24"/>
      <c r="BI13" s="24"/>
      <c r="BJ13" s="45">
        <f t="shared" si="14"/>
        <v>10307027070</v>
      </c>
      <c r="BK13" s="46">
        <f t="shared" si="15"/>
        <v>0</v>
      </c>
    </row>
    <row r="14">
      <c r="A14" s="31">
        <v>7.0</v>
      </c>
      <c r="B14" s="47" t="s">
        <v>35</v>
      </c>
      <c r="C14" s="48">
        <v>2.0</v>
      </c>
      <c r="D14" s="36"/>
      <c r="E14" s="33">
        <f t="shared" si="2"/>
        <v>2</v>
      </c>
      <c r="F14" s="35">
        <f>'DB Monitoring'!AC346</f>
        <v>5715096348</v>
      </c>
      <c r="G14" s="36"/>
      <c r="H14" s="35">
        <f t="shared" si="3"/>
        <v>5715096348</v>
      </c>
      <c r="I14" s="37">
        <f t="shared" ref="I14:J14" si="20">N14+R14+V14</f>
        <v>1428774087</v>
      </c>
      <c r="J14" s="37">
        <f t="shared" si="20"/>
        <v>267787222.5</v>
      </c>
      <c r="K14" s="37">
        <f t="shared" si="5"/>
        <v>-1160986865</v>
      </c>
      <c r="L14" s="39">
        <f t="shared" si="6"/>
        <v>0.1874244675</v>
      </c>
      <c r="M14" s="39">
        <f t="shared" si="7"/>
        <v>0.04685611689</v>
      </c>
      <c r="N14" s="40">
        <v>4.76258029E8</v>
      </c>
      <c r="O14" s="41">
        <f>'DB Monitoring'!Q291</f>
        <v>89262407.5</v>
      </c>
      <c r="P14" s="42">
        <f t="shared" si="8"/>
        <v>-386995621.5</v>
      </c>
      <c r="Q14" s="43">
        <f t="shared" si="9"/>
        <v>0.1874244675</v>
      </c>
      <c r="R14" s="40">
        <v>4.76258029E8</v>
      </c>
      <c r="S14" s="41">
        <f>'DB Monitoring'!R291</f>
        <v>89262407.5</v>
      </c>
      <c r="T14" s="42">
        <f t="shared" si="10"/>
        <v>-386995621.5</v>
      </c>
      <c r="U14" s="43">
        <f t="shared" si="11"/>
        <v>0.1874244675</v>
      </c>
      <c r="V14" s="40">
        <v>4.76258029E8</v>
      </c>
      <c r="W14" s="41">
        <f>'DB Monitoring'!S291</f>
        <v>89262407.5</v>
      </c>
      <c r="X14" s="42">
        <f t="shared" si="12"/>
        <v>-386995621.5</v>
      </c>
      <c r="Y14" s="43">
        <f t="shared" si="13"/>
        <v>0.1874244675</v>
      </c>
      <c r="Z14" s="40">
        <v>4.76258029E8</v>
      </c>
      <c r="AA14" s="44"/>
      <c r="AB14" s="40"/>
      <c r="AC14" s="40"/>
      <c r="AD14" s="40">
        <v>4.76258029E8</v>
      </c>
      <c r="AE14" s="44"/>
      <c r="AF14" s="40"/>
      <c r="AG14" s="40"/>
      <c r="AH14" s="40">
        <v>4.76258029E8</v>
      </c>
      <c r="AI14" s="44"/>
      <c r="AJ14" s="40"/>
      <c r="AK14" s="40"/>
      <c r="AL14" s="40">
        <v>4.76258029E8</v>
      </c>
      <c r="AM14" s="44"/>
      <c r="AN14" s="40"/>
      <c r="AO14" s="40"/>
      <c r="AP14" s="40">
        <v>4.76258029E8</v>
      </c>
      <c r="AQ14" s="44"/>
      <c r="AR14" s="40"/>
      <c r="AS14" s="40"/>
      <c r="AT14" s="40">
        <v>4.76258029E8</v>
      </c>
      <c r="AU14" s="44"/>
      <c r="AV14" s="40"/>
      <c r="AW14" s="40"/>
      <c r="AX14" s="40">
        <v>4.76258029E8</v>
      </c>
      <c r="AY14" s="44"/>
      <c r="AZ14" s="40"/>
      <c r="BA14" s="40"/>
      <c r="BB14" s="40">
        <v>4.76258029E8</v>
      </c>
      <c r="BC14" s="44"/>
      <c r="BD14" s="40"/>
      <c r="BE14" s="40"/>
      <c r="BF14" s="40">
        <v>4.76258029E8</v>
      </c>
      <c r="BG14" s="44"/>
      <c r="BH14" s="24"/>
      <c r="BI14" s="24"/>
      <c r="BJ14" s="45">
        <f t="shared" si="14"/>
        <v>5715096348</v>
      </c>
      <c r="BK14" s="46">
        <f t="shared" si="15"/>
        <v>0</v>
      </c>
    </row>
    <row r="15">
      <c r="A15" s="31">
        <v>8.0</v>
      </c>
      <c r="B15" s="47" t="s">
        <v>36</v>
      </c>
      <c r="C15" s="48">
        <v>2.0</v>
      </c>
      <c r="D15" s="36"/>
      <c r="E15" s="33">
        <f t="shared" si="2"/>
        <v>2</v>
      </c>
      <c r="F15" s="35">
        <f>'DB Monitoring'!AC379</f>
        <v>1780838768</v>
      </c>
      <c r="G15" s="36"/>
      <c r="H15" s="35">
        <f t="shared" si="3"/>
        <v>1780838768</v>
      </c>
      <c r="I15" s="37">
        <f t="shared" ref="I15:J15" si="21">N15+R15+V15</f>
        <v>445209692</v>
      </c>
      <c r="J15" s="37">
        <f t="shared" si="21"/>
        <v>0</v>
      </c>
      <c r="K15" s="37">
        <f t="shared" si="5"/>
        <v>-445209692</v>
      </c>
      <c r="L15" s="39">
        <f t="shared" si="6"/>
        <v>0</v>
      </c>
      <c r="M15" s="39">
        <f t="shared" si="7"/>
        <v>0</v>
      </c>
      <c r="N15" s="40">
        <v>1.484032306756757E8</v>
      </c>
      <c r="O15" s="41" t="str">
        <f>'DB Monitoring'!Q310</f>
        <v/>
      </c>
      <c r="P15" s="42">
        <f t="shared" si="8"/>
        <v>-148403230.7</v>
      </c>
      <c r="Q15" s="43">
        <f t="shared" si="9"/>
        <v>0</v>
      </c>
      <c r="R15" s="40">
        <v>1.484032306756757E8</v>
      </c>
      <c r="S15" s="41" t="str">
        <f>'DB Monitoring'!R310</f>
        <v/>
      </c>
      <c r="T15" s="42">
        <f t="shared" si="10"/>
        <v>-148403230.7</v>
      </c>
      <c r="U15" s="43">
        <f t="shared" si="11"/>
        <v>0</v>
      </c>
      <c r="V15" s="40">
        <v>1.484032306756757E8</v>
      </c>
      <c r="W15" s="41" t="str">
        <f>'DB Monitoring'!S310</f>
        <v/>
      </c>
      <c r="X15" s="42">
        <f t="shared" si="12"/>
        <v>-148403230.7</v>
      </c>
      <c r="Y15" s="43">
        <f t="shared" si="13"/>
        <v>0</v>
      </c>
      <c r="Z15" s="40">
        <v>1.484032306756757E8</v>
      </c>
      <c r="AA15" s="44"/>
      <c r="AB15" s="40"/>
      <c r="AC15" s="40"/>
      <c r="AD15" s="40">
        <v>1.484032306756757E8</v>
      </c>
      <c r="AE15" s="44"/>
      <c r="AF15" s="40"/>
      <c r="AG15" s="40"/>
      <c r="AH15" s="40">
        <v>1.484032306756757E8</v>
      </c>
      <c r="AI15" s="44"/>
      <c r="AJ15" s="40"/>
      <c r="AK15" s="40"/>
      <c r="AL15" s="40">
        <v>1.484032306756757E8</v>
      </c>
      <c r="AM15" s="44"/>
      <c r="AN15" s="40"/>
      <c r="AO15" s="40"/>
      <c r="AP15" s="40">
        <v>1.484032306756757E8</v>
      </c>
      <c r="AQ15" s="44"/>
      <c r="AR15" s="40"/>
      <c r="AS15" s="40"/>
      <c r="AT15" s="40">
        <v>1.484032306756757E8</v>
      </c>
      <c r="AU15" s="44"/>
      <c r="AV15" s="40"/>
      <c r="AW15" s="40"/>
      <c r="AX15" s="40">
        <v>1.484032306756757E8</v>
      </c>
      <c r="AY15" s="44"/>
      <c r="AZ15" s="40"/>
      <c r="BA15" s="40"/>
      <c r="BB15" s="40">
        <v>1.484032306756757E8</v>
      </c>
      <c r="BC15" s="44"/>
      <c r="BD15" s="40"/>
      <c r="BE15" s="40"/>
      <c r="BF15" s="40">
        <v>1.484032306756757E8</v>
      </c>
      <c r="BG15" s="44"/>
      <c r="BH15" s="24"/>
      <c r="BI15" s="24"/>
      <c r="BJ15" s="45">
        <f t="shared" si="14"/>
        <v>1780838768</v>
      </c>
      <c r="BK15" s="46">
        <f t="shared" si="15"/>
        <v>0</v>
      </c>
    </row>
    <row r="16">
      <c r="A16" s="31">
        <v>9.0</v>
      </c>
      <c r="B16" s="47" t="s">
        <v>37</v>
      </c>
      <c r="C16" s="48">
        <v>2.0</v>
      </c>
      <c r="D16" s="36"/>
      <c r="E16" s="33">
        <f t="shared" si="2"/>
        <v>2</v>
      </c>
      <c r="F16" s="35">
        <f>'DB Monitoring'!AC403</f>
        <v>8161645064</v>
      </c>
      <c r="G16" s="36"/>
      <c r="H16" s="35">
        <f t="shared" si="3"/>
        <v>8161645064</v>
      </c>
      <c r="I16" s="37">
        <f t="shared" ref="I16:J16" si="22">N16+R16+V16</f>
        <v>2040411266</v>
      </c>
      <c r="J16" s="37">
        <f t="shared" si="22"/>
        <v>3253651564</v>
      </c>
      <c r="K16" s="37">
        <f t="shared" si="5"/>
        <v>1213240298</v>
      </c>
      <c r="L16" s="39">
        <f t="shared" si="6"/>
        <v>1.594605763</v>
      </c>
      <c r="M16" s="39">
        <f t="shared" si="7"/>
        <v>0.3986514408</v>
      </c>
      <c r="N16" s="40">
        <v>6.80137088666667E8</v>
      </c>
      <c r="O16" s="41">
        <f>'DB Monitoring'!Q343</f>
        <v>1042164512</v>
      </c>
      <c r="P16" s="42">
        <f t="shared" si="8"/>
        <v>362027423.6</v>
      </c>
      <c r="Q16" s="43">
        <f t="shared" si="9"/>
        <v>1.532285961</v>
      </c>
      <c r="R16" s="40">
        <v>6.80137088666667E8</v>
      </c>
      <c r="S16" s="41">
        <f>'DB Monitoring'!R343</f>
        <v>1104295697</v>
      </c>
      <c r="T16" s="42">
        <f t="shared" si="10"/>
        <v>424158608.6</v>
      </c>
      <c r="U16" s="43">
        <f t="shared" si="11"/>
        <v>1.623636934</v>
      </c>
      <c r="V16" s="40">
        <v>6.80137088666667E8</v>
      </c>
      <c r="W16" s="41">
        <f>'DB Monitoring'!S343</f>
        <v>1107191354</v>
      </c>
      <c r="X16" s="42">
        <f t="shared" si="12"/>
        <v>427054265.6</v>
      </c>
      <c r="Y16" s="43">
        <f t="shared" si="13"/>
        <v>1.627894395</v>
      </c>
      <c r="Z16" s="40">
        <v>6.80137088666667E8</v>
      </c>
      <c r="AA16" s="44"/>
      <c r="AB16" s="40"/>
      <c r="AC16" s="40"/>
      <c r="AD16" s="40">
        <v>6.80137088666667E8</v>
      </c>
      <c r="AE16" s="44"/>
      <c r="AF16" s="40"/>
      <c r="AG16" s="40"/>
      <c r="AH16" s="40">
        <v>6.80137088666667E8</v>
      </c>
      <c r="AI16" s="44"/>
      <c r="AJ16" s="40"/>
      <c r="AK16" s="40"/>
      <c r="AL16" s="40">
        <v>6.80137088666667E8</v>
      </c>
      <c r="AM16" s="44"/>
      <c r="AN16" s="40"/>
      <c r="AO16" s="40"/>
      <c r="AP16" s="40">
        <v>6.80137088666667E8</v>
      </c>
      <c r="AQ16" s="44"/>
      <c r="AR16" s="40"/>
      <c r="AS16" s="40"/>
      <c r="AT16" s="40">
        <v>6.80137088666667E8</v>
      </c>
      <c r="AU16" s="44"/>
      <c r="AV16" s="40"/>
      <c r="AW16" s="40"/>
      <c r="AX16" s="40">
        <v>6.80137088666667E8</v>
      </c>
      <c r="AY16" s="44"/>
      <c r="AZ16" s="40"/>
      <c r="BA16" s="40"/>
      <c r="BB16" s="40">
        <v>6.80137088666667E8</v>
      </c>
      <c r="BC16" s="44"/>
      <c r="BD16" s="40"/>
      <c r="BE16" s="40"/>
      <c r="BF16" s="40">
        <v>6.80137088666667E8</v>
      </c>
      <c r="BG16" s="44"/>
      <c r="BH16" s="24"/>
      <c r="BI16" s="24"/>
      <c r="BJ16" s="45">
        <f t="shared" si="14"/>
        <v>8161645064</v>
      </c>
      <c r="BK16" s="46">
        <f t="shared" si="15"/>
        <v>0</v>
      </c>
    </row>
    <row r="17">
      <c r="A17" s="31">
        <v>10.0</v>
      </c>
      <c r="B17" s="47" t="s">
        <v>38</v>
      </c>
      <c r="C17" s="33">
        <v>6.0</v>
      </c>
      <c r="D17" s="36"/>
      <c r="E17" s="33">
        <f t="shared" si="2"/>
        <v>6</v>
      </c>
      <c r="F17" s="35">
        <f>'DB Monitoring'!AC427</f>
        <v>17584261884</v>
      </c>
      <c r="G17" s="36"/>
      <c r="H17" s="35">
        <f t="shared" si="3"/>
        <v>17584261884</v>
      </c>
      <c r="I17" s="37">
        <f t="shared" ref="I17:J17" si="23">N17+R17+V17</f>
        <v>6315640155</v>
      </c>
      <c r="J17" s="37">
        <f t="shared" si="23"/>
        <v>499250000</v>
      </c>
      <c r="K17" s="37">
        <f t="shared" si="5"/>
        <v>-5816390155</v>
      </c>
      <c r="L17" s="39">
        <f t="shared" si="6"/>
        <v>0.07904978557</v>
      </c>
      <c r="M17" s="39">
        <f t="shared" si="7"/>
        <v>0.0283918656</v>
      </c>
      <c r="N17" s="40">
        <v>2.105213385E9</v>
      </c>
      <c r="O17" s="41">
        <f>'DB Monitoring'!Q404</f>
        <v>166416666.7</v>
      </c>
      <c r="P17" s="42">
        <f t="shared" si="8"/>
        <v>-1938796718</v>
      </c>
      <c r="Q17" s="43">
        <f t="shared" si="9"/>
        <v>0.07904978557</v>
      </c>
      <c r="R17" s="40">
        <v>2.105213385E9</v>
      </c>
      <c r="S17" s="41">
        <f>'DB Monitoring'!R404</f>
        <v>166416666.7</v>
      </c>
      <c r="T17" s="42">
        <f t="shared" si="10"/>
        <v>-1938796718</v>
      </c>
      <c r="U17" s="43">
        <f t="shared" si="11"/>
        <v>0.07904978557</v>
      </c>
      <c r="V17" s="40">
        <v>2.105213385E9</v>
      </c>
      <c r="W17" s="41">
        <f>'DB Monitoring'!S404</f>
        <v>166416666.7</v>
      </c>
      <c r="X17" s="42">
        <f t="shared" si="12"/>
        <v>-1938796718</v>
      </c>
      <c r="Y17" s="43">
        <f t="shared" si="13"/>
        <v>0.07904978557</v>
      </c>
      <c r="Z17" s="40">
        <v>2.105213385E9</v>
      </c>
      <c r="AA17" s="44"/>
      <c r="AB17" s="40"/>
      <c r="AC17" s="40"/>
      <c r="AD17" s="40">
        <v>2.105213385E9</v>
      </c>
      <c r="AE17" s="44"/>
      <c r="AF17" s="40"/>
      <c r="AG17" s="40"/>
      <c r="AH17" s="40">
        <v>2.105213385E9</v>
      </c>
      <c r="AI17" s="44"/>
      <c r="AJ17" s="40"/>
      <c r="AK17" s="40"/>
      <c r="AL17" s="40">
        <v>2.105213385E9</v>
      </c>
      <c r="AM17" s="44"/>
      <c r="AN17" s="40"/>
      <c r="AO17" s="40"/>
      <c r="AP17" s="40">
        <v>2.105213385E9</v>
      </c>
      <c r="AQ17" s="44"/>
      <c r="AR17" s="40"/>
      <c r="AS17" s="40"/>
      <c r="AT17" s="40">
        <v>2.105213385E9</v>
      </c>
      <c r="AU17" s="44"/>
      <c r="AV17" s="40"/>
      <c r="AW17" s="40"/>
      <c r="AX17" s="40">
        <v>2.105213385E9</v>
      </c>
      <c r="AY17" s="44"/>
      <c r="AZ17" s="40"/>
      <c r="BA17" s="40"/>
      <c r="BB17" s="40">
        <v>2.105213385E9</v>
      </c>
      <c r="BC17" s="44"/>
      <c r="BD17" s="40"/>
      <c r="BE17" s="40"/>
      <c r="BF17" s="40">
        <v>2.105213385E9</v>
      </c>
      <c r="BG17" s="44"/>
      <c r="BH17" s="24"/>
      <c r="BI17" s="24"/>
      <c r="BJ17" s="45">
        <f t="shared" si="14"/>
        <v>25262560620</v>
      </c>
      <c r="BK17" s="46">
        <f t="shared" si="15"/>
        <v>-7678298736</v>
      </c>
    </row>
    <row r="18">
      <c r="A18" s="49" t="s">
        <v>39</v>
      </c>
      <c r="B18" s="50" t="s">
        <v>40</v>
      </c>
      <c r="C18" s="51"/>
      <c r="D18" s="52"/>
      <c r="E18" s="33"/>
      <c r="F18" s="51"/>
      <c r="G18" s="52"/>
      <c r="H18" s="48"/>
      <c r="I18" s="38"/>
      <c r="J18" s="38"/>
      <c r="K18" s="38"/>
      <c r="L18" s="39"/>
      <c r="M18" s="39"/>
      <c r="N18" s="53"/>
      <c r="O18" s="41"/>
      <c r="P18" s="42">
        <f t="shared" si="8"/>
        <v>0</v>
      </c>
      <c r="Q18" s="43" t="str">
        <f t="shared" si="9"/>
        <v>#DIV/0!</v>
      </c>
      <c r="R18" s="53"/>
      <c r="S18" s="41"/>
      <c r="T18" s="42">
        <f t="shared" si="10"/>
        <v>0</v>
      </c>
      <c r="U18" s="43" t="str">
        <f t="shared" si="11"/>
        <v>#DIV/0!</v>
      </c>
      <c r="V18" s="53"/>
      <c r="W18" s="41"/>
      <c r="X18" s="42">
        <f t="shared" si="12"/>
        <v>0</v>
      </c>
      <c r="Y18" s="43" t="str">
        <f t="shared" si="13"/>
        <v>#DIV/0!</v>
      </c>
      <c r="Z18" s="53"/>
      <c r="AA18" s="54"/>
      <c r="AB18" s="53"/>
      <c r="AC18" s="53"/>
      <c r="AD18" s="53"/>
      <c r="AE18" s="54"/>
      <c r="AF18" s="53"/>
      <c r="AG18" s="53"/>
      <c r="AH18" s="53"/>
      <c r="AI18" s="54"/>
      <c r="AJ18" s="53"/>
      <c r="AK18" s="53"/>
      <c r="AL18" s="53"/>
      <c r="AM18" s="54"/>
      <c r="AN18" s="53"/>
      <c r="AO18" s="53"/>
      <c r="AP18" s="53"/>
      <c r="AQ18" s="54"/>
      <c r="AR18" s="53"/>
      <c r="AS18" s="53"/>
      <c r="AT18" s="53"/>
      <c r="AU18" s="54"/>
      <c r="AV18" s="53"/>
      <c r="AW18" s="53"/>
      <c r="AX18" s="53"/>
      <c r="AY18" s="54"/>
      <c r="AZ18" s="53"/>
      <c r="BA18" s="53"/>
      <c r="BB18" s="53"/>
      <c r="BC18" s="54"/>
      <c r="BD18" s="53"/>
      <c r="BE18" s="53"/>
      <c r="BF18" s="53"/>
      <c r="BG18" s="54"/>
      <c r="BH18" s="24"/>
      <c r="BI18" s="24"/>
      <c r="BJ18" s="24">
        <f t="shared" si="14"/>
        <v>0</v>
      </c>
      <c r="BK18" s="55">
        <f t="shared" si="15"/>
        <v>0</v>
      </c>
    </row>
    <row r="19">
      <c r="A19" s="56">
        <v>11.0</v>
      </c>
      <c r="B19" s="57" t="s">
        <v>41</v>
      </c>
      <c r="C19" s="58">
        <v>11.0</v>
      </c>
      <c r="D19" s="59">
        <v>1.0</v>
      </c>
      <c r="E19" s="33">
        <f t="shared" ref="E19:E24" si="25">C19+D19</f>
        <v>12</v>
      </c>
      <c r="F19" s="35">
        <f>'DB Monitoring'!AC495</f>
        <v>26593733004</v>
      </c>
      <c r="G19" s="60">
        <f>'DB Monitoring'!AC514</f>
        <v>260489103</v>
      </c>
      <c r="H19" s="35">
        <f t="shared" ref="H19:H24" si="26">F19+G19</f>
        <v>26854222107</v>
      </c>
      <c r="I19" s="37">
        <f t="shared" ref="I19:J19" si="24">N19+R19+V19</f>
        <v>7994342766</v>
      </c>
      <c r="J19" s="37">
        <f t="shared" si="24"/>
        <v>2719115529</v>
      </c>
      <c r="K19" s="37">
        <f t="shared" ref="K19:K24" si="28">J19-I19</f>
        <v>-5275227237</v>
      </c>
      <c r="L19" s="39">
        <f t="shared" ref="L19:L24" si="29">J19/I19</f>
        <v>0.3401299655</v>
      </c>
      <c r="M19" s="39">
        <f t="shared" ref="M19:M24" si="30">J19/H19</f>
        <v>0.1012546749</v>
      </c>
      <c r="N19" s="40">
        <v>2.450955229168333E9</v>
      </c>
      <c r="O19" s="41">
        <f>'DB Monitoring'!Q520</f>
        <v>916063849</v>
      </c>
      <c r="P19" s="42">
        <f t="shared" si="8"/>
        <v>-1534891380</v>
      </c>
      <c r="Q19" s="43">
        <f t="shared" si="9"/>
        <v>0.3737578876</v>
      </c>
      <c r="R19" s="40">
        <v>2.771693768168333E9</v>
      </c>
      <c r="S19" s="41">
        <f>'DB Monitoring'!R520</f>
        <v>918932357</v>
      </c>
      <c r="T19" s="42">
        <f t="shared" si="10"/>
        <v>-1852761411</v>
      </c>
      <c r="U19" s="43">
        <f t="shared" si="11"/>
        <v>0.3315418058</v>
      </c>
      <c r="V19" s="40">
        <v>2.771693768168333E9</v>
      </c>
      <c r="W19" s="41">
        <f>'DB Monitoring'!S520</f>
        <v>884119323</v>
      </c>
      <c r="X19" s="42">
        <f t="shared" si="12"/>
        <v>-1887574445</v>
      </c>
      <c r="Y19" s="43">
        <f t="shared" si="13"/>
        <v>0.3189816037</v>
      </c>
      <c r="Z19" s="40">
        <v>2.771693768168333E9</v>
      </c>
      <c r="AA19" s="44"/>
      <c r="AB19" s="40"/>
      <c r="AC19" s="40"/>
      <c r="AD19" s="40">
        <v>2.771693768168333E9</v>
      </c>
      <c r="AE19" s="44"/>
      <c r="AF19" s="40"/>
      <c r="AG19" s="40"/>
      <c r="AH19" s="40">
        <v>2.771693768168333E9</v>
      </c>
      <c r="AI19" s="44"/>
      <c r="AJ19" s="40"/>
      <c r="AK19" s="40"/>
      <c r="AL19" s="40">
        <v>2.771693768168333E9</v>
      </c>
      <c r="AM19" s="44"/>
      <c r="AN19" s="40"/>
      <c r="AO19" s="40"/>
      <c r="AP19" s="40">
        <v>2.771693768168333E9</v>
      </c>
      <c r="AQ19" s="44"/>
      <c r="AR19" s="40"/>
      <c r="AS19" s="40"/>
      <c r="AT19" s="40">
        <v>2.771693768168333E9</v>
      </c>
      <c r="AU19" s="44"/>
      <c r="AV19" s="40"/>
      <c r="AW19" s="40"/>
      <c r="AX19" s="40">
        <v>2.771693768168333E9</v>
      </c>
      <c r="AY19" s="44"/>
      <c r="AZ19" s="40"/>
      <c r="BA19" s="40"/>
      <c r="BB19" s="40">
        <v>2.771693768168333E9</v>
      </c>
      <c r="BC19" s="44"/>
      <c r="BD19" s="40"/>
      <c r="BE19" s="40"/>
      <c r="BF19" s="40">
        <v>2.771693768168333E9</v>
      </c>
      <c r="BG19" s="44"/>
      <c r="BH19" s="24"/>
      <c r="BI19" s="24"/>
      <c r="BJ19" s="45">
        <f t="shared" si="14"/>
        <v>32939586679</v>
      </c>
      <c r="BK19" s="46">
        <f t="shared" si="15"/>
        <v>-6085364572</v>
      </c>
    </row>
    <row r="20">
      <c r="A20" s="56">
        <v>12.0</v>
      </c>
      <c r="B20" s="57" t="s">
        <v>42</v>
      </c>
      <c r="C20" s="58">
        <v>44.0</v>
      </c>
      <c r="D20" s="61"/>
      <c r="E20" s="33">
        <f t="shared" si="25"/>
        <v>44</v>
      </c>
      <c r="F20" s="35">
        <f>'DB Monitoring'!AC561</f>
        <v>836996160943</v>
      </c>
      <c r="G20" s="61"/>
      <c r="H20" s="35">
        <f t="shared" si="26"/>
        <v>836996160943</v>
      </c>
      <c r="I20" s="37">
        <f t="shared" ref="I20:J20" si="27">N20+R20+V20</f>
        <v>196942394554</v>
      </c>
      <c r="J20" s="37">
        <f t="shared" si="27"/>
        <v>0</v>
      </c>
      <c r="K20" s="37">
        <f t="shared" si="28"/>
        <v>-196942394554</v>
      </c>
      <c r="L20" s="39">
        <f t="shared" si="29"/>
        <v>0</v>
      </c>
      <c r="M20" s="39">
        <f t="shared" si="30"/>
        <v>0</v>
      </c>
      <c r="N20" s="40">
        <v>6.5718721488536705E10</v>
      </c>
      <c r="O20" s="41" t="str">
        <f>'DB Monitoring'!Q1132</f>
        <v/>
      </c>
      <c r="P20" s="42">
        <f t="shared" si="8"/>
        <v>-65718721489</v>
      </c>
      <c r="Q20" s="43">
        <f t="shared" si="9"/>
        <v>0</v>
      </c>
      <c r="R20" s="40">
        <v>6.550495157671551E10</v>
      </c>
      <c r="S20" s="41" t="str">
        <f>'DB Monitoring'!R1132</f>
        <v/>
      </c>
      <c r="T20" s="42">
        <f t="shared" si="10"/>
        <v>-65504951577</v>
      </c>
      <c r="U20" s="43">
        <f t="shared" si="11"/>
        <v>0</v>
      </c>
      <c r="V20" s="40">
        <v>6.5718721488536705E10</v>
      </c>
      <c r="W20" s="41" t="str">
        <f>'DB Monitoring'!S1132</f>
        <v/>
      </c>
      <c r="X20" s="42">
        <f t="shared" si="12"/>
        <v>-65718721489</v>
      </c>
      <c r="Y20" s="43">
        <f t="shared" si="13"/>
        <v>0</v>
      </c>
      <c r="Z20" s="40">
        <f t="shared" ref="Z20:Z21" si="32">V20</f>
        <v>65718721489</v>
      </c>
      <c r="AA20" s="44"/>
      <c r="AB20" s="40"/>
      <c r="AC20" s="40"/>
      <c r="AD20" s="40">
        <v>6.571872148953671E10</v>
      </c>
      <c r="AE20" s="44"/>
      <c r="AF20" s="40"/>
      <c r="AG20" s="40"/>
      <c r="AH20" s="40">
        <v>7.062183957132951E10</v>
      </c>
      <c r="AI20" s="44"/>
      <c r="AJ20" s="40"/>
      <c r="AK20" s="40"/>
      <c r="AL20" s="40">
        <v>6.571872149053671E10</v>
      </c>
      <c r="AM20" s="44"/>
      <c r="AN20" s="40"/>
      <c r="AO20" s="40"/>
      <c r="AP20" s="40">
        <v>6.567014199153671E10</v>
      </c>
      <c r="AQ20" s="44"/>
      <c r="AR20" s="40"/>
      <c r="AS20" s="40"/>
      <c r="AT20" s="40">
        <v>6.5660277495229706E10</v>
      </c>
      <c r="AU20" s="44"/>
      <c r="AV20" s="40"/>
      <c r="AW20" s="40"/>
      <c r="AX20" s="40">
        <v>6.567014199253671E10</v>
      </c>
      <c r="AY20" s="44"/>
      <c r="AZ20" s="40"/>
      <c r="BA20" s="40"/>
      <c r="BB20" s="40">
        <v>6.5660277496229706E10</v>
      </c>
      <c r="BC20" s="44"/>
      <c r="BD20" s="40"/>
      <c r="BE20" s="40"/>
      <c r="BF20" s="40">
        <v>7.067014199353671E10</v>
      </c>
      <c r="BG20" s="44"/>
      <c r="BH20" s="24"/>
      <c r="BI20" s="24"/>
      <c r="BJ20" s="45">
        <f t="shared" si="14"/>
        <v>798051379563</v>
      </c>
      <c r="BK20" s="46">
        <f t="shared" si="15"/>
        <v>38944781380</v>
      </c>
    </row>
    <row r="21">
      <c r="A21" s="56">
        <v>13.0</v>
      </c>
      <c r="B21" s="57" t="s">
        <v>43</v>
      </c>
      <c r="C21" s="58">
        <v>5.0</v>
      </c>
      <c r="D21" s="61"/>
      <c r="E21" s="33">
        <f t="shared" si="25"/>
        <v>5</v>
      </c>
      <c r="F21" s="35">
        <f>'DB Monitoring'!AC1156</f>
        <v>6153031137</v>
      </c>
      <c r="G21" s="61"/>
      <c r="H21" s="35">
        <f t="shared" si="26"/>
        <v>6153031137</v>
      </c>
      <c r="I21" s="38" t="str">
        <f t="shared" ref="I21:J21" si="31">N21+R21+V21</f>
        <v>#REF!</v>
      </c>
      <c r="J21" s="37">
        <f t="shared" si="31"/>
        <v>48902049</v>
      </c>
      <c r="K21" s="38" t="str">
        <f t="shared" si="28"/>
        <v>#REF!</v>
      </c>
      <c r="L21" s="39" t="str">
        <f t="shared" si="29"/>
        <v>#REF!</v>
      </c>
      <c r="M21" s="39">
        <f t="shared" si="30"/>
        <v>0.00794763555</v>
      </c>
      <c r="N21" s="40" t="str">
        <f>'PROKER DM 2025'!V196+'PROKER DM 2025'!V197+'PROKER DM 2025'!V198+'PROKER DM 2025'!V199+'PROKER DM 2025'!V272</f>
        <v>#REF!</v>
      </c>
      <c r="O21" s="41">
        <f>'DB Monitoring'!Q1166</f>
        <v>16300683</v>
      </c>
      <c r="P21" s="42" t="str">
        <f t="shared" si="8"/>
        <v>#REF!</v>
      </c>
      <c r="Q21" s="43" t="str">
        <f t="shared" si="9"/>
        <v>#REF!</v>
      </c>
      <c r="R21" s="40" t="str">
        <f>N21</f>
        <v>#REF!</v>
      </c>
      <c r="S21" s="41">
        <f>'DB Monitoring'!R1166</f>
        <v>16300683</v>
      </c>
      <c r="T21" s="42" t="str">
        <f t="shared" si="10"/>
        <v>#REF!</v>
      </c>
      <c r="U21" s="43" t="str">
        <f t="shared" si="11"/>
        <v>#REF!</v>
      </c>
      <c r="V21" s="40" t="str">
        <f>R21</f>
        <v>#REF!</v>
      </c>
      <c r="W21" s="41">
        <f>'DB Monitoring'!S1166</f>
        <v>16300683</v>
      </c>
      <c r="X21" s="42" t="str">
        <f t="shared" si="12"/>
        <v>#REF!</v>
      </c>
      <c r="Y21" s="43" t="str">
        <f t="shared" si="13"/>
        <v>#REF!</v>
      </c>
      <c r="Z21" s="40" t="str">
        <f t="shared" si="32"/>
        <v>#REF!</v>
      </c>
      <c r="AA21" s="44"/>
      <c r="AB21" s="40"/>
      <c r="AC21" s="40"/>
      <c r="AD21" s="40" t="str">
        <f>Z21</f>
        <v>#REF!</v>
      </c>
      <c r="AE21" s="44"/>
      <c r="AF21" s="40"/>
      <c r="AG21" s="40"/>
      <c r="AH21" s="40" t="str">
        <f>AD21</f>
        <v>#REF!</v>
      </c>
      <c r="AI21" s="44"/>
      <c r="AJ21" s="40"/>
      <c r="AK21" s="40"/>
      <c r="AL21" s="40" t="str">
        <f>AH21</f>
        <v>#REF!</v>
      </c>
      <c r="AM21" s="44"/>
      <c r="AN21" s="40"/>
      <c r="AO21" s="40"/>
      <c r="AP21" s="40" t="str">
        <f>AL21</f>
        <v>#REF!</v>
      </c>
      <c r="AQ21" s="44"/>
      <c r="AR21" s="40"/>
      <c r="AS21" s="40"/>
      <c r="AT21" s="40" t="str">
        <f>AP21</f>
        <v>#REF!</v>
      </c>
      <c r="AU21" s="44"/>
      <c r="AV21" s="40"/>
      <c r="AW21" s="40"/>
      <c r="AX21" s="40" t="str">
        <f>AT21</f>
        <v>#REF!</v>
      </c>
      <c r="AY21" s="44"/>
      <c r="AZ21" s="40"/>
      <c r="BA21" s="40"/>
      <c r="BB21" s="40" t="str">
        <f>AX21</f>
        <v>#REF!</v>
      </c>
      <c r="BC21" s="44"/>
      <c r="BD21" s="40"/>
      <c r="BE21" s="40"/>
      <c r="BF21" s="40" t="str">
        <f>BB21</f>
        <v>#REF!</v>
      </c>
      <c r="BG21" s="44"/>
      <c r="BH21" s="24"/>
      <c r="BI21" s="24"/>
      <c r="BJ21" s="24" t="str">
        <f t="shared" si="14"/>
        <v>#REF!</v>
      </c>
      <c r="BK21" s="55" t="str">
        <f t="shared" si="15"/>
        <v>#REF!</v>
      </c>
    </row>
    <row r="22">
      <c r="A22" s="56">
        <v>14.0</v>
      </c>
      <c r="B22" s="57" t="s">
        <v>44</v>
      </c>
      <c r="C22" s="62">
        <v>2.0</v>
      </c>
      <c r="D22" s="59">
        <v>3.0</v>
      </c>
      <c r="E22" s="33">
        <f t="shared" si="25"/>
        <v>5</v>
      </c>
      <c r="F22" s="35">
        <f>'DB Monitoring'!AC1195</f>
        <v>2723965954</v>
      </c>
      <c r="G22" s="60">
        <f>'DB Monitoring'!AC1192+'DB Monitoring'!AC1197+'DB Monitoring'!AC1200</f>
        <v>1206876710</v>
      </c>
      <c r="H22" s="35">
        <f t="shared" si="26"/>
        <v>3930842664</v>
      </c>
      <c r="I22" s="37">
        <f t="shared" ref="I22:J22" si="33">N22+R22+V22</f>
        <v>339874388.9</v>
      </c>
      <c r="J22" s="37">
        <f t="shared" si="33"/>
        <v>0</v>
      </c>
      <c r="K22" s="37">
        <f t="shared" si="28"/>
        <v>-339874388.9</v>
      </c>
      <c r="L22" s="39">
        <f t="shared" si="29"/>
        <v>0</v>
      </c>
      <c r="M22" s="39">
        <f t="shared" si="30"/>
        <v>0</v>
      </c>
      <c r="N22" s="40">
        <v>1.1329146295502889E8</v>
      </c>
      <c r="O22" s="41" t="str">
        <f>'DB Monitoring'!Q1219</f>
        <v/>
      </c>
      <c r="P22" s="42">
        <f t="shared" si="8"/>
        <v>-113291463</v>
      </c>
      <c r="Q22" s="43">
        <f t="shared" si="9"/>
        <v>0</v>
      </c>
      <c r="R22" s="40">
        <v>1.1329146295502889E8</v>
      </c>
      <c r="S22" s="41" t="str">
        <f>'DB Monitoring'!R1219</f>
        <v/>
      </c>
      <c r="T22" s="42">
        <f t="shared" si="10"/>
        <v>-113291463</v>
      </c>
      <c r="U22" s="43">
        <f t="shared" si="11"/>
        <v>0</v>
      </c>
      <c r="V22" s="40">
        <v>1.1329146295502889E8</v>
      </c>
      <c r="W22" s="41" t="str">
        <f>'DB Monitoring'!S1219</f>
        <v/>
      </c>
      <c r="X22" s="42">
        <f t="shared" si="12"/>
        <v>-113291463</v>
      </c>
      <c r="Y22" s="43">
        <f t="shared" si="13"/>
        <v>0</v>
      </c>
      <c r="Z22" s="40">
        <v>1.1329146295502889E8</v>
      </c>
      <c r="AA22" s="44"/>
      <c r="AB22" s="40"/>
      <c r="AC22" s="40"/>
      <c r="AD22" s="40">
        <v>2.325334629550289E8</v>
      </c>
      <c r="AE22" s="44"/>
      <c r="AF22" s="40"/>
      <c r="AG22" s="40"/>
      <c r="AH22" s="40">
        <v>2.500830439550289E8</v>
      </c>
      <c r="AI22" s="44"/>
      <c r="AJ22" s="40"/>
      <c r="AK22" s="40"/>
      <c r="AL22" s="40">
        <v>2.500830439550289E8</v>
      </c>
      <c r="AM22" s="44"/>
      <c r="AN22" s="40"/>
      <c r="AO22" s="40"/>
      <c r="AP22" s="40">
        <v>2.500830439550289E8</v>
      </c>
      <c r="AQ22" s="44"/>
      <c r="AR22" s="40"/>
      <c r="AS22" s="40"/>
      <c r="AT22" s="40">
        <v>3.220043769550289E8</v>
      </c>
      <c r="AU22" s="44"/>
      <c r="AV22" s="40"/>
      <c r="AW22" s="40"/>
      <c r="AX22" s="40">
        <v>3.220043769550289E8</v>
      </c>
      <c r="AY22" s="44"/>
      <c r="AZ22" s="40"/>
      <c r="BA22" s="40"/>
      <c r="BB22" s="40">
        <v>3.220043769550289E8</v>
      </c>
      <c r="BC22" s="44"/>
      <c r="BD22" s="40"/>
      <c r="BE22" s="40"/>
      <c r="BF22" s="40">
        <v>3.220043769550289E8</v>
      </c>
      <c r="BG22" s="44"/>
      <c r="BH22" s="24"/>
      <c r="BI22" s="24"/>
      <c r="BJ22" s="45">
        <f t="shared" si="14"/>
        <v>2723965954</v>
      </c>
      <c r="BK22" s="46">
        <f t="shared" si="15"/>
        <v>1206876710</v>
      </c>
    </row>
    <row r="23">
      <c r="A23" s="56">
        <v>15.0</v>
      </c>
      <c r="B23" s="57" t="s">
        <v>45</v>
      </c>
      <c r="C23" s="62">
        <v>0.0</v>
      </c>
      <c r="D23" s="59">
        <v>3.0</v>
      </c>
      <c r="E23" s="33">
        <f t="shared" si="25"/>
        <v>3</v>
      </c>
      <c r="F23" s="35">
        <f>'DB Monitoring'!AC1243</f>
        <v>597484753</v>
      </c>
      <c r="G23" s="60">
        <f>'DB Monitoring'!AC1221+'DB Monitoring'!AC1226+'DB Monitoring'!AC1235</f>
        <v>1400844588</v>
      </c>
      <c r="H23" s="35">
        <f t="shared" si="26"/>
        <v>1998329341</v>
      </c>
      <c r="I23" s="37">
        <f t="shared" ref="I23:J23" si="34">N23+R23+V23</f>
        <v>0</v>
      </c>
      <c r="J23" s="37">
        <f t="shared" si="34"/>
        <v>0</v>
      </c>
      <c r="K23" s="37">
        <f t="shared" si="28"/>
        <v>0</v>
      </c>
      <c r="L23" s="39" t="str">
        <f t="shared" si="29"/>
        <v>#DIV/0!</v>
      </c>
      <c r="M23" s="39">
        <f t="shared" si="30"/>
        <v>0</v>
      </c>
      <c r="N23" s="40">
        <v>0.0</v>
      </c>
      <c r="O23" s="41">
        <f>'DB Monitoring'!Q1243</f>
        <v>0</v>
      </c>
      <c r="P23" s="42">
        <f t="shared" si="8"/>
        <v>0</v>
      </c>
      <c r="Q23" s="43" t="str">
        <f t="shared" si="9"/>
        <v>#DIV/0!</v>
      </c>
      <c r="R23" s="40">
        <v>0.0</v>
      </c>
      <c r="S23" s="41">
        <f>'DB Monitoring'!R1243</f>
        <v>0</v>
      </c>
      <c r="T23" s="42">
        <f t="shared" si="10"/>
        <v>0</v>
      </c>
      <c r="U23" s="43" t="str">
        <f t="shared" si="11"/>
        <v>#DIV/0!</v>
      </c>
      <c r="V23" s="40">
        <v>0.0</v>
      </c>
      <c r="W23" s="41">
        <f>'DB Monitoring'!S1243</f>
        <v>0</v>
      </c>
      <c r="X23" s="42">
        <f t="shared" si="12"/>
        <v>0</v>
      </c>
      <c r="Y23" s="43" t="str">
        <f t="shared" si="13"/>
        <v>#DIV/0!</v>
      </c>
      <c r="Z23" s="40">
        <v>3.2415417E7</v>
      </c>
      <c r="AA23" s="44"/>
      <c r="AB23" s="40"/>
      <c r="AC23" s="40"/>
      <c r="AD23" s="40">
        <v>6.8008667E7</v>
      </c>
      <c r="AE23" s="44"/>
      <c r="AF23" s="40"/>
      <c r="AG23" s="40"/>
      <c r="AH23" s="40">
        <v>6.8008667E7</v>
      </c>
      <c r="AI23" s="44"/>
      <c r="AJ23" s="40"/>
      <c r="AK23" s="40"/>
      <c r="AL23" s="40">
        <v>6.8008667E7</v>
      </c>
      <c r="AM23" s="44"/>
      <c r="AN23" s="40"/>
      <c r="AO23" s="40"/>
      <c r="AP23" s="40">
        <v>6.8008667E7</v>
      </c>
      <c r="AQ23" s="44"/>
      <c r="AR23" s="40"/>
      <c r="AS23" s="40"/>
      <c r="AT23" s="40">
        <v>6.8008667E7</v>
      </c>
      <c r="AU23" s="44"/>
      <c r="AV23" s="40"/>
      <c r="AW23" s="40"/>
      <c r="AX23" s="40">
        <v>6.8008667E7</v>
      </c>
      <c r="AY23" s="44"/>
      <c r="AZ23" s="40"/>
      <c r="BA23" s="40"/>
      <c r="BB23" s="40">
        <v>7.8508667E7</v>
      </c>
      <c r="BC23" s="44"/>
      <c r="BD23" s="40"/>
      <c r="BE23" s="40"/>
      <c r="BF23" s="40">
        <v>7.8508667E7</v>
      </c>
      <c r="BG23" s="44"/>
      <c r="BH23" s="24"/>
      <c r="BI23" s="24"/>
      <c r="BJ23" s="45">
        <f t="shared" si="14"/>
        <v>597484753</v>
      </c>
      <c r="BK23" s="46">
        <f t="shared" si="15"/>
        <v>1400844588</v>
      </c>
    </row>
    <row r="24">
      <c r="A24" s="56">
        <v>16.0</v>
      </c>
      <c r="B24" s="57" t="s">
        <v>46</v>
      </c>
      <c r="C24" s="58">
        <v>5.0</v>
      </c>
      <c r="D24" s="59">
        <v>1.0</v>
      </c>
      <c r="E24" s="33">
        <f t="shared" si="25"/>
        <v>6</v>
      </c>
      <c r="F24" s="35">
        <f>'DB Monitoring'!AC1263</f>
        <v>6708041532</v>
      </c>
      <c r="G24" s="60">
        <f>'DB Monitoring'!AC1245</f>
        <v>0</v>
      </c>
      <c r="H24" s="35">
        <f t="shared" si="26"/>
        <v>6708041532</v>
      </c>
      <c r="I24" s="37">
        <f t="shared" ref="I24:J24" si="35">N24+R24+V24</f>
        <v>1333862976</v>
      </c>
      <c r="J24" s="37">
        <f t="shared" si="35"/>
        <v>0</v>
      </c>
      <c r="K24" s="37">
        <f t="shared" si="28"/>
        <v>-1333862976</v>
      </c>
      <c r="L24" s="39">
        <f t="shared" si="29"/>
        <v>0</v>
      </c>
      <c r="M24" s="39">
        <f t="shared" si="30"/>
        <v>0</v>
      </c>
      <c r="N24" s="40">
        <v>4.44620992E8</v>
      </c>
      <c r="O24" s="41" t="str">
        <f>'DB Monitoring'!Q1333</f>
        <v/>
      </c>
      <c r="P24" s="42">
        <f t="shared" si="8"/>
        <v>-444620992</v>
      </c>
      <c r="Q24" s="43">
        <f t="shared" si="9"/>
        <v>0</v>
      </c>
      <c r="R24" s="40">
        <v>4.44620992E8</v>
      </c>
      <c r="S24" s="41" t="str">
        <f>'DB Monitoring'!R1333</f>
        <v/>
      </c>
      <c r="T24" s="42">
        <f t="shared" si="10"/>
        <v>-444620992</v>
      </c>
      <c r="U24" s="43">
        <f t="shared" si="11"/>
        <v>0</v>
      </c>
      <c r="V24" s="40">
        <v>4.44620992E8</v>
      </c>
      <c r="W24" s="41" t="str">
        <f>'DB Monitoring'!S1333</f>
        <v/>
      </c>
      <c r="X24" s="42">
        <f t="shared" si="12"/>
        <v>-444620992</v>
      </c>
      <c r="Y24" s="43">
        <f t="shared" si="13"/>
        <v>0</v>
      </c>
      <c r="Z24" s="40">
        <v>4.44620992E8</v>
      </c>
      <c r="AA24" s="44"/>
      <c r="AB24" s="40"/>
      <c r="AC24" s="40"/>
      <c r="AD24" s="40">
        <v>4.44620992E8</v>
      </c>
      <c r="AE24" s="44"/>
      <c r="AF24" s="40"/>
      <c r="AG24" s="40"/>
      <c r="AH24" s="40">
        <v>4.44620992E8</v>
      </c>
      <c r="AI24" s="44"/>
      <c r="AJ24" s="40"/>
      <c r="AK24" s="40"/>
      <c r="AL24" s="40">
        <v>4.44620992E8</v>
      </c>
      <c r="AM24" s="44"/>
      <c r="AN24" s="40"/>
      <c r="AO24" s="40"/>
      <c r="AP24" s="40">
        <v>4.44620992E8</v>
      </c>
      <c r="AQ24" s="44"/>
      <c r="AR24" s="40"/>
      <c r="AS24" s="40"/>
      <c r="AT24" s="40">
        <v>6.15056902E8</v>
      </c>
      <c r="AU24" s="44"/>
      <c r="AV24" s="40"/>
      <c r="AW24" s="40"/>
      <c r="AX24" s="40">
        <v>6.15056902E8</v>
      </c>
      <c r="AY24" s="44"/>
      <c r="AZ24" s="40"/>
      <c r="BA24" s="40"/>
      <c r="BB24" s="40">
        <v>6.15056902E8</v>
      </c>
      <c r="BC24" s="44"/>
      <c r="BD24" s="40"/>
      <c r="BE24" s="40"/>
      <c r="BF24" s="40">
        <v>6.15056902E8</v>
      </c>
      <c r="BG24" s="44"/>
      <c r="BH24" s="24"/>
      <c r="BI24" s="24"/>
      <c r="BJ24" s="45">
        <f t="shared" si="14"/>
        <v>6017195544</v>
      </c>
      <c r="BK24" s="46">
        <f t="shared" si="15"/>
        <v>690845988</v>
      </c>
    </row>
    <row r="25">
      <c r="A25" s="63" t="s">
        <v>47</v>
      </c>
      <c r="B25" s="50" t="s">
        <v>48</v>
      </c>
      <c r="C25" s="64"/>
      <c r="D25" s="65"/>
      <c r="E25" s="34"/>
      <c r="F25" s="65"/>
      <c r="G25" s="65"/>
      <c r="H25" s="48"/>
      <c r="I25" s="38"/>
      <c r="J25" s="38"/>
      <c r="K25" s="38"/>
      <c r="L25" s="39"/>
      <c r="M25" s="39"/>
      <c r="N25" s="53"/>
      <c r="O25" s="41"/>
      <c r="P25" s="42">
        <f t="shared" si="8"/>
        <v>0</v>
      </c>
      <c r="Q25" s="43" t="str">
        <f t="shared" si="9"/>
        <v>#DIV/0!</v>
      </c>
      <c r="R25" s="53"/>
      <c r="S25" s="41"/>
      <c r="T25" s="42">
        <f t="shared" si="10"/>
        <v>0</v>
      </c>
      <c r="U25" s="43" t="str">
        <f t="shared" si="11"/>
        <v>#DIV/0!</v>
      </c>
      <c r="V25" s="53"/>
      <c r="W25" s="41"/>
      <c r="X25" s="42">
        <f t="shared" si="12"/>
        <v>0</v>
      </c>
      <c r="Y25" s="43" t="str">
        <f t="shared" si="13"/>
        <v>#DIV/0!</v>
      </c>
      <c r="Z25" s="53"/>
      <c r="AA25" s="54"/>
      <c r="AB25" s="53"/>
      <c r="AC25" s="53"/>
      <c r="AD25" s="53"/>
      <c r="AE25" s="54"/>
      <c r="AF25" s="53"/>
      <c r="AG25" s="53"/>
      <c r="AH25" s="53"/>
      <c r="AI25" s="54"/>
      <c r="AJ25" s="53"/>
      <c r="AK25" s="53"/>
      <c r="AL25" s="53"/>
      <c r="AM25" s="54"/>
      <c r="AN25" s="53"/>
      <c r="AO25" s="53"/>
      <c r="AP25" s="53"/>
      <c r="AQ25" s="54"/>
      <c r="AR25" s="53"/>
      <c r="AS25" s="53"/>
      <c r="AT25" s="53"/>
      <c r="AU25" s="54"/>
      <c r="AV25" s="53"/>
      <c r="AW25" s="53"/>
      <c r="AX25" s="53"/>
      <c r="AY25" s="54"/>
      <c r="AZ25" s="53"/>
      <c r="BA25" s="53"/>
      <c r="BB25" s="53"/>
      <c r="BC25" s="54"/>
      <c r="BD25" s="53"/>
      <c r="BE25" s="53"/>
      <c r="BF25" s="53"/>
      <c r="BG25" s="54"/>
      <c r="BH25" s="24"/>
      <c r="BI25" s="24"/>
      <c r="BJ25" s="24">
        <f t="shared" si="14"/>
        <v>0</v>
      </c>
      <c r="BK25" s="55">
        <f t="shared" si="15"/>
        <v>0</v>
      </c>
    </row>
    <row r="26">
      <c r="A26" s="56">
        <v>17.0</v>
      </c>
      <c r="B26" s="57" t="s">
        <v>49</v>
      </c>
      <c r="C26" s="62">
        <v>1.0</v>
      </c>
      <c r="D26" s="59">
        <v>28.0</v>
      </c>
      <c r="E26" s="33">
        <f t="shared" ref="E26:E28" si="37">C26+D26</f>
        <v>29</v>
      </c>
      <c r="F26" s="35">
        <f>'DB Monitoring'!AC1348</f>
        <v>60096575126</v>
      </c>
      <c r="G26" s="60">
        <f>'DB Monitoring'!AC1335-F26</f>
        <v>-60096575126</v>
      </c>
      <c r="H26" s="35">
        <f t="shared" ref="H26:H28" si="38">F26+G26</f>
        <v>0</v>
      </c>
      <c r="I26" s="37">
        <f t="shared" ref="I26:J26" si="36">N26+R26+V26</f>
        <v>9853454956</v>
      </c>
      <c r="J26" s="37">
        <f t="shared" si="36"/>
        <v>625000000</v>
      </c>
      <c r="K26" s="37">
        <f t="shared" ref="K26:K28" si="40">J26-I26</f>
        <v>-9228454956</v>
      </c>
      <c r="L26" s="39">
        <f t="shared" ref="L26:L28" si="41">J26/I26</f>
        <v>0.0634295283</v>
      </c>
      <c r="M26" s="39" t="str">
        <f t="shared" ref="M26:M28" si="42">J26/H26</f>
        <v>#DIV/0!</v>
      </c>
      <c r="N26" s="40">
        <v>2.0833333333333334E8</v>
      </c>
      <c r="O26" s="41">
        <f>'DB Monitoring'!Q1489</f>
        <v>208333333.3</v>
      </c>
      <c r="P26" s="42">
        <f t="shared" si="8"/>
        <v>0</v>
      </c>
      <c r="Q26" s="43">
        <f t="shared" si="9"/>
        <v>1</v>
      </c>
      <c r="R26" s="40">
        <v>4.810389349333333E9</v>
      </c>
      <c r="S26" s="41">
        <f>'DB Monitoring'!R1489</f>
        <v>208333333.3</v>
      </c>
      <c r="T26" s="42">
        <f t="shared" si="10"/>
        <v>-4602056016</v>
      </c>
      <c r="U26" s="43">
        <f t="shared" si="11"/>
        <v>0.04330903763</v>
      </c>
      <c r="V26" s="40">
        <v>4.834732273333333E9</v>
      </c>
      <c r="W26" s="41">
        <f>'DB Monitoring'!S1489</f>
        <v>208333333.3</v>
      </c>
      <c r="X26" s="42">
        <f t="shared" si="12"/>
        <v>-4626398940</v>
      </c>
      <c r="Y26" s="43">
        <f t="shared" si="13"/>
        <v>0.0430909762</v>
      </c>
      <c r="Z26" s="40">
        <v>4.839521429333333E9</v>
      </c>
      <c r="AA26" s="44"/>
      <c r="AB26" s="40"/>
      <c r="AC26" s="40"/>
      <c r="AD26" s="40">
        <v>4.842019584333333E9</v>
      </c>
      <c r="AE26" s="44"/>
      <c r="AF26" s="40"/>
      <c r="AG26" s="40"/>
      <c r="AH26" s="40">
        <v>4.932926070333333E9</v>
      </c>
      <c r="AI26" s="44"/>
      <c r="AJ26" s="40"/>
      <c r="AK26" s="40"/>
      <c r="AL26" s="40">
        <v>4.933918914333333E9</v>
      </c>
      <c r="AM26" s="44"/>
      <c r="AN26" s="40"/>
      <c r="AO26" s="40"/>
      <c r="AP26" s="40">
        <v>4.938946834333333E9</v>
      </c>
      <c r="AQ26" s="44"/>
      <c r="AR26" s="40"/>
      <c r="AS26" s="40"/>
      <c r="AT26" s="40">
        <v>4.938946834333333E9</v>
      </c>
      <c r="AU26" s="44"/>
      <c r="AV26" s="40"/>
      <c r="AW26" s="40"/>
      <c r="AX26" s="40">
        <v>4.938946834333333E9</v>
      </c>
      <c r="AY26" s="44"/>
      <c r="AZ26" s="40"/>
      <c r="BA26" s="40"/>
      <c r="BB26" s="40">
        <v>4.938946834333333E9</v>
      </c>
      <c r="BC26" s="44"/>
      <c r="BD26" s="40"/>
      <c r="BE26" s="40"/>
      <c r="BF26" s="40">
        <v>4.938946834333333E9</v>
      </c>
      <c r="BG26" s="44"/>
      <c r="BH26" s="24"/>
      <c r="BI26" s="24"/>
      <c r="BJ26" s="45">
        <f t="shared" si="14"/>
        <v>54096575126</v>
      </c>
      <c r="BK26" s="46">
        <f t="shared" si="15"/>
        <v>-54096575126</v>
      </c>
    </row>
    <row r="27">
      <c r="A27" s="56">
        <v>18.0</v>
      </c>
      <c r="B27" s="57" t="s">
        <v>50</v>
      </c>
      <c r="C27" s="62">
        <v>0.0</v>
      </c>
      <c r="D27" s="59">
        <v>1.0</v>
      </c>
      <c r="E27" s="33">
        <f t="shared" si="37"/>
        <v>1</v>
      </c>
      <c r="F27" s="35">
        <f>'DB Monitoring'!AC1508</f>
        <v>426321000</v>
      </c>
      <c r="G27" s="60">
        <f>'DB Monitoring'!AC1490</f>
        <v>0</v>
      </c>
      <c r="H27" s="35">
        <f t="shared" si="38"/>
        <v>426321000</v>
      </c>
      <c r="I27" s="37">
        <f t="shared" ref="I27:J27" si="39">N27+R27+V27</f>
        <v>0</v>
      </c>
      <c r="J27" s="37">
        <f t="shared" si="39"/>
        <v>687545847</v>
      </c>
      <c r="K27" s="37">
        <f t="shared" si="40"/>
        <v>687545847</v>
      </c>
      <c r="L27" s="39" t="str">
        <f t="shared" si="41"/>
        <v>#DIV/0!</v>
      </c>
      <c r="M27" s="39">
        <f t="shared" si="42"/>
        <v>1.612742152</v>
      </c>
      <c r="N27" s="40"/>
      <c r="O27" s="41">
        <f>'DB Monitoring'!Q1505</f>
        <v>229181949</v>
      </c>
      <c r="P27" s="42">
        <f t="shared" si="8"/>
        <v>229181949</v>
      </c>
      <c r="Q27" s="43" t="str">
        <f t="shared" si="9"/>
        <v>#DIV/0!</v>
      </c>
      <c r="R27" s="40"/>
      <c r="S27" s="41">
        <f>'DB Monitoring'!R1505</f>
        <v>229181949</v>
      </c>
      <c r="T27" s="42">
        <f t="shared" si="10"/>
        <v>229181949</v>
      </c>
      <c r="U27" s="43" t="str">
        <f t="shared" si="11"/>
        <v>#DIV/0!</v>
      </c>
      <c r="V27" s="40"/>
      <c r="W27" s="41">
        <f>'DB Monitoring'!S1505</f>
        <v>229181949</v>
      </c>
      <c r="X27" s="42">
        <f t="shared" si="12"/>
        <v>229181949</v>
      </c>
      <c r="Y27" s="43" t="str">
        <f t="shared" si="13"/>
        <v>#DIV/0!</v>
      </c>
      <c r="Z27" s="40">
        <v>4.7369E7</v>
      </c>
      <c r="AA27" s="44"/>
      <c r="AB27" s="40"/>
      <c r="AC27" s="40"/>
      <c r="AD27" s="40">
        <v>4.7369E7</v>
      </c>
      <c r="AE27" s="44"/>
      <c r="AF27" s="40"/>
      <c r="AG27" s="40"/>
      <c r="AH27" s="40">
        <v>4.7369E7</v>
      </c>
      <c r="AI27" s="44"/>
      <c r="AJ27" s="40"/>
      <c r="AK27" s="40"/>
      <c r="AL27" s="40">
        <v>4.7369E7</v>
      </c>
      <c r="AM27" s="44"/>
      <c r="AN27" s="40"/>
      <c r="AO27" s="40"/>
      <c r="AP27" s="40">
        <v>4.7369E7</v>
      </c>
      <c r="AQ27" s="44"/>
      <c r="AR27" s="40"/>
      <c r="AS27" s="40"/>
      <c r="AT27" s="40">
        <v>4.7369E7</v>
      </c>
      <c r="AU27" s="44"/>
      <c r="AV27" s="40"/>
      <c r="AW27" s="40"/>
      <c r="AX27" s="40">
        <v>4.7369E7</v>
      </c>
      <c r="AY27" s="44"/>
      <c r="AZ27" s="40"/>
      <c r="BA27" s="40"/>
      <c r="BB27" s="40">
        <v>4.7369E7</v>
      </c>
      <c r="BC27" s="44"/>
      <c r="BD27" s="40"/>
      <c r="BE27" s="40"/>
      <c r="BF27" s="40">
        <v>4.7369E7</v>
      </c>
      <c r="BG27" s="44"/>
      <c r="BH27" s="24"/>
      <c r="BI27" s="24"/>
      <c r="BJ27" s="45">
        <f t="shared" si="14"/>
        <v>426321000</v>
      </c>
      <c r="BK27" s="46">
        <f t="shared" si="15"/>
        <v>0</v>
      </c>
    </row>
    <row r="28">
      <c r="A28" s="56">
        <v>19.0</v>
      </c>
      <c r="B28" s="57" t="s">
        <v>51</v>
      </c>
      <c r="C28" s="62">
        <v>1.0</v>
      </c>
      <c r="D28" s="59">
        <v>1.0</v>
      </c>
      <c r="E28" s="33">
        <f t="shared" si="37"/>
        <v>2</v>
      </c>
      <c r="F28" s="35">
        <f>'DB Monitoring'!AC1518</f>
        <v>10511525656</v>
      </c>
      <c r="G28" s="60">
        <f>'DB Monitoring'!AC1509</f>
        <v>426321000</v>
      </c>
      <c r="H28" s="35">
        <f t="shared" si="38"/>
        <v>10937846656</v>
      </c>
      <c r="I28" s="37">
        <f t="shared" ref="I28:J28" si="43">N28+R28+V28</f>
        <v>2500000000</v>
      </c>
      <c r="J28" s="37">
        <f t="shared" si="43"/>
        <v>0</v>
      </c>
      <c r="K28" s="37">
        <f t="shared" si="40"/>
        <v>-2500000000</v>
      </c>
      <c r="L28" s="39">
        <f t="shared" si="41"/>
        <v>0</v>
      </c>
      <c r="M28" s="39">
        <f t="shared" si="42"/>
        <v>0</v>
      </c>
      <c r="N28" s="40">
        <v>8.333333333333334E8</v>
      </c>
      <c r="O28" s="41" t="str">
        <f>'DB Monitoring'!Q1520</f>
        <v/>
      </c>
      <c r="P28" s="42">
        <f t="shared" si="8"/>
        <v>-833333333.3</v>
      </c>
      <c r="Q28" s="43">
        <f t="shared" si="9"/>
        <v>0</v>
      </c>
      <c r="R28" s="40">
        <v>8.333333333333334E8</v>
      </c>
      <c r="S28" s="41" t="str">
        <f>'DB Monitoring'!R1520</f>
        <v/>
      </c>
      <c r="T28" s="42">
        <f t="shared" si="10"/>
        <v>-833333333.3</v>
      </c>
      <c r="U28" s="43">
        <f t="shared" si="11"/>
        <v>0</v>
      </c>
      <c r="V28" s="40">
        <v>8.333333333333334E8</v>
      </c>
      <c r="W28" s="41" t="str">
        <f>'DB Monitoring'!S1520</f>
        <v/>
      </c>
      <c r="X28" s="42">
        <f t="shared" si="12"/>
        <v>-833333333.3</v>
      </c>
      <c r="Y28" s="43">
        <f t="shared" si="13"/>
        <v>0</v>
      </c>
      <c r="Z28" s="40">
        <v>8.901695173333334E8</v>
      </c>
      <c r="AA28" s="44"/>
      <c r="AB28" s="40"/>
      <c r="AC28" s="40"/>
      <c r="AD28" s="40">
        <v>8.901695173333334E8</v>
      </c>
      <c r="AE28" s="44"/>
      <c r="AF28" s="40"/>
      <c r="AG28" s="40"/>
      <c r="AH28" s="40">
        <v>8.901695173333334E8</v>
      </c>
      <c r="AI28" s="44"/>
      <c r="AJ28" s="40"/>
      <c r="AK28" s="40"/>
      <c r="AL28" s="40">
        <v>8.901695173333334E8</v>
      </c>
      <c r="AM28" s="44"/>
      <c r="AN28" s="40"/>
      <c r="AO28" s="40"/>
      <c r="AP28" s="40">
        <v>8.901695173333334E8</v>
      </c>
      <c r="AQ28" s="44"/>
      <c r="AR28" s="40"/>
      <c r="AS28" s="40"/>
      <c r="AT28" s="40">
        <v>8.901695173333334E8</v>
      </c>
      <c r="AU28" s="44"/>
      <c r="AV28" s="40"/>
      <c r="AW28" s="40"/>
      <c r="AX28" s="40">
        <v>8.901695173333334E8</v>
      </c>
      <c r="AY28" s="44"/>
      <c r="AZ28" s="40"/>
      <c r="BA28" s="40"/>
      <c r="BB28" s="40">
        <v>8.901695173333334E8</v>
      </c>
      <c r="BC28" s="44"/>
      <c r="BD28" s="40"/>
      <c r="BE28" s="40"/>
      <c r="BF28" s="40">
        <v>8.901695173333334E8</v>
      </c>
      <c r="BG28" s="44"/>
      <c r="BH28" s="24"/>
      <c r="BI28" s="24"/>
      <c r="BJ28" s="45">
        <f t="shared" si="14"/>
        <v>10511525656</v>
      </c>
      <c r="BK28" s="46">
        <f t="shared" si="15"/>
        <v>426321000</v>
      </c>
    </row>
    <row r="29">
      <c r="A29" s="63" t="s">
        <v>52</v>
      </c>
      <c r="B29" s="50" t="s">
        <v>53</v>
      </c>
      <c r="C29" s="64"/>
      <c r="D29" s="65"/>
      <c r="E29" s="34"/>
      <c r="F29" s="65"/>
      <c r="G29" s="65"/>
      <c r="H29" s="48"/>
      <c r="I29" s="38"/>
      <c r="J29" s="38"/>
      <c r="K29" s="38"/>
      <c r="L29" s="39"/>
      <c r="M29" s="39"/>
      <c r="N29" s="53"/>
      <c r="O29" s="41"/>
      <c r="P29" s="42">
        <f t="shared" si="8"/>
        <v>0</v>
      </c>
      <c r="Q29" s="43" t="str">
        <f t="shared" si="9"/>
        <v>#DIV/0!</v>
      </c>
      <c r="R29" s="53"/>
      <c r="S29" s="41"/>
      <c r="T29" s="42">
        <f t="shared" si="10"/>
        <v>0</v>
      </c>
      <c r="U29" s="43" t="str">
        <f t="shared" si="11"/>
        <v>#DIV/0!</v>
      </c>
      <c r="V29" s="53"/>
      <c r="W29" s="41"/>
      <c r="X29" s="42">
        <f t="shared" si="12"/>
        <v>0</v>
      </c>
      <c r="Y29" s="43" t="str">
        <f t="shared" si="13"/>
        <v>#DIV/0!</v>
      </c>
      <c r="Z29" s="53"/>
      <c r="AA29" s="54"/>
      <c r="AB29" s="53"/>
      <c r="AC29" s="53"/>
      <c r="AD29" s="53"/>
      <c r="AE29" s="54"/>
      <c r="AF29" s="53"/>
      <c r="AG29" s="53"/>
      <c r="AH29" s="53"/>
      <c r="AI29" s="54"/>
      <c r="AJ29" s="53"/>
      <c r="AK29" s="53"/>
      <c r="AL29" s="53"/>
      <c r="AM29" s="54"/>
      <c r="AN29" s="53"/>
      <c r="AO29" s="53"/>
      <c r="AP29" s="53"/>
      <c r="AQ29" s="54"/>
      <c r="AR29" s="53"/>
      <c r="AS29" s="53"/>
      <c r="AT29" s="53"/>
      <c r="AU29" s="54"/>
      <c r="AV29" s="53"/>
      <c r="AW29" s="53"/>
      <c r="AX29" s="53"/>
      <c r="AY29" s="54"/>
      <c r="AZ29" s="53"/>
      <c r="BA29" s="53"/>
      <c r="BB29" s="53"/>
      <c r="BC29" s="54"/>
      <c r="BD29" s="53"/>
      <c r="BE29" s="53"/>
      <c r="BF29" s="53"/>
      <c r="BG29" s="54"/>
      <c r="BH29" s="24"/>
      <c r="BI29" s="24"/>
      <c r="BJ29" s="24">
        <f t="shared" si="14"/>
        <v>0</v>
      </c>
      <c r="BK29" s="55">
        <f t="shared" si="15"/>
        <v>0</v>
      </c>
    </row>
    <row r="30">
      <c r="A30" s="56">
        <v>20.0</v>
      </c>
      <c r="B30" s="57" t="s">
        <v>54</v>
      </c>
      <c r="C30" s="62">
        <v>0.0</v>
      </c>
      <c r="D30" s="59">
        <v>2.0</v>
      </c>
      <c r="E30" s="33">
        <f t="shared" ref="E30:E34" si="45">C30+D30</f>
        <v>2</v>
      </c>
      <c r="F30" s="35">
        <f>'DB Monitoring'!AC1534</f>
        <v>16398118331</v>
      </c>
      <c r="G30" s="60">
        <f>'DB Monitoring'!AC1524</f>
        <v>10000000000</v>
      </c>
      <c r="H30" s="35">
        <f t="shared" ref="H30:H34" si="46">F30+G30</f>
        <v>26398118331</v>
      </c>
      <c r="I30" s="37">
        <f t="shared" ref="I30:J30" si="44">N30+R30+V30</f>
        <v>1531516000</v>
      </c>
      <c r="J30" s="37">
        <f t="shared" si="44"/>
        <v>0</v>
      </c>
      <c r="K30" s="37">
        <f t="shared" ref="K30:K51" si="48">J30-I30</f>
        <v>-1531516000</v>
      </c>
      <c r="L30" s="39">
        <f t="shared" ref="L30:L52" si="49">J30/I30</f>
        <v>0</v>
      </c>
      <c r="M30" s="39">
        <f t="shared" ref="M30:M52" si="50">J30/H30</f>
        <v>0</v>
      </c>
      <c r="N30" s="40">
        <v>0.0</v>
      </c>
      <c r="O30" s="41" t="str">
        <f>'DB Monitoring'!Q1541</f>
        <v/>
      </c>
      <c r="P30" s="42">
        <f t="shared" si="8"/>
        <v>0</v>
      </c>
      <c r="Q30" s="43" t="str">
        <f t="shared" si="9"/>
        <v>#DIV/0!</v>
      </c>
      <c r="R30" s="40">
        <v>0.0</v>
      </c>
      <c r="S30" s="41" t="str">
        <f>'DB Monitoring'!R1541</f>
        <v/>
      </c>
      <c r="T30" s="42">
        <f t="shared" si="10"/>
        <v>0</v>
      </c>
      <c r="U30" s="43" t="str">
        <f t="shared" si="11"/>
        <v>#DIV/0!</v>
      </c>
      <c r="V30" s="40">
        <v>1.531516E9</v>
      </c>
      <c r="W30" s="41" t="str">
        <f>'DB Monitoring'!S1541</f>
        <v/>
      </c>
      <c r="X30" s="42">
        <f t="shared" si="12"/>
        <v>-1531516000</v>
      </c>
      <c r="Y30" s="43">
        <f t="shared" si="13"/>
        <v>0</v>
      </c>
      <c r="Z30" s="40">
        <v>1.531516E9</v>
      </c>
      <c r="AA30" s="44"/>
      <c r="AB30" s="40"/>
      <c r="AC30" s="40"/>
      <c r="AD30" s="40">
        <v>1.531516E9</v>
      </c>
      <c r="AE30" s="44"/>
      <c r="AF30" s="40"/>
      <c r="AG30" s="40"/>
      <c r="AH30" s="40">
        <v>1.686224333E9</v>
      </c>
      <c r="AI30" s="44"/>
      <c r="AJ30" s="40"/>
      <c r="AK30" s="40"/>
      <c r="AL30" s="40">
        <v>1.686224333E9</v>
      </c>
      <c r="AM30" s="44"/>
      <c r="AN30" s="40"/>
      <c r="AO30" s="40"/>
      <c r="AP30" s="40">
        <v>1.686224333E9</v>
      </c>
      <c r="AQ30" s="44"/>
      <c r="AR30" s="40"/>
      <c r="AS30" s="40"/>
      <c r="AT30" s="40">
        <v>1.686224333E9</v>
      </c>
      <c r="AU30" s="44"/>
      <c r="AV30" s="40"/>
      <c r="AW30" s="40"/>
      <c r="AX30" s="40">
        <v>1.686224333E9</v>
      </c>
      <c r="AY30" s="44"/>
      <c r="AZ30" s="40"/>
      <c r="BA30" s="40"/>
      <c r="BB30" s="40">
        <v>1.686224333E9</v>
      </c>
      <c r="BC30" s="44"/>
      <c r="BD30" s="40"/>
      <c r="BE30" s="40"/>
      <c r="BF30" s="40">
        <v>1.686224333E9</v>
      </c>
      <c r="BG30" s="44"/>
      <c r="BH30" s="24"/>
      <c r="BI30" s="24"/>
      <c r="BJ30" s="45">
        <f t="shared" si="14"/>
        <v>16398118331</v>
      </c>
      <c r="BK30" s="46">
        <f t="shared" si="15"/>
        <v>10000000000</v>
      </c>
    </row>
    <row r="31">
      <c r="A31" s="56">
        <v>21.0</v>
      </c>
      <c r="B31" s="57" t="s">
        <v>55</v>
      </c>
      <c r="C31" s="58">
        <v>2.0</v>
      </c>
      <c r="D31" s="61"/>
      <c r="E31" s="33">
        <f t="shared" si="45"/>
        <v>2</v>
      </c>
      <c r="F31" s="35">
        <f>'DB Monitoring'!AC1554</f>
        <v>7552397232</v>
      </c>
      <c r="G31" s="61"/>
      <c r="H31" s="35">
        <f t="shared" si="46"/>
        <v>7552397232</v>
      </c>
      <c r="I31" s="37">
        <f t="shared" ref="I31:J31" si="47">N31+R31+V31</f>
        <v>1888099308</v>
      </c>
      <c r="J31" s="37">
        <f t="shared" si="47"/>
        <v>0</v>
      </c>
      <c r="K31" s="37">
        <f t="shared" si="48"/>
        <v>-1888099308</v>
      </c>
      <c r="L31" s="39">
        <f t="shared" si="49"/>
        <v>0</v>
      </c>
      <c r="M31" s="39">
        <f t="shared" si="50"/>
        <v>0</v>
      </c>
      <c r="N31" s="40">
        <v>6.29366436E8</v>
      </c>
      <c r="O31" s="41" t="str">
        <f>'DB Monitoring'!Q1581</f>
        <v/>
      </c>
      <c r="P31" s="42">
        <f t="shared" si="8"/>
        <v>-629366436</v>
      </c>
      <c r="Q31" s="43">
        <f t="shared" si="9"/>
        <v>0</v>
      </c>
      <c r="R31" s="40">
        <v>6.29366436E8</v>
      </c>
      <c r="S31" s="41" t="str">
        <f>'DB Monitoring'!R1581</f>
        <v/>
      </c>
      <c r="T31" s="42">
        <f t="shared" si="10"/>
        <v>-629366436</v>
      </c>
      <c r="U31" s="43">
        <f t="shared" si="11"/>
        <v>0</v>
      </c>
      <c r="V31" s="40">
        <v>6.29366436E8</v>
      </c>
      <c r="W31" s="41" t="str">
        <f>'DB Monitoring'!S1581</f>
        <v/>
      </c>
      <c r="X31" s="42">
        <f t="shared" si="12"/>
        <v>-629366436</v>
      </c>
      <c r="Y31" s="43">
        <f t="shared" si="13"/>
        <v>0</v>
      </c>
      <c r="Z31" s="40">
        <v>6.29366436E8</v>
      </c>
      <c r="AA31" s="44"/>
      <c r="AB31" s="40"/>
      <c r="AC31" s="40"/>
      <c r="AD31" s="40">
        <v>6.29366436E8</v>
      </c>
      <c r="AE31" s="44"/>
      <c r="AF31" s="40"/>
      <c r="AG31" s="40"/>
      <c r="AH31" s="40">
        <v>6.29366436E8</v>
      </c>
      <c r="AI31" s="44"/>
      <c r="AJ31" s="40"/>
      <c r="AK31" s="40"/>
      <c r="AL31" s="40">
        <v>6.29366436E8</v>
      </c>
      <c r="AM31" s="44"/>
      <c r="AN31" s="40"/>
      <c r="AO31" s="40"/>
      <c r="AP31" s="40">
        <v>6.29366436E8</v>
      </c>
      <c r="AQ31" s="44"/>
      <c r="AR31" s="40"/>
      <c r="AS31" s="40"/>
      <c r="AT31" s="40">
        <v>6.29366436E8</v>
      </c>
      <c r="AU31" s="44"/>
      <c r="AV31" s="40"/>
      <c r="AW31" s="40"/>
      <c r="AX31" s="40">
        <v>6.29366436E8</v>
      </c>
      <c r="AY31" s="44"/>
      <c r="AZ31" s="40"/>
      <c r="BA31" s="40"/>
      <c r="BB31" s="40">
        <v>6.29366436E8</v>
      </c>
      <c r="BC31" s="44"/>
      <c r="BD31" s="40"/>
      <c r="BE31" s="40"/>
      <c r="BF31" s="40">
        <v>6.29366436E8</v>
      </c>
      <c r="BG31" s="44"/>
      <c r="BH31" s="24"/>
      <c r="BI31" s="24"/>
      <c r="BJ31" s="45">
        <f t="shared" si="14"/>
        <v>7552397232</v>
      </c>
      <c r="BK31" s="46">
        <f t="shared" si="15"/>
        <v>0</v>
      </c>
    </row>
    <row r="32">
      <c r="A32" s="56">
        <v>22.0</v>
      </c>
      <c r="B32" s="57" t="s">
        <v>56</v>
      </c>
      <c r="C32" s="62">
        <v>3.0</v>
      </c>
      <c r="D32" s="61"/>
      <c r="E32" s="33">
        <f t="shared" si="45"/>
        <v>3</v>
      </c>
      <c r="F32" s="35">
        <f>'DB Monitoring'!AC1588</f>
        <v>7541260644</v>
      </c>
      <c r="G32" s="61"/>
      <c r="H32" s="35">
        <f t="shared" si="46"/>
        <v>7541260644</v>
      </c>
      <c r="I32" s="37">
        <f t="shared" ref="I32:J32" si="51">N32+R32+V32</f>
        <v>1885315161</v>
      </c>
      <c r="J32" s="37">
        <f t="shared" si="51"/>
        <v>1475170654</v>
      </c>
      <c r="K32" s="37">
        <f t="shared" si="48"/>
        <v>-410144507.2</v>
      </c>
      <c r="L32" s="39">
        <f t="shared" si="49"/>
        <v>0.7824530796</v>
      </c>
      <c r="M32" s="39">
        <f t="shared" si="50"/>
        <v>0.1956132699</v>
      </c>
      <c r="N32" s="40">
        <v>6.28438387E8</v>
      </c>
      <c r="O32" s="41">
        <f>'DB Monitoring'!Q1605</f>
        <v>470382350.1</v>
      </c>
      <c r="P32" s="42">
        <f t="shared" si="8"/>
        <v>-158056036.9</v>
      </c>
      <c r="Q32" s="43">
        <f t="shared" si="9"/>
        <v>0.748493981</v>
      </c>
      <c r="R32" s="40">
        <v>6.28438387E8</v>
      </c>
      <c r="S32" s="41">
        <f>'DB Monitoring'!R1605</f>
        <v>502394151.8</v>
      </c>
      <c r="T32" s="42">
        <f t="shared" si="10"/>
        <v>-126044235.2</v>
      </c>
      <c r="U32" s="43">
        <f t="shared" si="11"/>
        <v>0.7994326289</v>
      </c>
      <c r="V32" s="40">
        <v>6.28438387E8</v>
      </c>
      <c r="W32" s="41">
        <f>'DB Monitoring'!S1605</f>
        <v>502394151.8</v>
      </c>
      <c r="X32" s="42">
        <f t="shared" si="12"/>
        <v>-126044235.2</v>
      </c>
      <c r="Y32" s="43">
        <f t="shared" si="13"/>
        <v>0.7994326289</v>
      </c>
      <c r="Z32" s="40">
        <v>6.28438387E8</v>
      </c>
      <c r="AA32" s="44"/>
      <c r="AB32" s="40"/>
      <c r="AC32" s="40"/>
      <c r="AD32" s="40">
        <v>6.28438387E8</v>
      </c>
      <c r="AE32" s="44"/>
      <c r="AF32" s="40"/>
      <c r="AG32" s="40"/>
      <c r="AH32" s="40">
        <v>6.28438387E8</v>
      </c>
      <c r="AI32" s="44"/>
      <c r="AJ32" s="40"/>
      <c r="AK32" s="40"/>
      <c r="AL32" s="40">
        <v>6.28438387E8</v>
      </c>
      <c r="AM32" s="44"/>
      <c r="AN32" s="40"/>
      <c r="AO32" s="40"/>
      <c r="AP32" s="40">
        <v>6.28438387E8</v>
      </c>
      <c r="AQ32" s="44"/>
      <c r="AR32" s="40"/>
      <c r="AS32" s="40"/>
      <c r="AT32" s="40">
        <v>6.28438387E8</v>
      </c>
      <c r="AU32" s="44"/>
      <c r="AV32" s="40"/>
      <c r="AW32" s="40"/>
      <c r="AX32" s="40">
        <v>6.28438387E8</v>
      </c>
      <c r="AY32" s="44"/>
      <c r="AZ32" s="40"/>
      <c r="BA32" s="40"/>
      <c r="BB32" s="40">
        <v>6.28438387E8</v>
      </c>
      <c r="BC32" s="44"/>
      <c r="BD32" s="40"/>
      <c r="BE32" s="40"/>
      <c r="BF32" s="40">
        <v>6.28438387E8</v>
      </c>
      <c r="BG32" s="44"/>
      <c r="BH32" s="24"/>
      <c r="BI32" s="24"/>
      <c r="BJ32" s="45">
        <f t="shared" si="14"/>
        <v>7541260644</v>
      </c>
      <c r="BK32" s="46">
        <f t="shared" si="15"/>
        <v>0</v>
      </c>
    </row>
    <row r="33">
      <c r="A33" s="56">
        <v>23.0</v>
      </c>
      <c r="B33" s="57" t="s">
        <v>57</v>
      </c>
      <c r="C33" s="62">
        <v>0.0</v>
      </c>
      <c r="D33" s="59">
        <v>3.0</v>
      </c>
      <c r="E33" s="33">
        <f t="shared" si="45"/>
        <v>3</v>
      </c>
      <c r="F33" s="35">
        <f>'DB Monitoring'!AC1605</f>
        <v>2937217809</v>
      </c>
      <c r="G33" s="60">
        <f>'DB Monitoring'!AC1608</f>
        <v>4775674763</v>
      </c>
      <c r="H33" s="35">
        <f t="shared" si="46"/>
        <v>7712892572</v>
      </c>
      <c r="I33" s="37">
        <f t="shared" ref="I33:J33" si="52">N33+R33+V33</f>
        <v>0</v>
      </c>
      <c r="J33" s="37">
        <f t="shared" si="52"/>
        <v>0</v>
      </c>
      <c r="K33" s="37">
        <f t="shared" si="48"/>
        <v>0</v>
      </c>
      <c r="L33" s="39" t="str">
        <f t="shared" si="49"/>
        <v>#DIV/0!</v>
      </c>
      <c r="M33" s="39">
        <f t="shared" si="50"/>
        <v>0</v>
      </c>
      <c r="N33" s="40">
        <v>0.0</v>
      </c>
      <c r="O33" s="41" t="str">
        <f>'DB Monitoring'!Q1625</f>
        <v/>
      </c>
      <c r="P33" s="42">
        <f t="shared" si="8"/>
        <v>0</v>
      </c>
      <c r="Q33" s="43" t="str">
        <f t="shared" si="9"/>
        <v>#DIV/0!</v>
      </c>
      <c r="R33" s="40">
        <v>0.0</v>
      </c>
      <c r="S33" s="41" t="str">
        <f>'DB Monitoring'!R1625</f>
        <v/>
      </c>
      <c r="T33" s="42">
        <f t="shared" si="10"/>
        <v>0</v>
      </c>
      <c r="U33" s="43" t="str">
        <f t="shared" si="11"/>
        <v>#DIV/0!</v>
      </c>
      <c r="V33" s="40">
        <v>0.0</v>
      </c>
      <c r="W33" s="41" t="str">
        <f>'DB Monitoring'!S1625</f>
        <v/>
      </c>
      <c r="X33" s="42">
        <f t="shared" si="12"/>
        <v>0</v>
      </c>
      <c r="Y33" s="43" t="str">
        <f t="shared" si="13"/>
        <v>#DIV/0!</v>
      </c>
      <c r="Z33" s="40">
        <v>1.6902854E8</v>
      </c>
      <c r="AA33" s="44"/>
      <c r="AB33" s="40"/>
      <c r="AC33" s="40"/>
      <c r="AD33" s="40">
        <v>1.6902854E8</v>
      </c>
      <c r="AE33" s="44"/>
      <c r="AF33" s="40"/>
      <c r="AG33" s="40"/>
      <c r="AH33" s="40">
        <v>1.6902854E8</v>
      </c>
      <c r="AI33" s="44"/>
      <c r="AJ33" s="40"/>
      <c r="AK33" s="40"/>
      <c r="AL33" s="40">
        <v>1.6902854E8</v>
      </c>
      <c r="AM33" s="44"/>
      <c r="AN33" s="40"/>
      <c r="AO33" s="40"/>
      <c r="AP33" s="40">
        <v>1.6902854E8</v>
      </c>
      <c r="AQ33" s="44"/>
      <c r="AR33" s="40"/>
      <c r="AS33" s="40"/>
      <c r="AT33" s="40">
        <v>2.4322854E8</v>
      </c>
      <c r="AU33" s="44"/>
      <c r="AV33" s="40"/>
      <c r="AW33" s="40"/>
      <c r="AX33" s="40">
        <v>1.8402854E8</v>
      </c>
      <c r="AY33" s="44"/>
      <c r="AZ33" s="40"/>
      <c r="BA33" s="40"/>
      <c r="BB33" s="40">
        <v>2.2302854E8</v>
      </c>
      <c r="BC33" s="44"/>
      <c r="BD33" s="40"/>
      <c r="BE33" s="40"/>
      <c r="BF33" s="40">
        <v>1.8402854E8</v>
      </c>
      <c r="BG33" s="44"/>
      <c r="BH33" s="24"/>
      <c r="BI33" s="24"/>
      <c r="BJ33" s="45">
        <f t="shared" si="14"/>
        <v>1679456860</v>
      </c>
      <c r="BK33" s="46">
        <f t="shared" si="15"/>
        <v>6033435712</v>
      </c>
    </row>
    <row r="34">
      <c r="A34" s="56">
        <v>24.0</v>
      </c>
      <c r="B34" s="57" t="s">
        <v>58</v>
      </c>
      <c r="C34" s="62"/>
      <c r="D34" s="61"/>
      <c r="E34" s="33">
        <f t="shared" si="45"/>
        <v>0</v>
      </c>
      <c r="F34" s="35">
        <f>'DB Monitoring'!AC1632</f>
        <v>0</v>
      </c>
      <c r="G34" s="61"/>
      <c r="H34" s="35">
        <f t="shared" si="46"/>
        <v>0</v>
      </c>
      <c r="I34" s="38">
        <f t="shared" ref="I34:J34" si="53">N34+R34+V34</f>
        <v>0</v>
      </c>
      <c r="J34" s="37">
        <f t="shared" si="53"/>
        <v>0</v>
      </c>
      <c r="K34" s="37">
        <f t="shared" si="48"/>
        <v>0</v>
      </c>
      <c r="L34" s="39" t="str">
        <f t="shared" si="49"/>
        <v>#DIV/0!</v>
      </c>
      <c r="M34" s="39" t="str">
        <f t="shared" si="50"/>
        <v>#DIV/0!</v>
      </c>
      <c r="N34" s="53"/>
      <c r="O34" s="41"/>
      <c r="P34" s="42">
        <f t="shared" si="8"/>
        <v>0</v>
      </c>
      <c r="Q34" s="43" t="str">
        <f t="shared" si="9"/>
        <v>#DIV/0!</v>
      </c>
      <c r="R34" s="53"/>
      <c r="S34" s="41"/>
      <c r="T34" s="42">
        <f t="shared" si="10"/>
        <v>0</v>
      </c>
      <c r="U34" s="43" t="str">
        <f t="shared" si="11"/>
        <v>#DIV/0!</v>
      </c>
      <c r="V34" s="53"/>
      <c r="W34" s="41"/>
      <c r="X34" s="42">
        <f t="shared" si="12"/>
        <v>0</v>
      </c>
      <c r="Y34" s="43" t="str">
        <f t="shared" si="13"/>
        <v>#DIV/0!</v>
      </c>
      <c r="Z34" s="53"/>
      <c r="AA34" s="54"/>
      <c r="AB34" s="53"/>
      <c r="AC34" s="53"/>
      <c r="AD34" s="53"/>
      <c r="AE34" s="54"/>
      <c r="AF34" s="53"/>
      <c r="AG34" s="53"/>
      <c r="AH34" s="53"/>
      <c r="AI34" s="54"/>
      <c r="AJ34" s="53"/>
      <c r="AK34" s="53"/>
      <c r="AL34" s="53"/>
      <c r="AM34" s="54"/>
      <c r="AN34" s="53"/>
      <c r="AO34" s="53"/>
      <c r="AP34" s="53"/>
      <c r="AQ34" s="54"/>
      <c r="AR34" s="53"/>
      <c r="AS34" s="53"/>
      <c r="AT34" s="53"/>
      <c r="AU34" s="54"/>
      <c r="AV34" s="53"/>
      <c r="AW34" s="53"/>
      <c r="AX34" s="53"/>
      <c r="AY34" s="54"/>
      <c r="AZ34" s="53"/>
      <c r="BA34" s="53"/>
      <c r="BB34" s="53"/>
      <c r="BC34" s="54"/>
      <c r="BD34" s="53"/>
      <c r="BE34" s="53"/>
      <c r="BF34" s="53"/>
      <c r="BG34" s="54"/>
      <c r="BH34" s="24"/>
      <c r="BI34" s="24"/>
      <c r="BJ34" s="24">
        <f t="shared" si="14"/>
        <v>0</v>
      </c>
      <c r="BK34" s="46">
        <f t="shared" si="15"/>
        <v>0</v>
      </c>
    </row>
    <row r="35">
      <c r="A35" s="63" t="s">
        <v>59</v>
      </c>
      <c r="B35" s="50" t="s">
        <v>60</v>
      </c>
      <c r="C35" s="64"/>
      <c r="D35" s="65"/>
      <c r="E35" s="33"/>
      <c r="F35" s="64"/>
      <c r="G35" s="65"/>
      <c r="H35" s="48"/>
      <c r="I35" s="38">
        <f t="shared" ref="I35:J35" si="54">N35+R35+V35</f>
        <v>0</v>
      </c>
      <c r="J35" s="37">
        <f t="shared" si="54"/>
        <v>0</v>
      </c>
      <c r="K35" s="37">
        <f t="shared" si="48"/>
        <v>0</v>
      </c>
      <c r="L35" s="39" t="str">
        <f t="shared" si="49"/>
        <v>#DIV/0!</v>
      </c>
      <c r="M35" s="39" t="str">
        <f t="shared" si="50"/>
        <v>#DIV/0!</v>
      </c>
      <c r="N35" s="53"/>
      <c r="O35" s="41"/>
      <c r="P35" s="42">
        <f t="shared" si="8"/>
        <v>0</v>
      </c>
      <c r="Q35" s="43" t="str">
        <f t="shared" si="9"/>
        <v>#DIV/0!</v>
      </c>
      <c r="R35" s="53"/>
      <c r="S35" s="41"/>
      <c r="T35" s="42">
        <f t="shared" si="10"/>
        <v>0</v>
      </c>
      <c r="U35" s="43" t="str">
        <f t="shared" si="11"/>
        <v>#DIV/0!</v>
      </c>
      <c r="V35" s="53"/>
      <c r="W35" s="41"/>
      <c r="X35" s="42">
        <f t="shared" si="12"/>
        <v>0</v>
      </c>
      <c r="Y35" s="43" t="str">
        <f t="shared" si="13"/>
        <v>#DIV/0!</v>
      </c>
      <c r="Z35" s="53"/>
      <c r="AA35" s="54"/>
      <c r="AB35" s="53"/>
      <c r="AC35" s="53"/>
      <c r="AD35" s="53"/>
      <c r="AE35" s="54"/>
      <c r="AF35" s="53"/>
      <c r="AG35" s="53"/>
      <c r="AH35" s="53"/>
      <c r="AI35" s="54"/>
      <c r="AJ35" s="53"/>
      <c r="AK35" s="53"/>
      <c r="AL35" s="53"/>
      <c r="AM35" s="54"/>
      <c r="AN35" s="53"/>
      <c r="AO35" s="53"/>
      <c r="AP35" s="53"/>
      <c r="AQ35" s="54"/>
      <c r="AR35" s="53"/>
      <c r="AS35" s="53"/>
      <c r="AT35" s="53"/>
      <c r="AU35" s="54"/>
      <c r="AV35" s="53"/>
      <c r="AW35" s="53"/>
      <c r="AX35" s="53"/>
      <c r="AY35" s="54"/>
      <c r="AZ35" s="53"/>
      <c r="BA35" s="53"/>
      <c r="BB35" s="53"/>
      <c r="BC35" s="54"/>
      <c r="BD35" s="53"/>
      <c r="BE35" s="53"/>
      <c r="BF35" s="53"/>
      <c r="BG35" s="54"/>
      <c r="BH35" s="24"/>
      <c r="BI35" s="24"/>
      <c r="BJ35" s="24">
        <f t="shared" si="14"/>
        <v>0</v>
      </c>
      <c r="BK35" s="55">
        <f t="shared" si="15"/>
        <v>0</v>
      </c>
    </row>
    <row r="36">
      <c r="A36" s="56">
        <v>25.0</v>
      </c>
      <c r="B36" s="57" t="s">
        <v>61</v>
      </c>
      <c r="C36" s="62">
        <v>0.0</v>
      </c>
      <c r="D36" s="59">
        <v>2.0</v>
      </c>
      <c r="E36" s="33">
        <f t="shared" ref="E36:E41" si="56">C36+D36</f>
        <v>2</v>
      </c>
      <c r="F36" s="35">
        <f>'DB Monitoring'!AC1634</f>
        <v>970636704</v>
      </c>
      <c r="G36" s="60">
        <f>'DB Monitoring'!AC1632</f>
        <v>0</v>
      </c>
      <c r="H36" s="35">
        <f t="shared" ref="H36:H41" si="57">F36+G36</f>
        <v>970636704</v>
      </c>
      <c r="I36" s="37">
        <f t="shared" ref="I36:J36" si="55">N36+R36+V36</f>
        <v>0</v>
      </c>
      <c r="J36" s="37">
        <f t="shared" si="55"/>
        <v>0</v>
      </c>
      <c r="K36" s="37">
        <f t="shared" si="48"/>
        <v>0</v>
      </c>
      <c r="L36" s="39" t="str">
        <f t="shared" si="49"/>
        <v>#DIV/0!</v>
      </c>
      <c r="M36" s="39">
        <f t="shared" si="50"/>
        <v>0</v>
      </c>
      <c r="N36" s="40">
        <v>0.0</v>
      </c>
      <c r="O36" s="41" t="str">
        <f>'DB Monitoring'!Q1642</f>
        <v/>
      </c>
      <c r="P36" s="42">
        <f t="shared" si="8"/>
        <v>0</v>
      </c>
      <c r="Q36" s="43" t="str">
        <f t="shared" si="9"/>
        <v>#DIV/0!</v>
      </c>
      <c r="R36" s="40">
        <v>0.0</v>
      </c>
      <c r="S36" s="41" t="str">
        <f>'DB Monitoring'!R1642</f>
        <v/>
      </c>
      <c r="T36" s="42">
        <f t="shared" si="10"/>
        <v>0</v>
      </c>
      <c r="U36" s="43" t="str">
        <f t="shared" si="11"/>
        <v>#DIV/0!</v>
      </c>
      <c r="V36" s="40">
        <v>0.0</v>
      </c>
      <c r="W36" s="41" t="str">
        <f>'DB Monitoring'!S1642</f>
        <v/>
      </c>
      <c r="X36" s="42">
        <f t="shared" si="12"/>
        <v>0</v>
      </c>
      <c r="Y36" s="43" t="str">
        <f t="shared" si="13"/>
        <v>#DIV/0!</v>
      </c>
      <c r="Z36" s="40">
        <v>0.0</v>
      </c>
      <c r="AA36" s="44"/>
      <c r="AB36" s="40"/>
      <c r="AC36" s="40"/>
      <c r="AD36" s="40">
        <v>9.1829588E7</v>
      </c>
      <c r="AE36" s="44"/>
      <c r="AF36" s="40"/>
      <c r="AG36" s="40"/>
      <c r="AH36" s="40">
        <v>9.1829588E7</v>
      </c>
      <c r="AI36" s="44"/>
      <c r="AJ36" s="40"/>
      <c r="AK36" s="40"/>
      <c r="AL36" s="40">
        <v>9.1829588E7</v>
      </c>
      <c r="AM36" s="44"/>
      <c r="AN36" s="40"/>
      <c r="AO36" s="40"/>
      <c r="AP36" s="40">
        <v>9.1829588E7</v>
      </c>
      <c r="AQ36" s="44"/>
      <c r="AR36" s="40"/>
      <c r="AS36" s="40"/>
      <c r="AT36" s="40">
        <v>1.50829588E8</v>
      </c>
      <c r="AU36" s="44"/>
      <c r="AV36" s="40"/>
      <c r="AW36" s="40"/>
      <c r="AX36" s="40">
        <v>1.50829588E8</v>
      </c>
      <c r="AY36" s="44"/>
      <c r="AZ36" s="40"/>
      <c r="BA36" s="40"/>
      <c r="BB36" s="40">
        <v>1.50829588E8</v>
      </c>
      <c r="BC36" s="44"/>
      <c r="BD36" s="40"/>
      <c r="BE36" s="40"/>
      <c r="BF36" s="40">
        <v>1.50829588E8</v>
      </c>
      <c r="BG36" s="44"/>
      <c r="BH36" s="24"/>
      <c r="BI36" s="24"/>
      <c r="BJ36" s="45">
        <f t="shared" si="14"/>
        <v>970636704</v>
      </c>
      <c r="BK36" s="46">
        <f t="shared" si="15"/>
        <v>0</v>
      </c>
    </row>
    <row r="37">
      <c r="A37" s="56">
        <v>26.0</v>
      </c>
      <c r="B37" s="57" t="s">
        <v>62</v>
      </c>
      <c r="C37" s="62"/>
      <c r="D37" s="61"/>
      <c r="E37" s="33">
        <f t="shared" si="56"/>
        <v>0</v>
      </c>
      <c r="F37" s="35">
        <f>'DB Monitoring'!AC1649</f>
        <v>0</v>
      </c>
      <c r="G37" s="61"/>
      <c r="H37" s="35">
        <f t="shared" si="57"/>
        <v>0</v>
      </c>
      <c r="I37" s="38">
        <f t="shared" ref="I37:J37" si="58">N37+R37+V37</f>
        <v>0</v>
      </c>
      <c r="J37" s="37">
        <f t="shared" si="58"/>
        <v>0</v>
      </c>
      <c r="K37" s="37">
        <f t="shared" si="48"/>
        <v>0</v>
      </c>
      <c r="L37" s="39" t="str">
        <f t="shared" si="49"/>
        <v>#DIV/0!</v>
      </c>
      <c r="M37" s="39" t="str">
        <f t="shared" si="50"/>
        <v>#DIV/0!</v>
      </c>
      <c r="N37" s="53"/>
      <c r="O37" s="41"/>
      <c r="P37" s="42">
        <f t="shared" si="8"/>
        <v>0</v>
      </c>
      <c r="Q37" s="43" t="str">
        <f t="shared" si="9"/>
        <v>#DIV/0!</v>
      </c>
      <c r="R37" s="53"/>
      <c r="S37" s="41"/>
      <c r="T37" s="42">
        <f t="shared" si="10"/>
        <v>0</v>
      </c>
      <c r="U37" s="43" t="str">
        <f t="shared" si="11"/>
        <v>#DIV/0!</v>
      </c>
      <c r="V37" s="53"/>
      <c r="W37" s="41"/>
      <c r="X37" s="42">
        <f t="shared" si="12"/>
        <v>0</v>
      </c>
      <c r="Y37" s="43" t="str">
        <f t="shared" si="13"/>
        <v>#DIV/0!</v>
      </c>
      <c r="Z37" s="53"/>
      <c r="AA37" s="54"/>
      <c r="AB37" s="53"/>
      <c r="AC37" s="53"/>
      <c r="AD37" s="53"/>
      <c r="AE37" s="54"/>
      <c r="AF37" s="53"/>
      <c r="AG37" s="53"/>
      <c r="AH37" s="53"/>
      <c r="AI37" s="54"/>
      <c r="AJ37" s="53"/>
      <c r="AK37" s="53"/>
      <c r="AL37" s="53"/>
      <c r="AM37" s="54"/>
      <c r="AN37" s="53"/>
      <c r="AO37" s="53"/>
      <c r="AP37" s="53"/>
      <c r="AQ37" s="54"/>
      <c r="AR37" s="53"/>
      <c r="AS37" s="53"/>
      <c r="AT37" s="53"/>
      <c r="AU37" s="54"/>
      <c r="AV37" s="53"/>
      <c r="AW37" s="53"/>
      <c r="AX37" s="53"/>
      <c r="AY37" s="54"/>
      <c r="AZ37" s="53"/>
      <c r="BA37" s="53"/>
      <c r="BB37" s="53"/>
      <c r="BC37" s="54"/>
      <c r="BD37" s="53"/>
      <c r="BE37" s="53"/>
      <c r="BF37" s="53"/>
      <c r="BG37" s="54"/>
      <c r="BH37" s="24"/>
      <c r="BI37" s="24"/>
      <c r="BJ37" s="24">
        <f t="shared" si="14"/>
        <v>0</v>
      </c>
      <c r="BK37" s="46">
        <f t="shared" si="15"/>
        <v>0</v>
      </c>
    </row>
    <row r="38">
      <c r="A38" s="56">
        <v>27.0</v>
      </c>
      <c r="B38" s="57" t="s">
        <v>63</v>
      </c>
      <c r="C38" s="62">
        <v>1.0</v>
      </c>
      <c r="D38" s="61"/>
      <c r="E38" s="33">
        <f t="shared" si="56"/>
        <v>1</v>
      </c>
      <c r="F38" s="35">
        <f>'DB Monitoring'!AC1650</f>
        <v>1706916096</v>
      </c>
      <c r="G38" s="61"/>
      <c r="H38" s="35">
        <f t="shared" si="57"/>
        <v>1706916096</v>
      </c>
      <c r="I38" s="37">
        <f t="shared" ref="I38:J38" si="59">N38+R38+V38</f>
        <v>426729024</v>
      </c>
      <c r="J38" s="37">
        <f t="shared" si="59"/>
        <v>424870704</v>
      </c>
      <c r="K38" s="37">
        <f t="shared" si="48"/>
        <v>-1858320</v>
      </c>
      <c r="L38" s="39">
        <f t="shared" si="49"/>
        <v>0.995645199</v>
      </c>
      <c r="M38" s="39">
        <f t="shared" si="50"/>
        <v>0.2489112997</v>
      </c>
      <c r="N38" s="40">
        <v>1.42243008E8</v>
      </c>
      <c r="O38" s="41">
        <f>'DB Monitoring'!Q1653</f>
        <v>138082979</v>
      </c>
      <c r="P38" s="42">
        <f t="shared" si="8"/>
        <v>-4160029</v>
      </c>
      <c r="Q38" s="43">
        <f t="shared" si="9"/>
        <v>0.9707540704</v>
      </c>
      <c r="R38" s="40">
        <v>1.42243008E8</v>
      </c>
      <c r="S38" s="41">
        <f>'DB Monitoring'!R1653</f>
        <v>127461211</v>
      </c>
      <c r="T38" s="42">
        <f t="shared" si="10"/>
        <v>-14781797</v>
      </c>
      <c r="U38" s="43">
        <f t="shared" si="11"/>
        <v>0.8960806777</v>
      </c>
      <c r="V38" s="40">
        <v>1.42243008E8</v>
      </c>
      <c r="W38" s="41">
        <f>'DB Monitoring'!S1653</f>
        <v>159326514</v>
      </c>
      <c r="X38" s="42">
        <f t="shared" si="12"/>
        <v>17083506</v>
      </c>
      <c r="Y38" s="43">
        <f t="shared" si="13"/>
        <v>1.120100849</v>
      </c>
      <c r="Z38" s="40">
        <v>1.42243008E8</v>
      </c>
      <c r="AA38" s="44"/>
      <c r="AB38" s="40"/>
      <c r="AC38" s="40"/>
      <c r="AD38" s="40">
        <v>1.42243008E8</v>
      </c>
      <c r="AE38" s="44"/>
      <c r="AF38" s="40"/>
      <c r="AG38" s="40"/>
      <c r="AH38" s="40">
        <v>1.42243008E8</v>
      </c>
      <c r="AI38" s="44"/>
      <c r="AJ38" s="40"/>
      <c r="AK38" s="40"/>
      <c r="AL38" s="40">
        <v>1.42243008E8</v>
      </c>
      <c r="AM38" s="44"/>
      <c r="AN38" s="40"/>
      <c r="AO38" s="40"/>
      <c r="AP38" s="40">
        <v>1.42243008E8</v>
      </c>
      <c r="AQ38" s="44"/>
      <c r="AR38" s="40"/>
      <c r="AS38" s="40"/>
      <c r="AT38" s="40">
        <v>1.42243008E8</v>
      </c>
      <c r="AU38" s="44"/>
      <c r="AV38" s="40"/>
      <c r="AW38" s="40"/>
      <c r="AX38" s="40">
        <v>1.42243008E8</v>
      </c>
      <c r="AY38" s="44"/>
      <c r="AZ38" s="40"/>
      <c r="BA38" s="40"/>
      <c r="BB38" s="40">
        <v>1.42243008E8</v>
      </c>
      <c r="BC38" s="44"/>
      <c r="BD38" s="40"/>
      <c r="BE38" s="40"/>
      <c r="BF38" s="40">
        <v>1.42243008E8</v>
      </c>
      <c r="BG38" s="44"/>
      <c r="BH38" s="24"/>
      <c r="BI38" s="24"/>
      <c r="BJ38" s="45">
        <f t="shared" si="14"/>
        <v>1706916096</v>
      </c>
      <c r="BK38" s="46">
        <f t="shared" si="15"/>
        <v>0</v>
      </c>
    </row>
    <row r="39">
      <c r="A39" s="56">
        <v>28.0</v>
      </c>
      <c r="B39" s="57" t="s">
        <v>64</v>
      </c>
      <c r="C39" s="62"/>
      <c r="D39" s="61"/>
      <c r="E39" s="33">
        <f t="shared" si="56"/>
        <v>0</v>
      </c>
      <c r="F39" s="35">
        <f>'DB Monitoring'!AC1660</f>
        <v>0</v>
      </c>
      <c r="G39" s="61"/>
      <c r="H39" s="35">
        <f t="shared" si="57"/>
        <v>0</v>
      </c>
      <c r="I39" s="38">
        <f t="shared" ref="I39:J39" si="60">N39+R39+V39</f>
        <v>0</v>
      </c>
      <c r="J39" s="37">
        <f t="shared" si="60"/>
        <v>0</v>
      </c>
      <c r="K39" s="37">
        <f t="shared" si="48"/>
        <v>0</v>
      </c>
      <c r="L39" s="39" t="str">
        <f t="shared" si="49"/>
        <v>#DIV/0!</v>
      </c>
      <c r="M39" s="39" t="str">
        <f t="shared" si="50"/>
        <v>#DIV/0!</v>
      </c>
      <c r="N39" s="53"/>
      <c r="O39" s="41"/>
      <c r="P39" s="42">
        <f t="shared" si="8"/>
        <v>0</v>
      </c>
      <c r="Q39" s="43" t="str">
        <f t="shared" si="9"/>
        <v>#DIV/0!</v>
      </c>
      <c r="R39" s="53"/>
      <c r="S39" s="41"/>
      <c r="T39" s="42">
        <f t="shared" si="10"/>
        <v>0</v>
      </c>
      <c r="U39" s="43" t="str">
        <f t="shared" si="11"/>
        <v>#DIV/0!</v>
      </c>
      <c r="V39" s="53"/>
      <c r="W39" s="41"/>
      <c r="X39" s="42">
        <f t="shared" si="12"/>
        <v>0</v>
      </c>
      <c r="Y39" s="43" t="str">
        <f t="shared" si="13"/>
        <v>#DIV/0!</v>
      </c>
      <c r="Z39" s="53"/>
      <c r="AA39" s="54"/>
      <c r="AB39" s="53"/>
      <c r="AC39" s="53"/>
      <c r="AD39" s="53"/>
      <c r="AE39" s="54"/>
      <c r="AF39" s="53"/>
      <c r="AG39" s="53"/>
      <c r="AH39" s="53"/>
      <c r="AI39" s="54"/>
      <c r="AJ39" s="53"/>
      <c r="AK39" s="53"/>
      <c r="AL39" s="53"/>
      <c r="AM39" s="54"/>
      <c r="AN39" s="53"/>
      <c r="AO39" s="53"/>
      <c r="AP39" s="53"/>
      <c r="AQ39" s="54"/>
      <c r="AR39" s="53"/>
      <c r="AS39" s="53"/>
      <c r="AT39" s="53"/>
      <c r="AU39" s="54"/>
      <c r="AV39" s="53"/>
      <c r="AW39" s="53"/>
      <c r="AX39" s="53"/>
      <c r="AY39" s="54"/>
      <c r="AZ39" s="53"/>
      <c r="BA39" s="53"/>
      <c r="BB39" s="53"/>
      <c r="BC39" s="54"/>
      <c r="BD39" s="53"/>
      <c r="BE39" s="53"/>
      <c r="BF39" s="53"/>
      <c r="BG39" s="54"/>
      <c r="BH39" s="24"/>
      <c r="BI39" s="24"/>
      <c r="BJ39" s="24">
        <f t="shared" si="14"/>
        <v>0</v>
      </c>
      <c r="BK39" s="46">
        <f t="shared" si="15"/>
        <v>0</v>
      </c>
    </row>
    <row r="40">
      <c r="A40" s="56">
        <v>29.0</v>
      </c>
      <c r="B40" s="57" t="s">
        <v>65</v>
      </c>
      <c r="C40" s="58">
        <v>2.0</v>
      </c>
      <c r="D40" s="61"/>
      <c r="E40" s="33">
        <f t="shared" si="56"/>
        <v>2</v>
      </c>
      <c r="F40" s="35">
        <f>'DB Monitoring'!AC1661</f>
        <v>10776203616</v>
      </c>
      <c r="G40" s="61"/>
      <c r="H40" s="35">
        <f t="shared" si="57"/>
        <v>10776203616</v>
      </c>
      <c r="I40" s="38" t="str">
        <f t="shared" ref="I40:J40" si="61">N40+R40+V40</f>
        <v>#REF!</v>
      </c>
      <c r="J40" s="37">
        <f t="shared" si="61"/>
        <v>2484158134</v>
      </c>
      <c r="K40" s="38" t="str">
        <f t="shared" si="48"/>
        <v>#REF!</v>
      </c>
      <c r="L40" s="39" t="str">
        <f t="shared" si="49"/>
        <v>#REF!</v>
      </c>
      <c r="M40" s="39">
        <f t="shared" si="50"/>
        <v>0.2305225683</v>
      </c>
      <c r="N40" s="40" t="str">
        <f>'PROKER DM 2025'!V273+'PROKER DM 2025'!V274</f>
        <v>#REF!</v>
      </c>
      <c r="O40" s="41">
        <f>'DB Monitoring'!Q1686</f>
        <v>899809606</v>
      </c>
      <c r="P40" s="42" t="str">
        <f t="shared" si="8"/>
        <v>#REF!</v>
      </c>
      <c r="Q40" s="43" t="str">
        <f t="shared" si="9"/>
        <v>#REF!</v>
      </c>
      <c r="R40" s="40" t="str">
        <f>N40</f>
        <v>#REF!</v>
      </c>
      <c r="S40" s="41">
        <f>'DB Monitoring'!R1686</f>
        <v>899809606</v>
      </c>
      <c r="T40" s="42" t="str">
        <f t="shared" si="10"/>
        <v>#REF!</v>
      </c>
      <c r="U40" s="43" t="str">
        <f t="shared" si="11"/>
        <v>#REF!</v>
      </c>
      <c r="V40" s="40" t="str">
        <f>R40</f>
        <v>#REF!</v>
      </c>
      <c r="W40" s="41">
        <f>'DB Monitoring'!S1686</f>
        <v>684538922</v>
      </c>
      <c r="X40" s="42" t="str">
        <f t="shared" si="12"/>
        <v>#REF!</v>
      </c>
      <c r="Y40" s="43" t="str">
        <f t="shared" si="13"/>
        <v>#REF!</v>
      </c>
      <c r="Z40" s="40" t="str">
        <f>V40</f>
        <v>#REF!</v>
      </c>
      <c r="AA40" s="44"/>
      <c r="AB40" s="40"/>
      <c r="AC40" s="40"/>
      <c r="AD40" s="40" t="str">
        <f>Z40</f>
        <v>#REF!</v>
      </c>
      <c r="AE40" s="44"/>
      <c r="AF40" s="40"/>
      <c r="AG40" s="40"/>
      <c r="AH40" s="40" t="str">
        <f>AD40</f>
        <v>#REF!</v>
      </c>
      <c r="AI40" s="44"/>
      <c r="AJ40" s="40"/>
      <c r="AK40" s="40"/>
      <c r="AL40" s="40" t="str">
        <f>AH40</f>
        <v>#REF!</v>
      </c>
      <c r="AM40" s="44"/>
      <c r="AN40" s="40"/>
      <c r="AO40" s="40"/>
      <c r="AP40" s="40" t="str">
        <f>AL40</f>
        <v>#REF!</v>
      </c>
      <c r="AQ40" s="44"/>
      <c r="AR40" s="40"/>
      <c r="AS40" s="40"/>
      <c r="AT40" s="40" t="str">
        <f>AP40</f>
        <v>#REF!</v>
      </c>
      <c r="AU40" s="44"/>
      <c r="AV40" s="40"/>
      <c r="AW40" s="40"/>
      <c r="AX40" s="40" t="str">
        <f>AT40</f>
        <v>#REF!</v>
      </c>
      <c r="AY40" s="44"/>
      <c r="AZ40" s="40"/>
      <c r="BA40" s="40"/>
      <c r="BB40" s="40" t="str">
        <f>AX40</f>
        <v>#REF!</v>
      </c>
      <c r="BC40" s="44"/>
      <c r="BD40" s="40"/>
      <c r="BE40" s="40"/>
      <c r="BF40" s="40" t="str">
        <f>BB40</f>
        <v>#REF!</v>
      </c>
      <c r="BG40" s="44"/>
      <c r="BH40" s="24"/>
      <c r="BI40" s="24"/>
      <c r="BJ40" s="24" t="str">
        <f t="shared" si="14"/>
        <v>#REF!</v>
      </c>
      <c r="BK40" s="55" t="str">
        <f t="shared" si="15"/>
        <v>#REF!</v>
      </c>
      <c r="BL40" s="55" t="str">
        <f>BF40*5</f>
        <v>#REF!</v>
      </c>
    </row>
    <row r="41">
      <c r="A41" s="56">
        <v>30.0</v>
      </c>
      <c r="B41" s="57" t="s">
        <v>66</v>
      </c>
      <c r="C41" s="62">
        <v>0.0</v>
      </c>
      <c r="D41" s="59">
        <v>7.0</v>
      </c>
      <c r="E41" s="33">
        <f t="shared" si="56"/>
        <v>7</v>
      </c>
      <c r="F41" s="35">
        <f>'DB Monitoring'!AC1690</f>
        <v>706335505</v>
      </c>
      <c r="G41" s="60">
        <f>'DB Monitoring'!AC1687</f>
        <v>5061900241</v>
      </c>
      <c r="H41" s="35">
        <f t="shared" si="57"/>
        <v>5768235746</v>
      </c>
      <c r="I41" s="37">
        <f t="shared" ref="I41:J41" si="62">N41+R41+V41</f>
        <v>0</v>
      </c>
      <c r="J41" s="37">
        <f t="shared" si="62"/>
        <v>0</v>
      </c>
      <c r="K41" s="37">
        <f t="shared" si="48"/>
        <v>0</v>
      </c>
      <c r="L41" s="39" t="str">
        <f t="shared" si="49"/>
        <v>#DIV/0!</v>
      </c>
      <c r="M41" s="39">
        <f t="shared" si="50"/>
        <v>0</v>
      </c>
      <c r="N41" s="40">
        <v>0.0</v>
      </c>
      <c r="O41" s="41">
        <f>'DB Monitoring'!Q1731</f>
        <v>0</v>
      </c>
      <c r="P41" s="42">
        <f t="shared" si="8"/>
        <v>0</v>
      </c>
      <c r="Q41" s="43" t="str">
        <f t="shared" si="9"/>
        <v>#DIV/0!</v>
      </c>
      <c r="R41" s="40">
        <v>0.0</v>
      </c>
      <c r="S41" s="41">
        <f>'DB Monitoring'!R1731</f>
        <v>0</v>
      </c>
      <c r="T41" s="42">
        <f t="shared" si="10"/>
        <v>0</v>
      </c>
      <c r="U41" s="43" t="str">
        <f t="shared" si="11"/>
        <v>#DIV/0!</v>
      </c>
      <c r="V41" s="40">
        <v>0.0</v>
      </c>
      <c r="W41" s="41">
        <f>'DB Monitoring'!S1731</f>
        <v>0</v>
      </c>
      <c r="X41" s="42">
        <f t="shared" si="12"/>
        <v>0</v>
      </c>
      <c r="Y41" s="43" t="str">
        <f t="shared" si="13"/>
        <v>#DIV/0!</v>
      </c>
      <c r="Z41" s="40">
        <v>3.0564606E7</v>
      </c>
      <c r="AA41" s="44"/>
      <c r="AB41" s="40"/>
      <c r="AC41" s="40"/>
      <c r="AD41" s="40">
        <v>3.0564606E7</v>
      </c>
      <c r="AE41" s="44"/>
      <c r="AF41" s="40"/>
      <c r="AG41" s="40"/>
      <c r="AH41" s="40">
        <v>8.9014691E7</v>
      </c>
      <c r="AI41" s="44"/>
      <c r="AJ41" s="40"/>
      <c r="AK41" s="40"/>
      <c r="AL41" s="40">
        <v>8.9382091E7</v>
      </c>
      <c r="AM41" s="44"/>
      <c r="AN41" s="40"/>
      <c r="AO41" s="40"/>
      <c r="AP41" s="40">
        <v>8.9828691E7</v>
      </c>
      <c r="AQ41" s="44"/>
      <c r="AR41" s="40"/>
      <c r="AS41" s="40"/>
      <c r="AT41" s="40">
        <v>9.3860755E7</v>
      </c>
      <c r="AU41" s="44"/>
      <c r="AV41" s="40"/>
      <c r="AW41" s="40"/>
      <c r="AX41" s="40">
        <v>9.3860755E7</v>
      </c>
      <c r="AY41" s="44"/>
      <c r="AZ41" s="40"/>
      <c r="BA41" s="40"/>
      <c r="BB41" s="40">
        <v>9.4629655E7</v>
      </c>
      <c r="BC41" s="44"/>
      <c r="BD41" s="40"/>
      <c r="BE41" s="40"/>
      <c r="BF41" s="40">
        <v>9.4629655E7</v>
      </c>
      <c r="BG41" s="44"/>
      <c r="BH41" s="24"/>
      <c r="BI41" s="24"/>
      <c r="BJ41" s="45">
        <f t="shared" si="14"/>
        <v>706335505</v>
      </c>
      <c r="BK41" s="46">
        <f t="shared" si="15"/>
        <v>5061900241</v>
      </c>
    </row>
    <row r="42">
      <c r="A42" s="63" t="s">
        <v>67</v>
      </c>
      <c r="B42" s="50" t="s">
        <v>68</v>
      </c>
      <c r="C42" s="66"/>
      <c r="D42" s="67"/>
      <c r="E42" s="33"/>
      <c r="F42" s="66"/>
      <c r="G42" s="67"/>
      <c r="H42" s="48"/>
      <c r="I42" s="38">
        <f t="shared" ref="I42:J42" si="63">N42+R42+V42</f>
        <v>0</v>
      </c>
      <c r="J42" s="37">
        <f t="shared" si="63"/>
        <v>0</v>
      </c>
      <c r="K42" s="37">
        <f t="shared" si="48"/>
        <v>0</v>
      </c>
      <c r="L42" s="39" t="str">
        <f t="shared" si="49"/>
        <v>#DIV/0!</v>
      </c>
      <c r="M42" s="39" t="str">
        <f t="shared" si="50"/>
        <v>#DIV/0!</v>
      </c>
      <c r="N42" s="53"/>
      <c r="O42" s="41"/>
      <c r="P42" s="42">
        <f t="shared" si="8"/>
        <v>0</v>
      </c>
      <c r="Q42" s="43" t="str">
        <f t="shared" si="9"/>
        <v>#DIV/0!</v>
      </c>
      <c r="R42" s="53"/>
      <c r="S42" s="41"/>
      <c r="T42" s="42">
        <f t="shared" si="10"/>
        <v>0</v>
      </c>
      <c r="U42" s="43" t="str">
        <f t="shared" si="11"/>
        <v>#DIV/0!</v>
      </c>
      <c r="V42" s="53"/>
      <c r="W42" s="41"/>
      <c r="X42" s="42">
        <f t="shared" si="12"/>
        <v>0</v>
      </c>
      <c r="Y42" s="43" t="str">
        <f t="shared" si="13"/>
        <v>#DIV/0!</v>
      </c>
      <c r="Z42" s="53"/>
      <c r="AA42" s="54"/>
      <c r="AB42" s="53"/>
      <c r="AC42" s="53"/>
      <c r="AD42" s="53"/>
      <c r="AE42" s="54"/>
      <c r="AF42" s="53"/>
      <c r="AG42" s="53"/>
      <c r="AH42" s="53"/>
      <c r="AI42" s="54"/>
      <c r="AJ42" s="53"/>
      <c r="AK42" s="53"/>
      <c r="AL42" s="53"/>
      <c r="AM42" s="54"/>
      <c r="AN42" s="53"/>
      <c r="AO42" s="53"/>
      <c r="AP42" s="53"/>
      <c r="AQ42" s="54"/>
      <c r="AR42" s="53"/>
      <c r="AS42" s="53"/>
      <c r="AT42" s="53"/>
      <c r="AU42" s="54"/>
      <c r="AV42" s="53"/>
      <c r="AW42" s="53"/>
      <c r="AX42" s="53"/>
      <c r="AY42" s="54"/>
      <c r="AZ42" s="53"/>
      <c r="BA42" s="53"/>
      <c r="BB42" s="53"/>
      <c r="BC42" s="54"/>
      <c r="BD42" s="53"/>
      <c r="BE42" s="53"/>
      <c r="BF42" s="53"/>
      <c r="BG42" s="54"/>
      <c r="BH42" s="24"/>
      <c r="BI42" s="24"/>
      <c r="BJ42" s="24">
        <f t="shared" si="14"/>
        <v>0</v>
      </c>
      <c r="BK42" s="55">
        <f t="shared" si="15"/>
        <v>0</v>
      </c>
    </row>
    <row r="43">
      <c r="A43" s="56">
        <v>31.0</v>
      </c>
      <c r="B43" s="57" t="s">
        <v>69</v>
      </c>
      <c r="C43" s="68"/>
      <c r="D43" s="69"/>
      <c r="E43" s="33">
        <f t="shared" ref="E43:E44" si="65">C43+D43</f>
        <v>0</v>
      </c>
      <c r="F43" s="35">
        <f>'DB Monitoring'!AC1736</f>
        <v>0</v>
      </c>
      <c r="G43" s="69"/>
      <c r="H43" s="35">
        <f t="shared" ref="H43:H44" si="66">F43+G43</f>
        <v>0</v>
      </c>
      <c r="I43" s="38">
        <f t="shared" ref="I43:J43" si="64">N43+R43+V43</f>
        <v>0</v>
      </c>
      <c r="J43" s="37">
        <f t="shared" si="64"/>
        <v>0</v>
      </c>
      <c r="K43" s="37">
        <f t="shared" si="48"/>
        <v>0</v>
      </c>
      <c r="L43" s="39" t="str">
        <f t="shared" si="49"/>
        <v>#DIV/0!</v>
      </c>
      <c r="M43" s="39" t="str">
        <f t="shared" si="50"/>
        <v>#DIV/0!</v>
      </c>
      <c r="N43" s="53"/>
      <c r="O43" s="41"/>
      <c r="P43" s="42">
        <f t="shared" si="8"/>
        <v>0</v>
      </c>
      <c r="Q43" s="43" t="str">
        <f t="shared" si="9"/>
        <v>#DIV/0!</v>
      </c>
      <c r="R43" s="53"/>
      <c r="S43" s="41"/>
      <c r="T43" s="42">
        <f t="shared" si="10"/>
        <v>0</v>
      </c>
      <c r="U43" s="43" t="str">
        <f t="shared" si="11"/>
        <v>#DIV/0!</v>
      </c>
      <c r="V43" s="53"/>
      <c r="W43" s="41"/>
      <c r="X43" s="42">
        <f t="shared" si="12"/>
        <v>0</v>
      </c>
      <c r="Y43" s="43" t="str">
        <f t="shared" si="13"/>
        <v>#DIV/0!</v>
      </c>
      <c r="Z43" s="53"/>
      <c r="AA43" s="54"/>
      <c r="AB43" s="53"/>
      <c r="AC43" s="53"/>
      <c r="AD43" s="53"/>
      <c r="AE43" s="54"/>
      <c r="AF43" s="53"/>
      <c r="AG43" s="53"/>
      <c r="AH43" s="53"/>
      <c r="AI43" s="54"/>
      <c r="AJ43" s="53"/>
      <c r="AK43" s="53"/>
      <c r="AL43" s="53"/>
      <c r="AM43" s="54"/>
      <c r="AN43" s="53"/>
      <c r="AO43" s="53"/>
      <c r="AP43" s="53"/>
      <c r="AQ43" s="54"/>
      <c r="AR43" s="53"/>
      <c r="AS43" s="53"/>
      <c r="AT43" s="53"/>
      <c r="AU43" s="54"/>
      <c r="AV43" s="53"/>
      <c r="AW43" s="53"/>
      <c r="AX43" s="53"/>
      <c r="AY43" s="54"/>
      <c r="AZ43" s="53"/>
      <c r="BA43" s="53"/>
      <c r="BB43" s="53"/>
      <c r="BC43" s="54"/>
      <c r="BD43" s="53"/>
      <c r="BE43" s="53"/>
      <c r="BF43" s="53"/>
      <c r="BG43" s="54"/>
      <c r="BH43" s="24"/>
      <c r="BI43" s="24"/>
      <c r="BJ43" s="24">
        <f t="shared" si="14"/>
        <v>0</v>
      </c>
      <c r="BK43" s="46">
        <f t="shared" si="15"/>
        <v>0</v>
      </c>
    </row>
    <row r="44">
      <c r="A44" s="56">
        <v>32.0</v>
      </c>
      <c r="B44" s="57" t="s">
        <v>70</v>
      </c>
      <c r="C44" s="68"/>
      <c r="D44" s="69"/>
      <c r="E44" s="33">
        <f t="shared" si="65"/>
        <v>0</v>
      </c>
      <c r="F44" s="35">
        <f>'DB Monitoring'!AC1737</f>
        <v>0</v>
      </c>
      <c r="G44" s="69"/>
      <c r="H44" s="35">
        <f t="shared" si="66"/>
        <v>0</v>
      </c>
      <c r="I44" s="38">
        <f t="shared" ref="I44:J44" si="67">N44+R44+V44</f>
        <v>0</v>
      </c>
      <c r="J44" s="37">
        <f t="shared" si="67"/>
        <v>0</v>
      </c>
      <c r="K44" s="37">
        <f t="shared" si="48"/>
        <v>0</v>
      </c>
      <c r="L44" s="39" t="str">
        <f t="shared" si="49"/>
        <v>#DIV/0!</v>
      </c>
      <c r="M44" s="39" t="str">
        <f t="shared" si="50"/>
        <v>#DIV/0!</v>
      </c>
      <c r="N44" s="53"/>
      <c r="O44" s="41"/>
      <c r="P44" s="42">
        <f t="shared" si="8"/>
        <v>0</v>
      </c>
      <c r="Q44" s="43" t="str">
        <f t="shared" si="9"/>
        <v>#DIV/0!</v>
      </c>
      <c r="R44" s="53"/>
      <c r="S44" s="41"/>
      <c r="T44" s="42">
        <f t="shared" si="10"/>
        <v>0</v>
      </c>
      <c r="U44" s="43" t="str">
        <f t="shared" si="11"/>
        <v>#DIV/0!</v>
      </c>
      <c r="V44" s="53"/>
      <c r="W44" s="41"/>
      <c r="X44" s="42">
        <f t="shared" si="12"/>
        <v>0</v>
      </c>
      <c r="Y44" s="43" t="str">
        <f t="shared" si="13"/>
        <v>#DIV/0!</v>
      </c>
      <c r="Z44" s="53"/>
      <c r="AA44" s="54"/>
      <c r="AB44" s="53"/>
      <c r="AC44" s="53"/>
      <c r="AD44" s="53"/>
      <c r="AE44" s="54"/>
      <c r="AF44" s="53"/>
      <c r="AG44" s="53"/>
      <c r="AH44" s="53"/>
      <c r="AI44" s="54"/>
      <c r="AJ44" s="53"/>
      <c r="AK44" s="53"/>
      <c r="AL44" s="53"/>
      <c r="AM44" s="54"/>
      <c r="AN44" s="53"/>
      <c r="AO44" s="53"/>
      <c r="AP44" s="53"/>
      <c r="AQ44" s="54"/>
      <c r="AR44" s="53"/>
      <c r="AS44" s="53"/>
      <c r="AT44" s="53"/>
      <c r="AU44" s="54"/>
      <c r="AV44" s="53"/>
      <c r="AW44" s="53"/>
      <c r="AX44" s="53"/>
      <c r="AY44" s="54"/>
      <c r="AZ44" s="53"/>
      <c r="BA44" s="53"/>
      <c r="BB44" s="53"/>
      <c r="BC44" s="54"/>
      <c r="BD44" s="53"/>
      <c r="BE44" s="53"/>
      <c r="BF44" s="53"/>
      <c r="BG44" s="54"/>
      <c r="BH44" s="24"/>
      <c r="BI44" s="24"/>
      <c r="BJ44" s="24">
        <f t="shared" si="14"/>
        <v>0</v>
      </c>
      <c r="BK44" s="46">
        <f t="shared" si="15"/>
        <v>0</v>
      </c>
    </row>
    <row r="45">
      <c r="A45" s="63" t="s">
        <v>71</v>
      </c>
      <c r="B45" s="50" t="s">
        <v>72</v>
      </c>
      <c r="C45" s="66"/>
      <c r="D45" s="67"/>
      <c r="E45" s="33"/>
      <c r="F45" s="66"/>
      <c r="G45" s="67"/>
      <c r="H45" s="48"/>
      <c r="I45" s="38">
        <f t="shared" ref="I45:J45" si="68">N45+R45+V45</f>
        <v>0</v>
      </c>
      <c r="J45" s="37">
        <f t="shared" si="68"/>
        <v>0</v>
      </c>
      <c r="K45" s="37">
        <f t="shared" si="48"/>
        <v>0</v>
      </c>
      <c r="L45" s="39" t="str">
        <f t="shared" si="49"/>
        <v>#DIV/0!</v>
      </c>
      <c r="M45" s="39" t="str">
        <f t="shared" si="50"/>
        <v>#DIV/0!</v>
      </c>
      <c r="N45" s="53"/>
      <c r="O45" s="41"/>
      <c r="P45" s="42">
        <f t="shared" si="8"/>
        <v>0</v>
      </c>
      <c r="Q45" s="43" t="str">
        <f t="shared" si="9"/>
        <v>#DIV/0!</v>
      </c>
      <c r="R45" s="53"/>
      <c r="S45" s="41"/>
      <c r="T45" s="42">
        <f t="shared" si="10"/>
        <v>0</v>
      </c>
      <c r="U45" s="43" t="str">
        <f t="shared" si="11"/>
        <v>#DIV/0!</v>
      </c>
      <c r="V45" s="53"/>
      <c r="W45" s="41"/>
      <c r="X45" s="42">
        <f t="shared" si="12"/>
        <v>0</v>
      </c>
      <c r="Y45" s="43" t="str">
        <f t="shared" si="13"/>
        <v>#DIV/0!</v>
      </c>
      <c r="Z45" s="53"/>
      <c r="AA45" s="54"/>
      <c r="AB45" s="53"/>
      <c r="AC45" s="53"/>
      <c r="AD45" s="53"/>
      <c r="AE45" s="54"/>
      <c r="AF45" s="53"/>
      <c r="AG45" s="53"/>
      <c r="AH45" s="53"/>
      <c r="AI45" s="54"/>
      <c r="AJ45" s="53"/>
      <c r="AK45" s="53"/>
      <c r="AL45" s="53"/>
      <c r="AM45" s="54"/>
      <c r="AN45" s="53"/>
      <c r="AO45" s="53"/>
      <c r="AP45" s="53"/>
      <c r="AQ45" s="54"/>
      <c r="AR45" s="53"/>
      <c r="AS45" s="53"/>
      <c r="AT45" s="53"/>
      <c r="AU45" s="54"/>
      <c r="AV45" s="53"/>
      <c r="AW45" s="53"/>
      <c r="AX45" s="53"/>
      <c r="AY45" s="54"/>
      <c r="AZ45" s="53"/>
      <c r="BA45" s="53"/>
      <c r="BB45" s="53"/>
      <c r="BC45" s="54"/>
      <c r="BD45" s="53"/>
      <c r="BE45" s="53"/>
      <c r="BF45" s="53"/>
      <c r="BG45" s="54"/>
      <c r="BH45" s="24"/>
      <c r="BI45" s="24"/>
      <c r="BJ45" s="24">
        <f t="shared" si="14"/>
        <v>0</v>
      </c>
      <c r="BK45" s="55">
        <f t="shared" si="15"/>
        <v>0</v>
      </c>
    </row>
    <row r="46">
      <c r="A46" s="56">
        <v>33.0</v>
      </c>
      <c r="B46" s="57" t="s">
        <v>73</v>
      </c>
      <c r="C46" s="68"/>
      <c r="D46" s="69"/>
      <c r="E46" s="33">
        <f t="shared" ref="E46:E51" si="70">C46+D46</f>
        <v>0</v>
      </c>
      <c r="F46" s="35">
        <f>'DB Monitoring'!AC1739</f>
        <v>0</v>
      </c>
      <c r="G46" s="69"/>
      <c r="H46" s="35">
        <f t="shared" ref="H46:H51" si="71">F46+G46</f>
        <v>0</v>
      </c>
      <c r="I46" s="38">
        <f t="shared" ref="I46:J46" si="69">N46+R46+V46</f>
        <v>0</v>
      </c>
      <c r="J46" s="37">
        <f t="shared" si="69"/>
        <v>0</v>
      </c>
      <c r="K46" s="37">
        <f t="shared" si="48"/>
        <v>0</v>
      </c>
      <c r="L46" s="39" t="str">
        <f t="shared" si="49"/>
        <v>#DIV/0!</v>
      </c>
      <c r="M46" s="39" t="str">
        <f t="shared" si="50"/>
        <v>#DIV/0!</v>
      </c>
      <c r="N46" s="53"/>
      <c r="O46" s="41"/>
      <c r="P46" s="42">
        <f t="shared" si="8"/>
        <v>0</v>
      </c>
      <c r="Q46" s="43" t="str">
        <f t="shared" si="9"/>
        <v>#DIV/0!</v>
      </c>
      <c r="R46" s="53"/>
      <c r="S46" s="41"/>
      <c r="T46" s="42">
        <f t="shared" si="10"/>
        <v>0</v>
      </c>
      <c r="U46" s="43" t="str">
        <f t="shared" si="11"/>
        <v>#DIV/0!</v>
      </c>
      <c r="V46" s="53"/>
      <c r="W46" s="41"/>
      <c r="X46" s="42">
        <f t="shared" si="12"/>
        <v>0</v>
      </c>
      <c r="Y46" s="43" t="str">
        <f t="shared" si="13"/>
        <v>#DIV/0!</v>
      </c>
      <c r="Z46" s="53"/>
      <c r="AA46" s="54"/>
      <c r="AB46" s="53"/>
      <c r="AC46" s="53"/>
      <c r="AD46" s="53"/>
      <c r="AE46" s="54"/>
      <c r="AF46" s="53"/>
      <c r="AG46" s="53"/>
      <c r="AH46" s="53"/>
      <c r="AI46" s="54"/>
      <c r="AJ46" s="53"/>
      <c r="AK46" s="53"/>
      <c r="AL46" s="53"/>
      <c r="AM46" s="54"/>
      <c r="AN46" s="53"/>
      <c r="AO46" s="53"/>
      <c r="AP46" s="53"/>
      <c r="AQ46" s="54"/>
      <c r="AR46" s="53"/>
      <c r="AS46" s="53"/>
      <c r="AT46" s="53"/>
      <c r="AU46" s="54"/>
      <c r="AV46" s="53"/>
      <c r="AW46" s="53"/>
      <c r="AX46" s="53"/>
      <c r="AY46" s="54"/>
      <c r="AZ46" s="53"/>
      <c r="BA46" s="53"/>
      <c r="BB46" s="53"/>
      <c r="BC46" s="54"/>
      <c r="BD46" s="53"/>
      <c r="BE46" s="53"/>
      <c r="BF46" s="53"/>
      <c r="BG46" s="54"/>
      <c r="BH46" s="24"/>
      <c r="BI46" s="24"/>
      <c r="BJ46" s="24">
        <f t="shared" si="14"/>
        <v>0</v>
      </c>
      <c r="BK46" s="46">
        <f t="shared" si="15"/>
        <v>0</v>
      </c>
    </row>
    <row r="47">
      <c r="A47" s="56">
        <v>34.0</v>
      </c>
      <c r="B47" s="57" t="s">
        <v>74</v>
      </c>
      <c r="C47" s="62">
        <v>0.0</v>
      </c>
      <c r="D47" s="59">
        <v>1.0</v>
      </c>
      <c r="E47" s="33">
        <f t="shared" si="70"/>
        <v>1</v>
      </c>
      <c r="F47" s="35">
        <f>'DB Monitoring'!AC1740</f>
        <v>1761951510</v>
      </c>
      <c r="G47" s="60">
        <f>'DB Monitoring'!AC1739</f>
        <v>0</v>
      </c>
      <c r="H47" s="35">
        <f t="shared" si="71"/>
        <v>1761951510</v>
      </c>
      <c r="I47" s="37">
        <f t="shared" ref="I47:J47" si="72">N47+R47+V47</f>
        <v>320354820</v>
      </c>
      <c r="J47" s="37">
        <f t="shared" si="72"/>
        <v>0</v>
      </c>
      <c r="K47" s="37">
        <f t="shared" si="48"/>
        <v>-320354820</v>
      </c>
      <c r="L47" s="39">
        <f t="shared" si="49"/>
        <v>0</v>
      </c>
      <c r="M47" s="39">
        <f t="shared" si="50"/>
        <v>0</v>
      </c>
      <c r="N47" s="40"/>
      <c r="O47" s="41" t="str">
        <f>'DB Monitoring'!Q1751</f>
        <v/>
      </c>
      <c r="P47" s="42">
        <f t="shared" si="8"/>
        <v>0</v>
      </c>
      <c r="Q47" s="43" t="str">
        <f t="shared" si="9"/>
        <v>#DIV/0!</v>
      </c>
      <c r="R47" s="40">
        <v>1.6017741E8</v>
      </c>
      <c r="S47" s="41" t="str">
        <f>'DB Monitoring'!R1751</f>
        <v/>
      </c>
      <c r="T47" s="42">
        <f t="shared" si="10"/>
        <v>-160177410</v>
      </c>
      <c r="U47" s="43">
        <f t="shared" si="11"/>
        <v>0</v>
      </c>
      <c r="V47" s="40">
        <v>1.6017741E8</v>
      </c>
      <c r="W47" s="41" t="str">
        <f>'DB Monitoring'!S1751</f>
        <v/>
      </c>
      <c r="X47" s="42">
        <f t="shared" si="12"/>
        <v>-160177410</v>
      </c>
      <c r="Y47" s="43">
        <f t="shared" si="13"/>
        <v>0</v>
      </c>
      <c r="Z47" s="40">
        <v>1.6017741E8</v>
      </c>
      <c r="AA47" s="44"/>
      <c r="AB47" s="40"/>
      <c r="AC47" s="40"/>
      <c r="AD47" s="40">
        <v>1.6017741E8</v>
      </c>
      <c r="AE47" s="44"/>
      <c r="AF47" s="40"/>
      <c r="AG47" s="40"/>
      <c r="AH47" s="40">
        <v>1.6017741E8</v>
      </c>
      <c r="AI47" s="44"/>
      <c r="AJ47" s="40"/>
      <c r="AK47" s="40"/>
      <c r="AL47" s="40">
        <v>1.6017741E8</v>
      </c>
      <c r="AM47" s="44"/>
      <c r="AN47" s="40"/>
      <c r="AO47" s="40"/>
      <c r="AP47" s="40">
        <v>1.6017741E8</v>
      </c>
      <c r="AQ47" s="44"/>
      <c r="AR47" s="40"/>
      <c r="AS47" s="40"/>
      <c r="AT47" s="40">
        <v>1.6017741E8</v>
      </c>
      <c r="AU47" s="44"/>
      <c r="AV47" s="40"/>
      <c r="AW47" s="40"/>
      <c r="AX47" s="40">
        <v>1.6017741E8</v>
      </c>
      <c r="AY47" s="44"/>
      <c r="AZ47" s="40"/>
      <c r="BA47" s="40"/>
      <c r="BB47" s="40">
        <v>1.6017741E8</v>
      </c>
      <c r="BC47" s="44"/>
      <c r="BD47" s="40"/>
      <c r="BE47" s="40"/>
      <c r="BF47" s="40">
        <v>1.6017741E8</v>
      </c>
      <c r="BG47" s="44"/>
      <c r="BH47" s="24"/>
      <c r="BI47" s="24"/>
      <c r="BJ47" s="45">
        <f t="shared" si="14"/>
        <v>1761951510</v>
      </c>
      <c r="BK47" s="46">
        <f t="shared" si="15"/>
        <v>0</v>
      </c>
    </row>
    <row r="48">
      <c r="A48" s="56">
        <v>35.0</v>
      </c>
      <c r="B48" s="57" t="s">
        <v>75</v>
      </c>
      <c r="C48" s="62">
        <v>0.0</v>
      </c>
      <c r="D48" s="59">
        <v>1.0</v>
      </c>
      <c r="E48" s="33">
        <f t="shared" si="70"/>
        <v>1</v>
      </c>
      <c r="F48" s="35">
        <f>'DB Monitoring'!AC1750</f>
        <v>462373632</v>
      </c>
      <c r="G48" s="60">
        <f>'DB Monitoring'!AC1747</f>
        <v>0</v>
      </c>
      <c r="H48" s="35">
        <f t="shared" si="71"/>
        <v>462373632</v>
      </c>
      <c r="I48" s="37">
        <f t="shared" ref="I48:J48" si="73">N48+R48+V48</f>
        <v>0</v>
      </c>
      <c r="J48" s="37">
        <f t="shared" si="73"/>
        <v>0</v>
      </c>
      <c r="K48" s="37">
        <f t="shared" si="48"/>
        <v>0</v>
      </c>
      <c r="L48" s="39" t="str">
        <f t="shared" si="49"/>
        <v>#DIV/0!</v>
      </c>
      <c r="M48" s="39">
        <f t="shared" si="50"/>
        <v>0</v>
      </c>
      <c r="N48" s="40"/>
      <c r="O48" s="41" t="str">
        <f>'DB Monitoring'!Q1756</f>
        <v/>
      </c>
      <c r="P48" s="42">
        <f t="shared" si="8"/>
        <v>0</v>
      </c>
      <c r="Q48" s="43" t="str">
        <f t="shared" si="9"/>
        <v>#DIV/0!</v>
      </c>
      <c r="R48" s="40"/>
      <c r="S48" s="41" t="str">
        <f>'DB Monitoring'!R1756</f>
        <v/>
      </c>
      <c r="T48" s="42">
        <f t="shared" si="10"/>
        <v>0</v>
      </c>
      <c r="U48" s="43" t="str">
        <f t="shared" si="11"/>
        <v>#DIV/0!</v>
      </c>
      <c r="V48" s="40"/>
      <c r="W48" s="41" t="str">
        <f>'DB Monitoring'!S1756</f>
        <v/>
      </c>
      <c r="X48" s="42">
        <f t="shared" si="12"/>
        <v>0</v>
      </c>
      <c r="Y48" s="43" t="str">
        <f t="shared" si="13"/>
        <v>#DIV/0!</v>
      </c>
      <c r="Z48" s="40"/>
      <c r="AA48" s="44"/>
      <c r="AB48" s="40"/>
      <c r="AC48" s="40"/>
      <c r="AD48" s="40"/>
      <c r="AE48" s="44"/>
      <c r="AF48" s="40"/>
      <c r="AG48" s="40"/>
      <c r="AH48" s="40"/>
      <c r="AI48" s="44"/>
      <c r="AJ48" s="40"/>
      <c r="AK48" s="40"/>
      <c r="AL48" s="40">
        <v>7.7062272E7</v>
      </c>
      <c r="AM48" s="44"/>
      <c r="AN48" s="40"/>
      <c r="AO48" s="40"/>
      <c r="AP48" s="40">
        <v>7.7062272E7</v>
      </c>
      <c r="AQ48" s="44"/>
      <c r="AR48" s="40"/>
      <c r="AS48" s="40"/>
      <c r="AT48" s="40">
        <v>7.7062272E7</v>
      </c>
      <c r="AU48" s="44"/>
      <c r="AV48" s="40"/>
      <c r="AW48" s="40"/>
      <c r="AX48" s="40">
        <v>7.7062272E7</v>
      </c>
      <c r="AY48" s="44"/>
      <c r="AZ48" s="40"/>
      <c r="BA48" s="40"/>
      <c r="BB48" s="40">
        <v>7.7062272E7</v>
      </c>
      <c r="BC48" s="44"/>
      <c r="BD48" s="40"/>
      <c r="BE48" s="40"/>
      <c r="BF48" s="40">
        <v>7.7062272E7</v>
      </c>
      <c r="BG48" s="44"/>
      <c r="BH48" s="24"/>
      <c r="BI48" s="24"/>
      <c r="BJ48" s="45">
        <f t="shared" si="14"/>
        <v>462373632</v>
      </c>
      <c r="BK48" s="46">
        <f t="shared" si="15"/>
        <v>0</v>
      </c>
    </row>
    <row r="49">
      <c r="A49" s="56">
        <v>36.0</v>
      </c>
      <c r="B49" s="57" t="s">
        <v>76</v>
      </c>
      <c r="C49" s="62"/>
      <c r="D49" s="61"/>
      <c r="E49" s="33">
        <f t="shared" si="70"/>
        <v>0</v>
      </c>
      <c r="F49" s="35">
        <f>'DB Monitoring'!AC1760</f>
        <v>0</v>
      </c>
      <c r="G49" s="61"/>
      <c r="H49" s="35">
        <f t="shared" si="71"/>
        <v>0</v>
      </c>
      <c r="I49" s="38">
        <f t="shared" ref="I49:J49" si="74">N49+R49+V49</f>
        <v>0</v>
      </c>
      <c r="J49" s="37">
        <f t="shared" si="74"/>
        <v>0</v>
      </c>
      <c r="K49" s="37">
        <f t="shared" si="48"/>
        <v>0</v>
      </c>
      <c r="L49" s="39" t="str">
        <f t="shared" si="49"/>
        <v>#DIV/0!</v>
      </c>
      <c r="M49" s="39" t="str">
        <f t="shared" si="50"/>
        <v>#DIV/0!</v>
      </c>
      <c r="N49" s="53"/>
      <c r="O49" s="41"/>
      <c r="P49" s="42">
        <f t="shared" si="8"/>
        <v>0</v>
      </c>
      <c r="Q49" s="43" t="str">
        <f t="shared" si="9"/>
        <v>#DIV/0!</v>
      </c>
      <c r="R49" s="53"/>
      <c r="S49" s="41"/>
      <c r="T49" s="42">
        <f t="shared" si="10"/>
        <v>0</v>
      </c>
      <c r="U49" s="43" t="str">
        <f t="shared" si="11"/>
        <v>#DIV/0!</v>
      </c>
      <c r="V49" s="53"/>
      <c r="W49" s="41"/>
      <c r="X49" s="42">
        <f t="shared" si="12"/>
        <v>0</v>
      </c>
      <c r="Y49" s="43" t="str">
        <f t="shared" si="13"/>
        <v>#DIV/0!</v>
      </c>
      <c r="Z49" s="53"/>
      <c r="AA49" s="54"/>
      <c r="AB49" s="53"/>
      <c r="AC49" s="53"/>
      <c r="AD49" s="53"/>
      <c r="AE49" s="54"/>
      <c r="AF49" s="53"/>
      <c r="AG49" s="53"/>
      <c r="AH49" s="53"/>
      <c r="AI49" s="54"/>
      <c r="AJ49" s="53"/>
      <c r="AK49" s="53"/>
      <c r="AL49" s="53"/>
      <c r="AM49" s="54"/>
      <c r="AN49" s="53"/>
      <c r="AO49" s="53"/>
      <c r="AP49" s="53"/>
      <c r="AQ49" s="54"/>
      <c r="AR49" s="53"/>
      <c r="AS49" s="53"/>
      <c r="AT49" s="53"/>
      <c r="AU49" s="54"/>
      <c r="AV49" s="53"/>
      <c r="AW49" s="53"/>
      <c r="AX49" s="53"/>
      <c r="AY49" s="54"/>
      <c r="AZ49" s="53"/>
      <c r="BA49" s="53"/>
      <c r="BB49" s="53"/>
      <c r="BC49" s="54"/>
      <c r="BD49" s="53"/>
      <c r="BE49" s="53"/>
      <c r="BF49" s="53"/>
      <c r="BG49" s="54"/>
      <c r="BH49" s="24"/>
      <c r="BI49" s="24"/>
      <c r="BJ49" s="24">
        <f t="shared" si="14"/>
        <v>0</v>
      </c>
      <c r="BK49" s="46">
        <f t="shared" si="15"/>
        <v>0</v>
      </c>
    </row>
    <row r="50">
      <c r="A50" s="56">
        <v>37.0</v>
      </c>
      <c r="B50" s="57" t="s">
        <v>77</v>
      </c>
      <c r="C50" s="62"/>
      <c r="D50" s="61"/>
      <c r="E50" s="33">
        <f t="shared" si="70"/>
        <v>0</v>
      </c>
      <c r="F50" s="35">
        <f>'DB Monitoring'!AC1761</f>
        <v>0</v>
      </c>
      <c r="G50" s="61"/>
      <c r="H50" s="35">
        <f t="shared" si="71"/>
        <v>0</v>
      </c>
      <c r="I50" s="38">
        <f t="shared" ref="I50:J50" si="75">N50+R50+V50</f>
        <v>0</v>
      </c>
      <c r="J50" s="37">
        <f t="shared" si="75"/>
        <v>0</v>
      </c>
      <c r="K50" s="37">
        <f t="shared" si="48"/>
        <v>0</v>
      </c>
      <c r="L50" s="39" t="str">
        <f t="shared" si="49"/>
        <v>#DIV/0!</v>
      </c>
      <c r="M50" s="39" t="str">
        <f t="shared" si="50"/>
        <v>#DIV/0!</v>
      </c>
      <c r="N50" s="53"/>
      <c r="O50" s="41"/>
      <c r="P50" s="42">
        <f t="shared" si="8"/>
        <v>0</v>
      </c>
      <c r="Q50" s="43" t="str">
        <f t="shared" si="9"/>
        <v>#DIV/0!</v>
      </c>
      <c r="R50" s="53"/>
      <c r="S50" s="41"/>
      <c r="T50" s="42">
        <f t="shared" si="10"/>
        <v>0</v>
      </c>
      <c r="U50" s="43" t="str">
        <f t="shared" si="11"/>
        <v>#DIV/0!</v>
      </c>
      <c r="V50" s="53"/>
      <c r="W50" s="41"/>
      <c r="X50" s="42">
        <f t="shared" si="12"/>
        <v>0</v>
      </c>
      <c r="Y50" s="43" t="str">
        <f t="shared" si="13"/>
        <v>#DIV/0!</v>
      </c>
      <c r="Z50" s="53"/>
      <c r="AA50" s="54"/>
      <c r="AB50" s="53"/>
      <c r="AC50" s="53"/>
      <c r="AD50" s="53"/>
      <c r="AE50" s="54"/>
      <c r="AF50" s="53"/>
      <c r="AG50" s="53"/>
      <c r="AH50" s="53"/>
      <c r="AI50" s="54"/>
      <c r="AJ50" s="53"/>
      <c r="AK50" s="53"/>
      <c r="AL50" s="53"/>
      <c r="AM50" s="54"/>
      <c r="AN50" s="53"/>
      <c r="AO50" s="53"/>
      <c r="AP50" s="53"/>
      <c r="AQ50" s="54"/>
      <c r="AR50" s="53"/>
      <c r="AS50" s="53"/>
      <c r="AT50" s="53"/>
      <c r="AU50" s="54"/>
      <c r="AV50" s="53"/>
      <c r="AW50" s="53"/>
      <c r="AX50" s="53"/>
      <c r="AY50" s="54"/>
      <c r="AZ50" s="53"/>
      <c r="BA50" s="53"/>
      <c r="BB50" s="53"/>
      <c r="BC50" s="54"/>
      <c r="BD50" s="53"/>
      <c r="BE50" s="53"/>
      <c r="BF50" s="53"/>
      <c r="BG50" s="54"/>
      <c r="BH50" s="24"/>
      <c r="BI50" s="24"/>
      <c r="BJ50" s="24">
        <f t="shared" si="14"/>
        <v>0</v>
      </c>
      <c r="BK50" s="46">
        <f t="shared" si="15"/>
        <v>0</v>
      </c>
    </row>
    <row r="51">
      <c r="A51" s="56">
        <v>38.0</v>
      </c>
      <c r="B51" s="57" t="s">
        <v>78</v>
      </c>
      <c r="C51" s="62"/>
      <c r="D51" s="61"/>
      <c r="E51" s="33">
        <f t="shared" si="70"/>
        <v>0</v>
      </c>
      <c r="F51" s="35">
        <f>'DB Monitoring'!AC1762</f>
        <v>0</v>
      </c>
      <c r="G51" s="61"/>
      <c r="H51" s="35">
        <f t="shared" si="71"/>
        <v>0</v>
      </c>
      <c r="I51" s="38">
        <f t="shared" ref="I51:J51" si="76">N51+R51+V51</f>
        <v>0</v>
      </c>
      <c r="J51" s="37">
        <f t="shared" si="76"/>
        <v>0</v>
      </c>
      <c r="K51" s="37">
        <f t="shared" si="48"/>
        <v>0</v>
      </c>
      <c r="L51" s="39" t="str">
        <f t="shared" si="49"/>
        <v>#DIV/0!</v>
      </c>
      <c r="M51" s="39" t="str">
        <f t="shared" si="50"/>
        <v>#DIV/0!</v>
      </c>
      <c r="N51" s="53"/>
      <c r="O51" s="41"/>
      <c r="P51" s="42">
        <f t="shared" si="8"/>
        <v>0</v>
      </c>
      <c r="Q51" s="43" t="str">
        <f t="shared" si="9"/>
        <v>#DIV/0!</v>
      </c>
      <c r="R51" s="53"/>
      <c r="S51" s="41"/>
      <c r="T51" s="42">
        <f t="shared" si="10"/>
        <v>0</v>
      </c>
      <c r="U51" s="43" t="str">
        <f t="shared" si="11"/>
        <v>#DIV/0!</v>
      </c>
      <c r="V51" s="53"/>
      <c r="W51" s="41"/>
      <c r="X51" s="42">
        <f t="shared" si="12"/>
        <v>0</v>
      </c>
      <c r="Y51" s="43" t="str">
        <f t="shared" si="13"/>
        <v>#DIV/0!</v>
      </c>
      <c r="Z51" s="53"/>
      <c r="AA51" s="54"/>
      <c r="AB51" s="53"/>
      <c r="AC51" s="53"/>
      <c r="AD51" s="53"/>
      <c r="AE51" s="54"/>
      <c r="AF51" s="53"/>
      <c r="AG51" s="53"/>
      <c r="AH51" s="53"/>
      <c r="AI51" s="54"/>
      <c r="AJ51" s="53"/>
      <c r="AK51" s="53"/>
      <c r="AL51" s="53"/>
      <c r="AM51" s="54"/>
      <c r="AN51" s="53"/>
      <c r="AO51" s="53"/>
      <c r="AP51" s="53"/>
      <c r="AQ51" s="54"/>
      <c r="AR51" s="53"/>
      <c r="AS51" s="53"/>
      <c r="AT51" s="53"/>
      <c r="AU51" s="54"/>
      <c r="AV51" s="53"/>
      <c r="AW51" s="53"/>
      <c r="AX51" s="53"/>
      <c r="AY51" s="54"/>
      <c r="AZ51" s="53"/>
      <c r="BA51" s="53"/>
      <c r="BB51" s="53"/>
      <c r="BC51" s="54"/>
      <c r="BD51" s="53"/>
      <c r="BE51" s="53"/>
      <c r="BF51" s="53"/>
      <c r="BG51" s="54"/>
      <c r="BH51" s="24"/>
      <c r="BI51" s="24"/>
      <c r="BJ51" s="24">
        <f t="shared" si="14"/>
        <v>0</v>
      </c>
      <c r="BK51" s="46">
        <f t="shared" si="15"/>
        <v>0</v>
      </c>
    </row>
    <row r="52">
      <c r="A52" s="70" t="s">
        <v>79</v>
      </c>
      <c r="B52" s="71"/>
      <c r="C52" s="72">
        <f t="shared" ref="C52:K52" si="77">SUM(C8:C51)</f>
        <v>134</v>
      </c>
      <c r="D52" s="73">
        <f t="shared" si="77"/>
        <v>54</v>
      </c>
      <c r="E52" s="72">
        <f t="shared" si="77"/>
        <v>188</v>
      </c>
      <c r="F52" s="74">
        <f t="shared" si="77"/>
        <v>1160964000005</v>
      </c>
      <c r="G52" s="74">
        <f t="shared" si="77"/>
        <v>-36964468721</v>
      </c>
      <c r="H52" s="74">
        <f t="shared" si="77"/>
        <v>1123999531284</v>
      </c>
      <c r="I52" s="75" t="str">
        <f t="shared" si="77"/>
        <v>#REF!</v>
      </c>
      <c r="J52" s="75" t="str">
        <f t="shared" si="77"/>
        <v>#REF!</v>
      </c>
      <c r="K52" s="75" t="str">
        <f t="shared" si="77"/>
        <v>#REF!</v>
      </c>
      <c r="L52" s="76" t="str">
        <f t="shared" si="49"/>
        <v>#REF!</v>
      </c>
      <c r="M52" s="76" t="str">
        <f t="shared" si="50"/>
        <v>#REF!</v>
      </c>
      <c r="N52" s="77" t="str">
        <f>SUM(N8:N51)</f>
        <v>#REF!</v>
      </c>
      <c r="O52" s="78"/>
      <c r="P52" s="77"/>
      <c r="Q52" s="79"/>
      <c r="R52" s="77" t="str">
        <f>SUM(R8:R51)</f>
        <v>#REF!</v>
      </c>
      <c r="S52" s="78"/>
      <c r="T52" s="77"/>
      <c r="U52" s="79"/>
      <c r="V52" s="77" t="str">
        <f>SUM(V8:V51)</f>
        <v>#REF!</v>
      </c>
      <c r="W52" s="78"/>
      <c r="X52" s="77"/>
      <c r="Y52" s="79"/>
      <c r="Z52" s="77" t="str">
        <f>SUM(Z8:Z51)</f>
        <v>#REF!</v>
      </c>
      <c r="AA52" s="80"/>
      <c r="AB52" s="77"/>
      <c r="AC52" s="77"/>
      <c r="AD52" s="77" t="str">
        <f>SUM(AD8:AD51)</f>
        <v>#REF!</v>
      </c>
      <c r="AE52" s="80"/>
      <c r="AF52" s="77"/>
      <c r="AG52" s="77"/>
      <c r="AH52" s="77" t="str">
        <f>SUM(AH8:AH51)</f>
        <v>#REF!</v>
      </c>
      <c r="AI52" s="80"/>
      <c r="AJ52" s="77"/>
      <c r="AK52" s="77"/>
      <c r="AL52" s="77" t="str">
        <f>SUM(AL8:AL51)</f>
        <v>#REF!</v>
      </c>
      <c r="AM52" s="80"/>
      <c r="AN52" s="77"/>
      <c r="AO52" s="77"/>
      <c r="AP52" s="77" t="str">
        <f>SUM(AP8:AP51)</f>
        <v>#REF!</v>
      </c>
      <c r="AQ52" s="80"/>
      <c r="AR52" s="77"/>
      <c r="AS52" s="77"/>
      <c r="AT52" s="77" t="str">
        <f>SUM(AT8:AT51)</f>
        <v>#REF!</v>
      </c>
      <c r="AU52" s="80"/>
      <c r="AV52" s="77"/>
      <c r="AW52" s="77"/>
      <c r="AX52" s="77" t="str">
        <f>SUM(AX8:AX51)</f>
        <v>#REF!</v>
      </c>
      <c r="AY52" s="80"/>
      <c r="AZ52" s="77"/>
      <c r="BA52" s="77"/>
      <c r="BB52" s="77" t="str">
        <f>SUM(BB8:BB51)</f>
        <v>#REF!</v>
      </c>
      <c r="BC52" s="80"/>
      <c r="BD52" s="77"/>
      <c r="BE52" s="77"/>
      <c r="BF52" s="77" t="str">
        <f>SUM(BF8:BF51)</f>
        <v>#REF!</v>
      </c>
      <c r="BG52" s="80"/>
      <c r="BH52" s="81"/>
      <c r="BI52" s="81"/>
      <c r="BJ52" s="81" t="str">
        <f>SUM(N52:BF52)</f>
        <v>#REF!</v>
      </c>
      <c r="BK52" s="55" t="str">
        <f t="shared" si="15"/>
        <v>#REF!</v>
      </c>
    </row>
    <row r="53">
      <c r="C53" s="82"/>
      <c r="D53" s="82"/>
      <c r="E53" s="83"/>
      <c r="F53" s="82"/>
      <c r="G53" s="82"/>
      <c r="H53" s="84"/>
      <c r="I53" s="82"/>
      <c r="J53" s="82"/>
      <c r="K53" s="82"/>
      <c r="L53" s="82"/>
      <c r="M53" s="82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6"/>
      <c r="BH53" s="86"/>
      <c r="BI53" s="86"/>
      <c r="BJ53" s="86"/>
    </row>
    <row r="54">
      <c r="B54" s="87" t="s">
        <v>3</v>
      </c>
      <c r="C54" s="82"/>
      <c r="D54" s="73">
        <v>54.0</v>
      </c>
      <c r="E54" s="88">
        <v>187.0</v>
      </c>
      <c r="F54" s="46">
        <v>1.0423904484337405E12</v>
      </c>
      <c r="G54" s="46">
        <v>8.0685115045E10</v>
      </c>
      <c r="H54" s="85" t="str">
        <f>'PROKER DM 2025'!AH192</f>
        <v>#REF!</v>
      </c>
      <c r="N54" s="46">
        <v>8.608922918572417E10</v>
      </c>
      <c r="O54" s="46"/>
      <c r="P54" s="46"/>
      <c r="Q54" s="46"/>
      <c r="R54" s="46">
        <v>9.095843123890297E10</v>
      </c>
      <c r="S54" s="46"/>
      <c r="T54" s="46"/>
      <c r="U54" s="46"/>
      <c r="V54" s="46">
        <v>9.272806007472417E10</v>
      </c>
      <c r="W54" s="46"/>
      <c r="X54" s="46"/>
      <c r="Y54" s="46"/>
      <c r="Z54" s="46">
        <v>9.296203948241718E10</v>
      </c>
      <c r="AA54" s="46"/>
      <c r="AB54" s="46"/>
      <c r="AC54" s="46"/>
      <c r="AD54" s="46">
        <v>9.331822597172417E10</v>
      </c>
      <c r="AE54" s="46"/>
      <c r="AF54" s="46"/>
      <c r="AG54" s="46"/>
      <c r="AH54" s="46">
        <v>9.854295853851698E10</v>
      </c>
      <c r="AI54" s="46"/>
      <c r="AJ54" s="46"/>
      <c r="AK54" s="46"/>
      <c r="AL54" s="46">
        <v>9.371826297372417E10</v>
      </c>
      <c r="AM54" s="46"/>
      <c r="AN54" s="46"/>
      <c r="AO54" s="46"/>
      <c r="AP54" s="46">
        <v>9.367515799472417E10</v>
      </c>
      <c r="AQ54" s="46"/>
      <c r="AR54" s="46"/>
      <c r="AS54" s="46"/>
      <c r="AT54" s="46">
        <v>9.404488280541718E10</v>
      </c>
      <c r="AU54" s="46"/>
      <c r="AV54" s="46"/>
      <c r="AW54" s="46"/>
      <c r="AX54" s="46">
        <v>9.399554730272417E10</v>
      </c>
      <c r="AY54" s="46"/>
      <c r="AZ54" s="46"/>
      <c r="BA54" s="46"/>
      <c r="BB54" s="46">
        <v>9.403595170641718E10</v>
      </c>
      <c r="BC54" s="46"/>
      <c r="BD54" s="46"/>
      <c r="BE54" s="46"/>
      <c r="BF54" s="46">
        <v>9.900681620372417E10</v>
      </c>
      <c r="BG54" s="55"/>
      <c r="BH54" s="55"/>
      <c r="BI54" s="55"/>
      <c r="BJ54" s="89">
        <f>SUM(N54:BF54)</f>
        <v>1123075563479</v>
      </c>
    </row>
    <row r="55">
      <c r="B55" s="87" t="s">
        <v>9</v>
      </c>
      <c r="D55" s="55">
        <f t="shared" ref="D55:H55" si="78">D52-D54</f>
        <v>0</v>
      </c>
      <c r="E55" s="55">
        <f t="shared" si="78"/>
        <v>1</v>
      </c>
      <c r="F55" s="46">
        <f t="shared" si="78"/>
        <v>118573551571</v>
      </c>
      <c r="G55" s="46">
        <f t="shared" si="78"/>
        <v>-117649583766</v>
      </c>
      <c r="H55" s="55" t="str">
        <f t="shared" si="78"/>
        <v>#REF!</v>
      </c>
      <c r="N55" s="55" t="str">
        <f t="shared" ref="N55:P55" si="79">N52-N54</f>
        <v>#REF!</v>
      </c>
      <c r="O55" s="46">
        <f t="shared" si="79"/>
        <v>0</v>
      </c>
      <c r="P55" s="46">
        <f t="shared" si="79"/>
        <v>0</v>
      </c>
      <c r="R55" s="55" t="str">
        <f t="shared" ref="R55:T55" si="80">R52-R54</f>
        <v>#REF!</v>
      </c>
      <c r="S55" s="46">
        <f t="shared" si="80"/>
        <v>0</v>
      </c>
      <c r="T55" s="46">
        <f t="shared" si="80"/>
        <v>0</v>
      </c>
      <c r="V55" s="55" t="str">
        <f t="shared" ref="V55:W55" si="81">V52-V54</f>
        <v>#REF!</v>
      </c>
      <c r="W55" s="46">
        <f t="shared" si="81"/>
        <v>0</v>
      </c>
      <c r="Z55" s="55" t="str">
        <f>Z52-Z54</f>
        <v>#REF!</v>
      </c>
      <c r="AD55" s="55" t="str">
        <f>AD52-AD54</f>
        <v>#REF!</v>
      </c>
      <c r="AH55" s="55" t="str">
        <f>AH52-AH54</f>
        <v>#REF!</v>
      </c>
      <c r="AL55" s="55" t="str">
        <f>AL52-AL54</f>
        <v>#REF!</v>
      </c>
      <c r="AP55" s="55" t="str">
        <f>AP52-AP54</f>
        <v>#REF!</v>
      </c>
      <c r="AT55" s="55" t="str">
        <f>AT52-AT54</f>
        <v>#REF!</v>
      </c>
      <c r="AX55" s="55" t="str">
        <f>AX52-AX54</f>
        <v>#REF!</v>
      </c>
      <c r="BB55" s="55" t="str">
        <f>BB52-BB54</f>
        <v>#REF!</v>
      </c>
      <c r="BF55" s="55" t="str">
        <f>BF52-BF54</f>
        <v>#REF!</v>
      </c>
      <c r="BJ55" s="55" t="str">
        <f>BJ52-BJ54</f>
        <v>#REF!</v>
      </c>
    </row>
    <row r="56">
      <c r="C56" s="90"/>
      <c r="D56" s="90"/>
      <c r="E56" s="90"/>
      <c r="F56" s="90"/>
      <c r="G56" s="90"/>
      <c r="H56" s="91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</row>
    <row r="57">
      <c r="F57" s="46"/>
      <c r="BG57" s="46"/>
      <c r="BH57" s="46"/>
      <c r="BI57" s="46"/>
      <c r="BJ57" s="46"/>
    </row>
    <row r="60">
      <c r="B60" s="92" t="s">
        <v>80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</row>
    <row r="61">
      <c r="B61" s="94" t="s">
        <v>81</v>
      </c>
      <c r="C61" s="95"/>
      <c r="D61" s="95"/>
      <c r="E61" s="95" t="s">
        <v>82</v>
      </c>
      <c r="F61" s="95"/>
      <c r="G61" s="95"/>
      <c r="H61" s="95" t="s">
        <v>83</v>
      </c>
      <c r="I61" s="95"/>
      <c r="J61" s="95"/>
      <c r="K61" s="95"/>
      <c r="L61" s="95"/>
      <c r="M61" s="95"/>
    </row>
    <row r="62">
      <c r="B62" s="96" t="s">
        <v>84</v>
      </c>
      <c r="C62" s="97"/>
      <c r="D62" s="97"/>
      <c r="E62" s="97">
        <v>6.0</v>
      </c>
      <c r="F62" s="97"/>
      <c r="G62" s="97"/>
      <c r="H62" s="97" t="s">
        <v>85</v>
      </c>
      <c r="I62" s="97"/>
      <c r="J62" s="97"/>
      <c r="K62" s="97"/>
      <c r="L62" s="97"/>
      <c r="M62" s="97"/>
    </row>
    <row r="63">
      <c r="B63" s="96" t="s">
        <v>86</v>
      </c>
      <c r="C63" s="97"/>
      <c r="D63" s="97"/>
      <c r="E63" s="97">
        <v>93.0</v>
      </c>
      <c r="F63" s="97"/>
      <c r="G63" s="97"/>
      <c r="H63" s="97" t="s">
        <v>87</v>
      </c>
      <c r="I63" s="97"/>
      <c r="J63" s="97"/>
      <c r="K63" s="97"/>
      <c r="L63" s="97"/>
      <c r="M63" s="97"/>
    </row>
    <row r="64">
      <c r="B64" s="96" t="s">
        <v>88</v>
      </c>
      <c r="C64" s="97"/>
      <c r="D64" s="97"/>
      <c r="E64" s="97">
        <v>35.0</v>
      </c>
      <c r="F64" s="97"/>
      <c r="G64" s="97"/>
      <c r="H64" s="97" t="s">
        <v>89</v>
      </c>
      <c r="I64" s="97"/>
      <c r="J64" s="97"/>
      <c r="K64" s="97"/>
      <c r="L64" s="97"/>
      <c r="M64" s="97"/>
    </row>
    <row r="65">
      <c r="B65" s="96" t="s">
        <v>90</v>
      </c>
      <c r="C65" s="97"/>
      <c r="D65" s="97"/>
      <c r="E65" s="97">
        <v>22.0</v>
      </c>
      <c r="F65" s="97"/>
      <c r="G65" s="97"/>
      <c r="H65" s="97" t="s">
        <v>91</v>
      </c>
      <c r="I65" s="97"/>
      <c r="J65" s="97"/>
      <c r="K65" s="97"/>
      <c r="L65" s="97"/>
      <c r="M65" s="97"/>
    </row>
    <row r="66">
      <c r="B66" s="96" t="s">
        <v>92</v>
      </c>
      <c r="C66" s="97"/>
      <c r="D66" s="97"/>
      <c r="E66" s="97">
        <v>24.0</v>
      </c>
      <c r="F66" s="97"/>
      <c r="G66" s="97"/>
      <c r="H66" s="97" t="s">
        <v>93</v>
      </c>
      <c r="I66" s="97"/>
      <c r="J66" s="97"/>
      <c r="K66" s="97"/>
      <c r="L66" s="97"/>
      <c r="M66" s="97"/>
    </row>
    <row r="67">
      <c r="B67" s="96" t="s">
        <v>94</v>
      </c>
      <c r="C67" s="97"/>
      <c r="D67" s="97"/>
      <c r="E67" s="97">
        <v>1.0</v>
      </c>
      <c r="F67" s="97"/>
      <c r="G67" s="97"/>
      <c r="H67" s="97" t="s">
        <v>95</v>
      </c>
      <c r="I67" s="97"/>
      <c r="J67" s="97"/>
      <c r="K67" s="97"/>
      <c r="L67" s="97"/>
      <c r="M67" s="97"/>
    </row>
    <row r="68">
      <c r="B68" s="96" t="s">
        <v>96</v>
      </c>
      <c r="C68" s="97"/>
      <c r="D68" s="97"/>
      <c r="E68" s="97">
        <v>3.0</v>
      </c>
      <c r="F68" s="97"/>
      <c r="G68" s="97"/>
      <c r="H68" s="97" t="s">
        <v>97</v>
      </c>
      <c r="I68" s="97"/>
      <c r="J68" s="97"/>
      <c r="K68" s="97"/>
      <c r="L68" s="97"/>
      <c r="M68" s="97"/>
    </row>
    <row r="69">
      <c r="B69" s="98" t="s">
        <v>98</v>
      </c>
      <c r="C69" s="99"/>
      <c r="D69" s="99"/>
      <c r="E69" s="99">
        <v>3.0</v>
      </c>
      <c r="F69" s="99"/>
      <c r="G69" s="99"/>
      <c r="H69" s="99" t="s">
        <v>99</v>
      </c>
      <c r="I69" s="99"/>
      <c r="J69" s="99"/>
      <c r="K69" s="99"/>
      <c r="L69" s="99"/>
      <c r="M69" s="99"/>
    </row>
    <row r="70">
      <c r="B70" s="100" t="s">
        <v>100</v>
      </c>
      <c r="C70" s="99"/>
      <c r="D70" s="99"/>
      <c r="E70" s="99">
        <v>187.0</v>
      </c>
      <c r="F70" s="99"/>
      <c r="G70" s="99"/>
      <c r="H70" s="99" t="s">
        <v>101</v>
      </c>
      <c r="I70" s="99"/>
      <c r="J70" s="99"/>
      <c r="K70" s="99"/>
      <c r="L70" s="99"/>
      <c r="M70" s="99"/>
    </row>
    <row r="71">
      <c r="B71" s="101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</row>
    <row r="72">
      <c r="B72" s="103" t="s">
        <v>102</v>
      </c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</row>
    <row r="73">
      <c r="B73" s="94" t="s">
        <v>81</v>
      </c>
      <c r="C73" s="95"/>
      <c r="D73" s="95"/>
      <c r="E73" s="95" t="s">
        <v>82</v>
      </c>
      <c r="F73" s="95"/>
      <c r="G73" s="95"/>
      <c r="H73" s="95" t="s">
        <v>83</v>
      </c>
      <c r="I73" s="95"/>
      <c r="J73" s="95"/>
      <c r="K73" s="95"/>
      <c r="L73" s="95"/>
      <c r="M73" s="95"/>
    </row>
    <row r="74">
      <c r="B74" s="96" t="s">
        <v>103</v>
      </c>
      <c r="C74" s="97"/>
      <c r="D74" s="97"/>
      <c r="E74" s="97">
        <v>102.0</v>
      </c>
      <c r="F74" s="97"/>
      <c r="G74" s="97"/>
      <c r="H74" s="97" t="s">
        <v>104</v>
      </c>
      <c r="I74" s="97"/>
      <c r="J74" s="97"/>
      <c r="K74" s="97"/>
      <c r="L74" s="97"/>
      <c r="M74" s="97"/>
    </row>
    <row r="75">
      <c r="B75" s="96" t="s">
        <v>90</v>
      </c>
      <c r="C75" s="97"/>
      <c r="D75" s="97"/>
      <c r="E75" s="97">
        <v>57.0</v>
      </c>
      <c r="F75" s="97"/>
      <c r="G75" s="97"/>
      <c r="H75" s="97" t="s">
        <v>105</v>
      </c>
      <c r="I75" s="97"/>
      <c r="J75" s="97"/>
      <c r="K75" s="97"/>
      <c r="L75" s="97"/>
      <c r="M75" s="97"/>
    </row>
    <row r="76">
      <c r="B76" s="96" t="s">
        <v>106</v>
      </c>
      <c r="C76" s="97"/>
      <c r="D76" s="97"/>
      <c r="E76" s="97">
        <v>25.0</v>
      </c>
      <c r="F76" s="97"/>
      <c r="G76" s="97"/>
      <c r="H76" s="97" t="s">
        <v>107</v>
      </c>
      <c r="I76" s="97"/>
      <c r="J76" s="97"/>
      <c r="K76" s="97"/>
      <c r="L76" s="97"/>
      <c r="M76" s="97"/>
    </row>
    <row r="77">
      <c r="B77" s="96" t="s">
        <v>98</v>
      </c>
      <c r="C77" s="97"/>
      <c r="D77" s="97"/>
      <c r="E77" s="97">
        <v>3.0</v>
      </c>
      <c r="F77" s="97"/>
      <c r="G77" s="97"/>
      <c r="H77" s="97" t="s">
        <v>99</v>
      </c>
      <c r="I77" s="97"/>
      <c r="J77" s="97"/>
      <c r="K77" s="97"/>
      <c r="L77" s="97"/>
      <c r="M77" s="97"/>
    </row>
    <row r="78">
      <c r="B78" s="96" t="s">
        <v>25</v>
      </c>
      <c r="C78" s="97"/>
      <c r="D78" s="97"/>
      <c r="E78" s="97">
        <v>187.0</v>
      </c>
      <c r="F78" s="97"/>
      <c r="G78" s="97"/>
      <c r="H78" s="97" t="s">
        <v>101</v>
      </c>
      <c r="I78" s="97"/>
      <c r="J78" s="97"/>
      <c r="K78" s="97"/>
      <c r="L78" s="97"/>
      <c r="M78" s="97"/>
    </row>
  </sheetData>
  <mergeCells count="24">
    <mergeCell ref="BB5:BE5"/>
    <mergeCell ref="BF5:BI5"/>
    <mergeCell ref="A4:A6"/>
    <mergeCell ref="B4:B6"/>
    <mergeCell ref="C4:H4"/>
    <mergeCell ref="I4:M4"/>
    <mergeCell ref="N4:BJ4"/>
    <mergeCell ref="C5:E5"/>
    <mergeCell ref="F5:H5"/>
    <mergeCell ref="I5:I6"/>
    <mergeCell ref="J5:J6"/>
    <mergeCell ref="A52:B52"/>
    <mergeCell ref="K5:K6"/>
    <mergeCell ref="L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4.71"/>
    <col customWidth="1" min="3" max="3" width="33.71"/>
    <col customWidth="1" min="4" max="4" width="6.14"/>
    <col customWidth="1" min="5" max="5" width="4.43"/>
    <col customWidth="1" min="6" max="6" width="5.29"/>
    <col customWidth="1" min="7" max="7" width="4.57"/>
    <col customWidth="1" min="8" max="8" width="4.43"/>
    <col customWidth="1" min="9" max="9" width="4.57"/>
    <col customWidth="1" min="10" max="10" width="4.0"/>
    <col customWidth="1" min="11" max="11" width="5.0"/>
    <col customWidth="1" min="12" max="12" width="4.14"/>
    <col customWidth="1" min="13" max="13" width="4.57"/>
    <col customWidth="1" min="14" max="14" width="5.0"/>
    <col customWidth="1" min="15" max="15" width="4.43"/>
    <col customWidth="1" min="16" max="16" width="5.43"/>
    <col customWidth="1" min="17" max="17" width="4.43"/>
    <col customWidth="1" min="18" max="18" width="5.29"/>
    <col customWidth="1" min="19" max="19" width="4.57"/>
    <col customWidth="1" min="20" max="20" width="4.43"/>
    <col customWidth="1" min="21" max="21" width="4.57"/>
    <col customWidth="1" min="22" max="22" width="4.0"/>
    <col customWidth="1" min="23" max="23" width="5.0"/>
    <col customWidth="1" min="24" max="24" width="4.14"/>
    <col customWidth="1" min="25" max="25" width="4.57"/>
    <col customWidth="1" min="26" max="26" width="5.0"/>
    <col customWidth="1" min="27" max="27" width="4.43"/>
  </cols>
  <sheetData>
    <row r="1">
      <c r="B1" s="104" t="s">
        <v>108</v>
      </c>
    </row>
    <row r="2">
      <c r="B2" s="105" t="s">
        <v>109</v>
      </c>
    </row>
    <row r="3">
      <c r="B3" s="105" t="s">
        <v>110</v>
      </c>
    </row>
    <row r="5">
      <c r="B5" s="106" t="s">
        <v>111</v>
      </c>
      <c r="C5" s="4" t="s">
        <v>112</v>
      </c>
      <c r="D5" s="11" t="s">
        <v>113</v>
      </c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11" t="s">
        <v>114</v>
      </c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106" t="s">
        <v>115</v>
      </c>
    </row>
    <row r="6">
      <c r="B6" s="18"/>
      <c r="C6" s="18"/>
      <c r="D6" s="107" t="s">
        <v>116</v>
      </c>
      <c r="E6" s="107" t="s">
        <v>117</v>
      </c>
      <c r="F6" s="107" t="s">
        <v>118</v>
      </c>
      <c r="G6" s="107" t="s">
        <v>119</v>
      </c>
      <c r="H6" s="107" t="s">
        <v>120</v>
      </c>
      <c r="I6" s="107" t="s">
        <v>121</v>
      </c>
      <c r="J6" s="107" t="s">
        <v>122</v>
      </c>
      <c r="K6" s="107" t="s">
        <v>123</v>
      </c>
      <c r="L6" s="107" t="s">
        <v>124</v>
      </c>
      <c r="M6" s="107" t="s">
        <v>125</v>
      </c>
      <c r="N6" s="107" t="s">
        <v>126</v>
      </c>
      <c r="O6" s="107" t="s">
        <v>127</v>
      </c>
      <c r="P6" s="107" t="s">
        <v>116</v>
      </c>
      <c r="Q6" s="107" t="s">
        <v>117</v>
      </c>
      <c r="R6" s="107" t="s">
        <v>118</v>
      </c>
      <c r="S6" s="107" t="s">
        <v>119</v>
      </c>
      <c r="T6" s="107" t="s">
        <v>120</v>
      </c>
      <c r="U6" s="107" t="s">
        <v>121</v>
      </c>
      <c r="V6" s="107" t="s">
        <v>122</v>
      </c>
      <c r="W6" s="107" t="s">
        <v>123</v>
      </c>
      <c r="X6" s="107" t="s">
        <v>124</v>
      </c>
      <c r="Y6" s="107" t="s">
        <v>125</v>
      </c>
      <c r="Z6" s="107" t="s">
        <v>126</v>
      </c>
      <c r="AA6" s="107" t="s">
        <v>127</v>
      </c>
      <c r="AB6" s="18"/>
    </row>
    <row r="7">
      <c r="B7" s="86"/>
      <c r="C7" s="86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86"/>
    </row>
    <row r="8">
      <c r="B8" s="108" t="s">
        <v>27</v>
      </c>
      <c r="C8" s="108" t="s">
        <v>128</v>
      </c>
      <c r="D8" s="86">
        <f t="shared" ref="D8:AA8" si="1">SUM(D9:D11)</f>
        <v>0</v>
      </c>
      <c r="E8" s="86">
        <f t="shared" si="1"/>
        <v>0</v>
      </c>
      <c r="F8" s="86">
        <f t="shared" si="1"/>
        <v>0</v>
      </c>
      <c r="G8" s="86">
        <f t="shared" si="1"/>
        <v>0</v>
      </c>
      <c r="H8" s="86">
        <f t="shared" si="1"/>
        <v>0</v>
      </c>
      <c r="I8" s="86">
        <f t="shared" si="1"/>
        <v>0</v>
      </c>
      <c r="J8" s="86">
        <f t="shared" si="1"/>
        <v>0</v>
      </c>
      <c r="K8" s="86">
        <f t="shared" si="1"/>
        <v>0</v>
      </c>
      <c r="L8" s="86">
        <f t="shared" si="1"/>
        <v>0</v>
      </c>
      <c r="M8" s="86">
        <f t="shared" si="1"/>
        <v>0</v>
      </c>
      <c r="N8" s="86">
        <f t="shared" si="1"/>
        <v>0</v>
      </c>
      <c r="O8" s="86">
        <f t="shared" si="1"/>
        <v>0</v>
      </c>
      <c r="P8" s="86">
        <f t="shared" si="1"/>
        <v>0</v>
      </c>
      <c r="Q8" s="86">
        <f t="shared" si="1"/>
        <v>0</v>
      </c>
      <c r="R8" s="86">
        <f t="shared" si="1"/>
        <v>0</v>
      </c>
      <c r="S8" s="86">
        <f t="shared" si="1"/>
        <v>0</v>
      </c>
      <c r="T8" s="86">
        <f t="shared" si="1"/>
        <v>0</v>
      </c>
      <c r="U8" s="86">
        <f t="shared" si="1"/>
        <v>0</v>
      </c>
      <c r="V8" s="86">
        <f t="shared" si="1"/>
        <v>0</v>
      </c>
      <c r="W8" s="86">
        <f t="shared" si="1"/>
        <v>0</v>
      </c>
      <c r="X8" s="86">
        <f t="shared" si="1"/>
        <v>0</v>
      </c>
      <c r="Y8" s="86">
        <f t="shared" si="1"/>
        <v>0</v>
      </c>
      <c r="Z8" s="86">
        <f t="shared" si="1"/>
        <v>0</v>
      </c>
      <c r="AA8" s="86">
        <f t="shared" si="1"/>
        <v>0</v>
      </c>
      <c r="AB8" s="86"/>
    </row>
    <row r="9">
      <c r="B9" s="109" t="s">
        <v>129</v>
      </c>
      <c r="C9" s="108" t="s">
        <v>130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</row>
    <row r="10">
      <c r="B10" s="109" t="s">
        <v>131</v>
      </c>
      <c r="C10" s="108" t="s">
        <v>132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</row>
    <row r="11">
      <c r="B11" s="109" t="s">
        <v>133</v>
      </c>
      <c r="C11" s="108" t="s">
        <v>84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</row>
    <row r="12">
      <c r="B12" s="108"/>
      <c r="C12" s="108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</row>
    <row r="13">
      <c r="B13" s="108" t="s">
        <v>39</v>
      </c>
      <c r="C13" s="108" t="s">
        <v>134</v>
      </c>
      <c r="D13" s="86">
        <f t="shared" ref="D13:AA13" si="2">SUM(D14:D15)</f>
        <v>0</v>
      </c>
      <c r="E13" s="86">
        <f t="shared" si="2"/>
        <v>0</v>
      </c>
      <c r="F13" s="86">
        <f t="shared" si="2"/>
        <v>0</v>
      </c>
      <c r="G13" s="86">
        <f t="shared" si="2"/>
        <v>0</v>
      </c>
      <c r="H13" s="86">
        <f t="shared" si="2"/>
        <v>0</v>
      </c>
      <c r="I13" s="86">
        <f t="shared" si="2"/>
        <v>0</v>
      </c>
      <c r="J13" s="86">
        <f t="shared" si="2"/>
        <v>0</v>
      </c>
      <c r="K13" s="86">
        <f t="shared" si="2"/>
        <v>0</v>
      </c>
      <c r="L13" s="86">
        <f t="shared" si="2"/>
        <v>0</v>
      </c>
      <c r="M13" s="86">
        <f t="shared" si="2"/>
        <v>0</v>
      </c>
      <c r="N13" s="86">
        <f t="shared" si="2"/>
        <v>0</v>
      </c>
      <c r="O13" s="86">
        <f t="shared" si="2"/>
        <v>0</v>
      </c>
      <c r="P13" s="86">
        <f t="shared" si="2"/>
        <v>0</v>
      </c>
      <c r="Q13" s="86">
        <f t="shared" si="2"/>
        <v>0</v>
      </c>
      <c r="R13" s="86">
        <f t="shared" si="2"/>
        <v>0</v>
      </c>
      <c r="S13" s="86">
        <f t="shared" si="2"/>
        <v>0</v>
      </c>
      <c r="T13" s="86">
        <f t="shared" si="2"/>
        <v>0</v>
      </c>
      <c r="U13" s="86">
        <f t="shared" si="2"/>
        <v>0</v>
      </c>
      <c r="V13" s="86">
        <f t="shared" si="2"/>
        <v>0</v>
      </c>
      <c r="W13" s="86">
        <f t="shared" si="2"/>
        <v>0</v>
      </c>
      <c r="X13" s="86">
        <f t="shared" si="2"/>
        <v>0</v>
      </c>
      <c r="Y13" s="86">
        <f t="shared" si="2"/>
        <v>0</v>
      </c>
      <c r="Z13" s="86">
        <f t="shared" si="2"/>
        <v>0</v>
      </c>
      <c r="AA13" s="86">
        <f t="shared" si="2"/>
        <v>0</v>
      </c>
      <c r="AB13" s="86"/>
    </row>
    <row r="14">
      <c r="B14" s="86"/>
      <c r="C14" s="108" t="s">
        <v>135</v>
      </c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</row>
    <row r="15">
      <c r="B15" s="86"/>
      <c r="C15" s="108" t="s">
        <v>88</v>
      </c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</row>
    <row r="16">
      <c r="B16" s="86"/>
      <c r="C16" s="108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</row>
    <row r="17">
      <c r="B17" s="86"/>
      <c r="C17" s="108" t="s">
        <v>25</v>
      </c>
      <c r="D17" s="86">
        <f t="shared" ref="D17:AA17" si="3">D8+D13</f>
        <v>0</v>
      </c>
      <c r="E17" s="86">
        <f t="shared" si="3"/>
        <v>0</v>
      </c>
      <c r="F17" s="86">
        <f t="shared" si="3"/>
        <v>0</v>
      </c>
      <c r="G17" s="86">
        <f t="shared" si="3"/>
        <v>0</v>
      </c>
      <c r="H17" s="86">
        <f t="shared" si="3"/>
        <v>0</v>
      </c>
      <c r="I17" s="86">
        <f t="shared" si="3"/>
        <v>0</v>
      </c>
      <c r="J17" s="86">
        <f t="shared" si="3"/>
        <v>0</v>
      </c>
      <c r="K17" s="86">
        <f t="shared" si="3"/>
        <v>0</v>
      </c>
      <c r="L17" s="86">
        <f t="shared" si="3"/>
        <v>0</v>
      </c>
      <c r="M17" s="86">
        <f t="shared" si="3"/>
        <v>0</v>
      </c>
      <c r="N17" s="86">
        <f t="shared" si="3"/>
        <v>0</v>
      </c>
      <c r="O17" s="86">
        <f t="shared" si="3"/>
        <v>0</v>
      </c>
      <c r="P17" s="86">
        <f t="shared" si="3"/>
        <v>0</v>
      </c>
      <c r="Q17" s="86">
        <f t="shared" si="3"/>
        <v>0</v>
      </c>
      <c r="R17" s="86">
        <f t="shared" si="3"/>
        <v>0</v>
      </c>
      <c r="S17" s="86">
        <f t="shared" si="3"/>
        <v>0</v>
      </c>
      <c r="T17" s="86">
        <f t="shared" si="3"/>
        <v>0</v>
      </c>
      <c r="U17" s="86">
        <f t="shared" si="3"/>
        <v>0</v>
      </c>
      <c r="V17" s="86">
        <f t="shared" si="3"/>
        <v>0</v>
      </c>
      <c r="W17" s="86">
        <f t="shared" si="3"/>
        <v>0</v>
      </c>
      <c r="X17" s="86">
        <f t="shared" si="3"/>
        <v>0</v>
      </c>
      <c r="Y17" s="86">
        <f t="shared" si="3"/>
        <v>0</v>
      </c>
      <c r="Z17" s="86">
        <f t="shared" si="3"/>
        <v>0</v>
      </c>
      <c r="AA17" s="86">
        <f t="shared" si="3"/>
        <v>0</v>
      </c>
      <c r="AB17" s="86"/>
    </row>
    <row r="18">
      <c r="B18" s="86"/>
      <c r="C18" s="108" t="s">
        <v>136</v>
      </c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</row>
    <row r="19">
      <c r="B19" s="86"/>
      <c r="C19" s="108" t="s">
        <v>137</v>
      </c>
      <c r="D19" s="86">
        <f t="shared" ref="D19:AA19" si="4">D17+D18</f>
        <v>0</v>
      </c>
      <c r="E19" s="86">
        <f t="shared" si="4"/>
        <v>0</v>
      </c>
      <c r="F19" s="86">
        <f t="shared" si="4"/>
        <v>0</v>
      </c>
      <c r="G19" s="86">
        <f t="shared" si="4"/>
        <v>0</v>
      </c>
      <c r="H19" s="86">
        <f t="shared" si="4"/>
        <v>0</v>
      </c>
      <c r="I19" s="86">
        <f t="shared" si="4"/>
        <v>0</v>
      </c>
      <c r="J19" s="86">
        <f t="shared" si="4"/>
        <v>0</v>
      </c>
      <c r="K19" s="86">
        <f t="shared" si="4"/>
        <v>0</v>
      </c>
      <c r="L19" s="86">
        <f t="shared" si="4"/>
        <v>0</v>
      </c>
      <c r="M19" s="86">
        <f t="shared" si="4"/>
        <v>0</v>
      </c>
      <c r="N19" s="86">
        <f t="shared" si="4"/>
        <v>0</v>
      </c>
      <c r="O19" s="86">
        <f t="shared" si="4"/>
        <v>0</v>
      </c>
      <c r="P19" s="86">
        <f t="shared" si="4"/>
        <v>0</v>
      </c>
      <c r="Q19" s="86">
        <f t="shared" si="4"/>
        <v>0</v>
      </c>
      <c r="R19" s="86">
        <f t="shared" si="4"/>
        <v>0</v>
      </c>
      <c r="S19" s="86">
        <f t="shared" si="4"/>
        <v>0</v>
      </c>
      <c r="T19" s="86">
        <f t="shared" si="4"/>
        <v>0</v>
      </c>
      <c r="U19" s="86">
        <f t="shared" si="4"/>
        <v>0</v>
      </c>
      <c r="V19" s="86">
        <f t="shared" si="4"/>
        <v>0</v>
      </c>
      <c r="W19" s="86">
        <f t="shared" si="4"/>
        <v>0</v>
      </c>
      <c r="X19" s="86">
        <f t="shared" si="4"/>
        <v>0</v>
      </c>
      <c r="Y19" s="86">
        <f t="shared" si="4"/>
        <v>0</v>
      </c>
      <c r="Z19" s="86">
        <f t="shared" si="4"/>
        <v>0</v>
      </c>
      <c r="AA19" s="86">
        <f t="shared" si="4"/>
        <v>0</v>
      </c>
      <c r="AB19" s="86"/>
    </row>
  </sheetData>
  <mergeCells count="5">
    <mergeCell ref="B5:B6"/>
    <mergeCell ref="C5:C6"/>
    <mergeCell ref="D5:O5"/>
    <mergeCell ref="P5:AA5"/>
    <mergeCell ref="AB5:AB6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6.0"/>
    <col customWidth="1" hidden="1" min="2" max="2" width="46.14"/>
    <col customWidth="1" min="3" max="3" width="46.14"/>
    <col customWidth="1" min="4" max="4" width="12.71"/>
    <col customWidth="1" min="5" max="5" width="9.29"/>
    <col customWidth="1" min="6" max="6" width="3.43"/>
    <col customWidth="1" min="7" max="7" width="8.43"/>
    <col customWidth="1" min="8" max="8" width="7.86"/>
    <col customWidth="1" min="9" max="9" width="9.29"/>
    <col customWidth="1" min="10" max="10" width="7.57"/>
    <col customWidth="1" min="11" max="11" width="9.29"/>
    <col customWidth="1" min="12" max="12" width="7.57"/>
    <col customWidth="1" min="13" max="13" width="43.71"/>
    <col customWidth="1" min="14" max="14" width="10.0"/>
    <col customWidth="1" min="16" max="16" width="9.29"/>
    <col customWidth="1" min="17" max="17" width="4.71"/>
    <col customWidth="1" min="18" max="18" width="7.71"/>
  </cols>
  <sheetData>
    <row r="1">
      <c r="A1" s="110" t="s">
        <v>138</v>
      </c>
    </row>
    <row r="2">
      <c r="A2" s="2" t="s">
        <v>139</v>
      </c>
    </row>
    <row r="3">
      <c r="A3" s="2" t="s">
        <v>140</v>
      </c>
    </row>
    <row r="4">
      <c r="A4" s="2"/>
      <c r="B4" s="2"/>
      <c r="C4" s="2"/>
    </row>
    <row r="5">
      <c r="A5" s="2"/>
      <c r="B5" s="2"/>
      <c r="C5" s="2"/>
    </row>
    <row r="6">
      <c r="A6" s="4" t="s">
        <v>1</v>
      </c>
      <c r="B6" s="19"/>
      <c r="C6" s="4" t="s">
        <v>2</v>
      </c>
      <c r="D6" s="4" t="s">
        <v>141</v>
      </c>
      <c r="E6" s="11" t="s">
        <v>142</v>
      </c>
      <c r="F6" s="6"/>
      <c r="G6" s="6"/>
      <c r="H6" s="6"/>
      <c r="I6" s="6"/>
      <c r="J6" s="6"/>
      <c r="K6" s="6"/>
      <c r="L6" s="7"/>
      <c r="M6" s="4" t="s">
        <v>143</v>
      </c>
    </row>
    <row r="7" ht="27.75" customHeight="1">
      <c r="A7" s="18"/>
      <c r="B7" s="19"/>
      <c r="C7" s="18"/>
      <c r="D7" s="18"/>
      <c r="E7" s="19" t="s">
        <v>144</v>
      </c>
      <c r="F7" s="111" t="s">
        <v>145</v>
      </c>
      <c r="G7" s="7"/>
      <c r="H7" s="19" t="s">
        <v>146</v>
      </c>
      <c r="I7" s="19" t="s">
        <v>147</v>
      </c>
      <c r="J7" s="19" t="s">
        <v>145</v>
      </c>
      <c r="K7" s="19" t="s">
        <v>148</v>
      </c>
      <c r="L7" s="19" t="s">
        <v>145</v>
      </c>
      <c r="M7" s="18"/>
      <c r="O7" s="105" t="s">
        <v>149</v>
      </c>
      <c r="P7" s="105" t="s">
        <v>150</v>
      </c>
      <c r="Q7" s="105" t="s">
        <v>145</v>
      </c>
    </row>
    <row r="8">
      <c r="A8" s="31">
        <v>1.0</v>
      </c>
      <c r="B8" s="26" t="s">
        <v>28</v>
      </c>
      <c r="C8" s="32" t="s">
        <v>29</v>
      </c>
      <c r="D8" s="89">
        <f>SUM('DB Monitoring'!Q9:W9)</f>
        <v>1916998814</v>
      </c>
      <c r="E8" s="89">
        <f>'DB Monitoring'!AC46</f>
        <v>2153826729</v>
      </c>
      <c r="F8" s="112" t="str">
        <f t="shared" ref="F8:F47" si="2">if(E8&gt;D8,"✅","❌")</f>
        <v>✅</v>
      </c>
      <c r="G8" s="113">
        <f t="shared" ref="G8:G25" si="3">iferror(E8/D8,0)</f>
        <v>1.123540982</v>
      </c>
      <c r="H8" s="114">
        <f t="shared" ref="H8:H46" si="4">_xlfn.RANK.AVG(G8,$G$8:$G$46,0)</f>
        <v>4</v>
      </c>
      <c r="I8" s="89">
        <f>'DB Monitoring'!AC47</f>
        <v>1197408381</v>
      </c>
      <c r="J8" s="115">
        <f t="shared" ref="J8:J47" si="5">I8/E8</f>
        <v>0.5559446194</v>
      </c>
      <c r="K8" s="89">
        <f>'DB Monitoring'!AC48</f>
        <v>964991715</v>
      </c>
      <c r="L8" s="115">
        <f t="shared" ref="L8:L47" si="6">K8/E8</f>
        <v>0.4480359084</v>
      </c>
      <c r="M8" s="86"/>
      <c r="N8" s="105" t="s">
        <v>151</v>
      </c>
      <c r="O8" s="46">
        <f t="shared" ref="O8:P8" si="1">sum(D8:D18)</f>
        <v>102195731304</v>
      </c>
      <c r="P8" s="46">
        <f t="shared" si="1"/>
        <v>87779922637</v>
      </c>
      <c r="Q8" s="112" t="str">
        <f t="shared" ref="Q8:Q10" si="8">if(P8&gt;O8,"✅","❌")</f>
        <v>❌</v>
      </c>
      <c r="R8" s="113">
        <f t="shared" ref="R8:R10" si="9">iferror(P8/O8,0)</f>
        <v>0.8589392288</v>
      </c>
    </row>
    <row r="9">
      <c r="A9" s="31">
        <v>2.0</v>
      </c>
      <c r="B9" s="26" t="s">
        <v>28</v>
      </c>
      <c r="C9" s="47" t="s">
        <v>30</v>
      </c>
      <c r="D9" s="89">
        <f>SUM('DB Monitoring'!Q49:W49)</f>
        <v>45807012256</v>
      </c>
      <c r="E9" s="89">
        <f>'DB Monitoring'!AC159</f>
        <v>43251068459</v>
      </c>
      <c r="F9" s="112" t="str">
        <f t="shared" si="2"/>
        <v>❌</v>
      </c>
      <c r="G9" s="113">
        <f t="shared" si="3"/>
        <v>0.9442019099</v>
      </c>
      <c r="H9" s="114">
        <f t="shared" si="4"/>
        <v>10</v>
      </c>
      <c r="I9" s="89">
        <f>'DB Monitoring'!AC160</f>
        <v>17048278898</v>
      </c>
      <c r="J9" s="115">
        <f t="shared" si="5"/>
        <v>0.3941701212</v>
      </c>
      <c r="K9" s="89">
        <f>'DB Monitoring'!AC161</f>
        <v>11850373941</v>
      </c>
      <c r="L9" s="115">
        <f t="shared" si="6"/>
        <v>0.2739903166</v>
      </c>
      <c r="M9" s="86"/>
      <c r="N9" s="105" t="s">
        <v>152</v>
      </c>
      <c r="O9" s="46">
        <f t="shared" ref="O9:P9" si="7">sum(D19:D46)</f>
        <v>673698698353</v>
      </c>
      <c r="P9" s="46">
        <f t="shared" si="7"/>
        <v>503802944771</v>
      </c>
      <c r="Q9" s="112" t="str">
        <f t="shared" si="8"/>
        <v>❌</v>
      </c>
      <c r="R9" s="113">
        <f t="shared" si="9"/>
        <v>0.7478164141</v>
      </c>
    </row>
    <row r="10">
      <c r="A10" s="31">
        <v>3.0</v>
      </c>
      <c r="B10" s="26" t="s">
        <v>28</v>
      </c>
      <c r="C10" s="47" t="s">
        <v>31</v>
      </c>
      <c r="D10" s="89">
        <f>SUM('DB Monitoring'!Q162:W162)</f>
        <v>14720501300</v>
      </c>
      <c r="E10" s="89">
        <f>'DB Monitoring'!AC255</f>
        <v>12753765496</v>
      </c>
      <c r="F10" s="112" t="str">
        <f t="shared" si="2"/>
        <v>❌</v>
      </c>
      <c r="G10" s="113">
        <f t="shared" si="3"/>
        <v>0.8663947807</v>
      </c>
      <c r="H10" s="114">
        <f t="shared" si="4"/>
        <v>14</v>
      </c>
      <c r="I10" s="89">
        <f>'DB Monitoring'!AC256</f>
        <v>9845778563</v>
      </c>
      <c r="J10" s="115">
        <f t="shared" si="5"/>
        <v>0.7719899324</v>
      </c>
      <c r="K10" s="89">
        <f>'DB Monitoring'!AC257</f>
        <v>7301744157</v>
      </c>
      <c r="L10" s="115">
        <f t="shared" si="6"/>
        <v>0.5725167331</v>
      </c>
      <c r="M10" s="86"/>
      <c r="N10" s="105" t="s">
        <v>100</v>
      </c>
      <c r="O10" s="46">
        <f t="shared" ref="O10:P10" si="10">sum(O8:O9)</f>
        <v>775894429657</v>
      </c>
      <c r="P10" s="46">
        <f t="shared" si="10"/>
        <v>591582867407</v>
      </c>
      <c r="Q10" s="112" t="str">
        <f t="shared" si="8"/>
        <v>❌</v>
      </c>
      <c r="R10" s="113">
        <f t="shared" si="9"/>
        <v>0.7624527833</v>
      </c>
    </row>
    <row r="11">
      <c r="A11" s="31">
        <v>4.0</v>
      </c>
      <c r="B11" s="26" t="s">
        <v>28</v>
      </c>
      <c r="C11" s="47" t="s">
        <v>32</v>
      </c>
      <c r="D11" s="89">
        <f>SUM('DB Monitoring'!Q258:W258)</f>
        <v>5771193697</v>
      </c>
      <c r="E11" s="89">
        <f>'DB Monitoring'!AC297</f>
        <v>5118252924</v>
      </c>
      <c r="F11" s="112" t="str">
        <f t="shared" si="2"/>
        <v>❌</v>
      </c>
      <c r="G11" s="113">
        <f t="shared" si="3"/>
        <v>0.8868620934</v>
      </c>
      <c r="H11" s="114">
        <f t="shared" si="4"/>
        <v>13</v>
      </c>
      <c r="I11" s="89">
        <f>'DB Monitoring'!AC298</f>
        <v>3040575140</v>
      </c>
      <c r="J11" s="115">
        <f t="shared" si="5"/>
        <v>0.5940650424</v>
      </c>
      <c r="K11" s="89">
        <f>'DB Monitoring'!AC299</f>
        <v>2879392335</v>
      </c>
      <c r="L11" s="115">
        <f t="shared" si="6"/>
        <v>0.56257328</v>
      </c>
      <c r="M11" s="86"/>
    </row>
    <row r="12">
      <c r="A12" s="31">
        <v>5.0</v>
      </c>
      <c r="B12" s="26" t="s">
        <v>28</v>
      </c>
      <c r="C12" s="47" t="s">
        <v>33</v>
      </c>
      <c r="D12" s="89">
        <f>SUM('DB Monitoring'!Q300:W300)</f>
        <v>3442610647</v>
      </c>
      <c r="E12" s="89">
        <f>'DB Monitoring'!AC316</f>
        <v>2978039113</v>
      </c>
      <c r="F12" s="112" t="str">
        <f t="shared" si="2"/>
        <v>❌</v>
      </c>
      <c r="G12" s="113">
        <f t="shared" si="3"/>
        <v>0.8650525483</v>
      </c>
      <c r="H12" s="114">
        <f t="shared" si="4"/>
        <v>15</v>
      </c>
      <c r="I12" s="89">
        <f>'DB Monitoring'!AC317</f>
        <v>2586247538</v>
      </c>
      <c r="J12" s="115">
        <f t="shared" si="5"/>
        <v>0.8684397484</v>
      </c>
      <c r="K12" s="89">
        <f>'DB Monitoring'!AC318</f>
        <v>2177435958</v>
      </c>
      <c r="L12" s="115">
        <f t="shared" si="6"/>
        <v>0.731164325</v>
      </c>
      <c r="M12" s="86"/>
    </row>
    <row r="13">
      <c r="A13" s="31">
        <v>6.0</v>
      </c>
      <c r="B13" s="26" t="s">
        <v>28</v>
      </c>
      <c r="C13" s="47" t="s">
        <v>34</v>
      </c>
      <c r="D13" s="89">
        <f>SUM('DB Monitoring'!Q319:W319)</f>
        <v>6012432457</v>
      </c>
      <c r="E13" s="89">
        <f>'DB Monitoring'!AC343</f>
        <v>6469945210</v>
      </c>
      <c r="F13" s="112" t="str">
        <f t="shared" si="2"/>
        <v>✅</v>
      </c>
      <c r="G13" s="113">
        <f t="shared" si="3"/>
        <v>1.076094452</v>
      </c>
      <c r="H13" s="114">
        <f t="shared" si="4"/>
        <v>5</v>
      </c>
      <c r="I13" s="89">
        <f>'DB Monitoring'!AC344</f>
        <v>1127326193</v>
      </c>
      <c r="J13" s="115">
        <f t="shared" si="5"/>
        <v>0.1742404544</v>
      </c>
      <c r="K13" s="89">
        <f>'DB Monitoring'!AC345</f>
        <v>1127326193</v>
      </c>
      <c r="L13" s="115">
        <f t="shared" si="6"/>
        <v>0.1742404544</v>
      </c>
      <c r="M13" s="86"/>
    </row>
    <row r="14">
      <c r="A14" s="31">
        <v>7.0</v>
      </c>
      <c r="B14" s="26" t="s">
        <v>28</v>
      </c>
      <c r="C14" s="47" t="s">
        <v>35</v>
      </c>
      <c r="D14" s="89">
        <f>SUM('DB Monitoring'!Q346:W346)</f>
        <v>3333806203</v>
      </c>
      <c r="E14" s="89">
        <f>'DB Monitoring'!AC376</f>
        <v>1704074856</v>
      </c>
      <c r="F14" s="112" t="str">
        <f t="shared" si="2"/>
        <v>❌</v>
      </c>
      <c r="G14" s="113">
        <f t="shared" si="3"/>
        <v>0.5111499446</v>
      </c>
      <c r="H14" s="114">
        <f t="shared" si="4"/>
        <v>18</v>
      </c>
      <c r="I14" s="89">
        <f>'DB Monitoring'!AC377</f>
        <v>1201300261</v>
      </c>
      <c r="J14" s="115">
        <f t="shared" si="5"/>
        <v>0.7049574476</v>
      </c>
      <c r="K14" s="89">
        <f>'DB Monitoring'!AC378</f>
        <v>1201300261</v>
      </c>
      <c r="L14" s="115">
        <f t="shared" si="6"/>
        <v>0.7049574476</v>
      </c>
      <c r="M14" s="86"/>
    </row>
    <row r="15">
      <c r="A15" s="31">
        <v>8.0</v>
      </c>
      <c r="B15" s="26" t="s">
        <v>28</v>
      </c>
      <c r="C15" s="47" t="s">
        <v>36</v>
      </c>
      <c r="D15" s="89">
        <f>SUM('DB Monitoring'!Q379:W379)</f>
        <v>1038822615</v>
      </c>
      <c r="E15" s="89">
        <f>'DB Monitoring'!AC400</f>
        <v>1005987309</v>
      </c>
      <c r="F15" s="112" t="str">
        <f t="shared" si="2"/>
        <v>❌</v>
      </c>
      <c r="G15" s="113">
        <f t="shared" si="3"/>
        <v>0.968391807</v>
      </c>
      <c r="H15" s="114">
        <f t="shared" si="4"/>
        <v>9</v>
      </c>
      <c r="I15" s="89">
        <f>'DB Monitoring'!AC401</f>
        <v>632655254</v>
      </c>
      <c r="J15" s="115">
        <f t="shared" si="5"/>
        <v>0.6288898959</v>
      </c>
      <c r="K15" s="89">
        <f>'DB Monitoring'!AC402</f>
        <v>632655254</v>
      </c>
      <c r="L15" s="115">
        <f t="shared" si="6"/>
        <v>0.6288898959</v>
      </c>
      <c r="M15" s="86"/>
    </row>
    <row r="16">
      <c r="A16" s="31">
        <v>9.0</v>
      </c>
      <c r="B16" s="26" t="s">
        <v>28</v>
      </c>
      <c r="C16" s="47" t="s">
        <v>37</v>
      </c>
      <c r="D16" s="89">
        <f>SUM('DB Monitoring'!Q403:W403)</f>
        <v>4760959621</v>
      </c>
      <c r="E16" s="89">
        <f>'DB Monitoring'!AC424</f>
        <v>5059689123</v>
      </c>
      <c r="F16" s="112" t="str">
        <f t="shared" si="2"/>
        <v>✅</v>
      </c>
      <c r="G16" s="113">
        <f t="shared" si="3"/>
        <v>1.062745649</v>
      </c>
      <c r="H16" s="114">
        <f t="shared" si="4"/>
        <v>6</v>
      </c>
      <c r="I16" s="89">
        <f>'DB Monitoring'!AC425</f>
        <v>3709038936</v>
      </c>
      <c r="J16" s="115">
        <f t="shared" si="5"/>
        <v>0.7330566851</v>
      </c>
      <c r="K16" s="89">
        <f>'DB Monitoring'!AC426</f>
        <v>3709038936</v>
      </c>
      <c r="L16" s="115">
        <f t="shared" si="6"/>
        <v>0.7330566851</v>
      </c>
      <c r="M16" s="86"/>
    </row>
    <row r="17">
      <c r="A17" s="31">
        <v>10.0</v>
      </c>
      <c r="B17" s="26" t="s">
        <v>28</v>
      </c>
      <c r="C17" s="47" t="s">
        <v>38</v>
      </c>
      <c r="D17" s="89">
        <f>SUM('DB Monitoring'!Q427:W427)</f>
        <v>10257486099</v>
      </c>
      <c r="E17" s="89">
        <f>'DB Monitoring'!AC468</f>
        <v>2508564793</v>
      </c>
      <c r="F17" s="112" t="str">
        <f t="shared" si="2"/>
        <v>❌</v>
      </c>
      <c r="G17" s="113">
        <f t="shared" si="3"/>
        <v>0.2445594143</v>
      </c>
      <c r="H17" s="114">
        <f t="shared" si="4"/>
        <v>20</v>
      </c>
      <c r="I17" s="89">
        <f>'DB Monitoring'!AC469</f>
        <v>1354956639</v>
      </c>
      <c r="J17" s="115">
        <f t="shared" si="5"/>
        <v>0.5401322074</v>
      </c>
      <c r="K17" s="89">
        <f>'DB Monitoring'!AC470</f>
        <v>1341956321</v>
      </c>
      <c r="L17" s="115">
        <f t="shared" si="6"/>
        <v>0.5349498346</v>
      </c>
      <c r="M17" s="86"/>
    </row>
    <row r="18">
      <c r="A18" s="116">
        <v>11.0</v>
      </c>
      <c r="B18" s="26" t="s">
        <v>28</v>
      </c>
      <c r="C18" s="57" t="s">
        <v>153</v>
      </c>
      <c r="D18" s="89">
        <f>SUM('DB Monitoring'!Q471:W471)</f>
        <v>5133907596</v>
      </c>
      <c r="E18" s="89">
        <f>'DB Monitoring'!AC491</f>
        <v>4776708625</v>
      </c>
      <c r="F18" s="112" t="str">
        <f t="shared" si="2"/>
        <v>❌</v>
      </c>
      <c r="G18" s="113">
        <f t="shared" si="3"/>
        <v>0.9304235683</v>
      </c>
      <c r="H18" s="114">
        <f t="shared" si="4"/>
        <v>11</v>
      </c>
      <c r="I18" s="89">
        <f>'DB Monitoring'!AC492</f>
        <v>3497111892</v>
      </c>
      <c r="J18" s="115">
        <f t="shared" si="5"/>
        <v>0.7321174823</v>
      </c>
      <c r="K18" s="89">
        <f>'DB Monitoring'!AC493</f>
        <v>3497111892</v>
      </c>
      <c r="L18" s="115">
        <f t="shared" si="6"/>
        <v>0.7321174823</v>
      </c>
      <c r="M18" s="86"/>
    </row>
    <row r="19">
      <c r="A19" s="56">
        <v>12.0</v>
      </c>
      <c r="B19" s="50" t="s">
        <v>40</v>
      </c>
      <c r="C19" s="57" t="s">
        <v>41</v>
      </c>
      <c r="D19" s="89">
        <f>SUM('DB Monitoring'!Q495:W495)</f>
        <v>15513010919</v>
      </c>
      <c r="E19" s="89">
        <f>'DB Monitoring'!AC558</f>
        <v>33375529949</v>
      </c>
      <c r="F19" s="112" t="str">
        <f t="shared" si="2"/>
        <v>✅</v>
      </c>
      <c r="G19" s="113">
        <f t="shared" si="3"/>
        <v>2.151454036</v>
      </c>
      <c r="H19" s="114">
        <f t="shared" si="4"/>
        <v>1</v>
      </c>
      <c r="I19" s="89">
        <f>'DB Monitoring'!AC559</f>
        <v>24478006483</v>
      </c>
      <c r="J19" s="115">
        <f t="shared" si="5"/>
        <v>0.7334117696</v>
      </c>
      <c r="K19" s="89">
        <f>'DB Monitoring'!AC560</f>
        <v>19294720368</v>
      </c>
      <c r="L19" s="115">
        <f t="shared" si="6"/>
        <v>0.5781097827</v>
      </c>
      <c r="M19" s="86"/>
    </row>
    <row r="20">
      <c r="A20" s="56">
        <v>13.0</v>
      </c>
      <c r="B20" s="50" t="s">
        <v>40</v>
      </c>
      <c r="C20" s="57" t="s">
        <v>42</v>
      </c>
      <c r="D20" s="89">
        <f>SUM('DB Monitoring'!Q561:W561)</f>
        <v>494531452079</v>
      </c>
      <c r="E20" s="89">
        <f>'DB Monitoring'!AC1153</f>
        <v>447180075673</v>
      </c>
      <c r="F20" s="112" t="str">
        <f t="shared" si="2"/>
        <v>❌</v>
      </c>
      <c r="G20" s="113">
        <f t="shared" si="3"/>
        <v>0.9042500205</v>
      </c>
      <c r="H20" s="114">
        <f t="shared" si="4"/>
        <v>12</v>
      </c>
      <c r="I20" s="89">
        <f>'DB Monitoring'!AC1154</f>
        <v>340965920577</v>
      </c>
      <c r="J20" s="115">
        <f t="shared" si="5"/>
        <v>0.7624801263</v>
      </c>
      <c r="K20" s="89">
        <f>'DB Monitoring'!AC1155</f>
        <v>336597441203</v>
      </c>
      <c r="L20" s="115">
        <f t="shared" si="6"/>
        <v>0.7527111773</v>
      </c>
      <c r="M20" s="86"/>
    </row>
    <row r="21">
      <c r="A21" s="56">
        <v>14.0</v>
      </c>
      <c r="B21" s="50" t="s">
        <v>40</v>
      </c>
      <c r="C21" s="57" t="s">
        <v>43</v>
      </c>
      <c r="D21" s="89">
        <f>SUM('DB Monitoring'!Q1156:W1156)</f>
        <v>3589268163</v>
      </c>
      <c r="E21" s="89">
        <f>'DB Monitoring'!AC1192</f>
        <v>1107280313</v>
      </c>
      <c r="F21" s="112" t="str">
        <f t="shared" si="2"/>
        <v>❌</v>
      </c>
      <c r="G21" s="113">
        <f t="shared" si="3"/>
        <v>0.3084975161</v>
      </c>
      <c r="H21" s="114">
        <f t="shared" si="4"/>
        <v>19</v>
      </c>
      <c r="I21" s="89">
        <f>'DB Monitoring'!AC1193</f>
        <v>599855496.7</v>
      </c>
      <c r="J21" s="115">
        <f t="shared" si="5"/>
        <v>0.5417377061</v>
      </c>
      <c r="K21" s="89">
        <f>'DB Monitoring'!AC1194</f>
        <v>333316050.9</v>
      </c>
      <c r="L21" s="115">
        <f t="shared" si="6"/>
        <v>0.3010222859</v>
      </c>
      <c r="M21" s="86"/>
    </row>
    <row r="22">
      <c r="A22" s="56">
        <v>15.0</v>
      </c>
      <c r="B22" s="50" t="s">
        <v>40</v>
      </c>
      <c r="C22" s="57" t="s">
        <v>44</v>
      </c>
      <c r="D22" s="89">
        <f>SUM('DB Monitoring'!Q1195:W1195)</f>
        <v>1185865403</v>
      </c>
      <c r="E22" s="89">
        <f>'DB Monitoring'!AC1240</f>
        <v>1626187733</v>
      </c>
      <c r="F22" s="112" t="str">
        <f t="shared" si="2"/>
        <v>✅</v>
      </c>
      <c r="G22" s="113">
        <f t="shared" si="3"/>
        <v>1.371308859</v>
      </c>
      <c r="H22" s="114">
        <f t="shared" si="4"/>
        <v>2</v>
      </c>
      <c r="I22" s="89">
        <f>'DB Monitoring'!AC1241</f>
        <v>1010192778</v>
      </c>
      <c r="J22" s="115">
        <f t="shared" si="5"/>
        <v>0.6212030492</v>
      </c>
      <c r="K22" s="89">
        <f>'DB Monitoring'!AC1242</f>
        <v>1010192778</v>
      </c>
      <c r="L22" s="115">
        <f t="shared" si="6"/>
        <v>0.6212030492</v>
      </c>
      <c r="M22" s="86"/>
    </row>
    <row r="23">
      <c r="A23" s="56">
        <v>16.0</v>
      </c>
      <c r="B23" s="50" t="s">
        <v>40</v>
      </c>
      <c r="C23" s="57" t="s">
        <v>45</v>
      </c>
      <c r="D23" s="89">
        <f>SUM('DB Monitoring'!Q1243:W1243)</f>
        <v>236441418</v>
      </c>
      <c r="E23" s="89">
        <f>'DB Monitoring'!AC1260</f>
        <v>0</v>
      </c>
      <c r="F23" s="112" t="str">
        <f t="shared" si="2"/>
        <v>❌</v>
      </c>
      <c r="G23" s="113">
        <f t="shared" si="3"/>
        <v>0</v>
      </c>
      <c r="H23" s="114">
        <f t="shared" si="4"/>
        <v>31.5</v>
      </c>
      <c r="I23" s="89">
        <f>'DB Monitoring'!AC1261</f>
        <v>0</v>
      </c>
      <c r="J23" s="115" t="str">
        <f t="shared" si="5"/>
        <v>#DIV/0!</v>
      </c>
      <c r="K23" s="89">
        <f>'DB Monitoring'!AC1262</f>
        <v>0</v>
      </c>
      <c r="L23" s="115" t="str">
        <f t="shared" si="6"/>
        <v>#DIV/0!</v>
      </c>
      <c r="M23" s="86"/>
    </row>
    <row r="24">
      <c r="A24" s="56">
        <v>17.0</v>
      </c>
      <c r="B24" s="50" t="s">
        <v>40</v>
      </c>
      <c r="C24" s="57" t="s">
        <v>46</v>
      </c>
      <c r="D24" s="89">
        <f>SUM('DB Monitoring'!Q1263:W1263)</f>
        <v>3515340437</v>
      </c>
      <c r="E24" s="89">
        <f>'DB Monitoring'!AC1344</f>
        <v>3706079527</v>
      </c>
      <c r="F24" s="112" t="str">
        <f t="shared" si="2"/>
        <v>✅</v>
      </c>
      <c r="G24" s="113">
        <f t="shared" si="3"/>
        <v>1.054259066</v>
      </c>
      <c r="H24" s="114">
        <f t="shared" si="4"/>
        <v>7</v>
      </c>
      <c r="I24" s="89">
        <f>'DB Monitoring'!AC1345</f>
        <v>3027392490</v>
      </c>
      <c r="J24" s="115">
        <f t="shared" si="5"/>
        <v>0.8168719716</v>
      </c>
      <c r="K24" s="89">
        <f>'DB Monitoring'!AC1346</f>
        <v>2334331112</v>
      </c>
      <c r="L24" s="115">
        <f t="shared" si="6"/>
        <v>0.6298653591</v>
      </c>
      <c r="M24" s="86"/>
    </row>
    <row r="25">
      <c r="A25" s="56">
        <v>18.0</v>
      </c>
      <c r="B25" s="50" t="s">
        <v>48</v>
      </c>
      <c r="C25" s="57" t="s">
        <v>49</v>
      </c>
      <c r="D25" s="89">
        <f>SUM('DB Monitoring'!Q1248:W1348)</f>
        <v>123632586688</v>
      </c>
      <c r="E25" s="89">
        <f>'DB Monitoring'!AC1505</f>
        <v>916727796</v>
      </c>
      <c r="F25" s="112" t="str">
        <f t="shared" si="2"/>
        <v>❌</v>
      </c>
      <c r="G25" s="113">
        <f t="shared" si="3"/>
        <v>0.007414936632</v>
      </c>
      <c r="H25" s="114">
        <f t="shared" si="4"/>
        <v>23</v>
      </c>
      <c r="I25" s="89">
        <f>'DB Monitoring'!AC1506</f>
        <v>916727796</v>
      </c>
      <c r="J25" s="115">
        <f t="shared" si="5"/>
        <v>1</v>
      </c>
      <c r="K25" s="89">
        <f>'DB Monitoring'!AC1507</f>
        <v>916727796</v>
      </c>
      <c r="L25" s="115">
        <f t="shared" si="6"/>
        <v>1</v>
      </c>
      <c r="M25" s="86"/>
    </row>
    <row r="26">
      <c r="A26" s="56">
        <v>19.0</v>
      </c>
      <c r="B26" s="50" t="s">
        <v>48</v>
      </c>
      <c r="C26" s="57" t="s">
        <v>50</v>
      </c>
      <c r="D26" s="89">
        <f>SUM('DB Monitoring'!Q1508:W1508)</f>
        <v>189476000</v>
      </c>
      <c r="E26" s="89">
        <f>'DB Monitoring'!AC1515</f>
        <v>0</v>
      </c>
      <c r="F26" s="112" t="str">
        <f t="shared" si="2"/>
        <v>❌</v>
      </c>
      <c r="G26" s="113">
        <f t="shared" ref="G26:G27" si="11">E26/D26</f>
        <v>0</v>
      </c>
      <c r="H26" s="114">
        <f t="shared" si="4"/>
        <v>31.5</v>
      </c>
      <c r="I26" s="89">
        <f>'DB Monitoring'!AC1516</f>
        <v>0</v>
      </c>
      <c r="J26" s="115" t="str">
        <f t="shared" si="5"/>
        <v>#DIV/0!</v>
      </c>
      <c r="K26" s="89">
        <f>'DB Monitoring'!AC1517</f>
        <v>0</v>
      </c>
      <c r="L26" s="115" t="str">
        <f t="shared" si="6"/>
        <v>#DIV/0!</v>
      </c>
      <c r="M26" s="86"/>
    </row>
    <row r="27">
      <c r="A27" s="56">
        <v>20.0</v>
      </c>
      <c r="B27" s="50" t="s">
        <v>48</v>
      </c>
      <c r="C27" s="57" t="s">
        <v>51</v>
      </c>
      <c r="D27" s="89">
        <f>SUM('DB Monitoring'!Q1518:W1518)</f>
        <v>6060678069</v>
      </c>
      <c r="E27" s="89">
        <f>'DB Monitoring'!AC1530</f>
        <v>156600594</v>
      </c>
      <c r="F27" s="112" t="str">
        <f t="shared" si="2"/>
        <v>❌</v>
      </c>
      <c r="G27" s="113">
        <f t="shared" si="11"/>
        <v>0.02583879101</v>
      </c>
      <c r="H27" s="114">
        <f t="shared" si="4"/>
        <v>21</v>
      </c>
      <c r="I27" s="89">
        <f>'DB Monitoring'!AC1531</f>
        <v>156600594</v>
      </c>
      <c r="J27" s="115">
        <f t="shared" si="5"/>
        <v>1</v>
      </c>
      <c r="K27" s="89">
        <f>'DB Monitoring'!AC1532</f>
        <v>156600594</v>
      </c>
      <c r="L27" s="115">
        <f t="shared" si="6"/>
        <v>1</v>
      </c>
      <c r="M27" s="86"/>
    </row>
    <row r="28">
      <c r="A28" s="56">
        <v>21.0</v>
      </c>
      <c r="B28" s="50" t="s">
        <v>53</v>
      </c>
      <c r="C28" s="57" t="s">
        <v>54</v>
      </c>
      <c r="D28" s="89">
        <f>SUM('DB Monitoring'!Q1534:W1534)</f>
        <v>7966996666</v>
      </c>
      <c r="E28" s="89">
        <f>'DB Monitoring'!AC1551</f>
        <v>118110768</v>
      </c>
      <c r="F28" s="112" t="str">
        <f t="shared" si="2"/>
        <v>❌</v>
      </c>
      <c r="G28" s="113">
        <f t="shared" ref="G28:G47" si="12">iferror(E28/D28,0)</f>
        <v>0.01482500533</v>
      </c>
      <c r="H28" s="114">
        <f t="shared" si="4"/>
        <v>22</v>
      </c>
      <c r="I28" s="89">
        <f>'DB Monitoring'!AC1552</f>
        <v>0</v>
      </c>
      <c r="J28" s="115">
        <f t="shared" si="5"/>
        <v>0</v>
      </c>
      <c r="K28" s="89">
        <f>'DB Monitoring'!AC1553</f>
        <v>0</v>
      </c>
      <c r="L28" s="115">
        <f t="shared" si="6"/>
        <v>0</v>
      </c>
      <c r="M28" s="86"/>
    </row>
    <row r="29">
      <c r="A29" s="56">
        <v>22.0</v>
      </c>
      <c r="B29" s="50" t="s">
        <v>53</v>
      </c>
      <c r="C29" s="57" t="s">
        <v>55</v>
      </c>
      <c r="D29" s="89">
        <f>SUM('DB Monitoring'!Q1554:W1554)</f>
        <v>4405565052</v>
      </c>
      <c r="E29" s="89">
        <f>'DB Monitoring'!AC1585</f>
        <v>5372225687</v>
      </c>
      <c r="F29" s="112" t="str">
        <f t="shared" si="2"/>
        <v>✅</v>
      </c>
      <c r="G29" s="113">
        <f t="shared" si="12"/>
        <v>1.219418082</v>
      </c>
      <c r="H29" s="114">
        <f t="shared" si="4"/>
        <v>3</v>
      </c>
      <c r="I29" s="89">
        <f>'DB Monitoring'!AC1586</f>
        <v>5372225687</v>
      </c>
      <c r="J29" s="115">
        <f t="shared" si="5"/>
        <v>1</v>
      </c>
      <c r="K29" s="89">
        <f>'DB Monitoring'!AC1587</f>
        <v>4519671978</v>
      </c>
      <c r="L29" s="115">
        <f t="shared" si="6"/>
        <v>0.841303445</v>
      </c>
      <c r="M29" s="86"/>
    </row>
    <row r="30">
      <c r="A30" s="56">
        <v>23.0</v>
      </c>
      <c r="B30" s="50" t="s">
        <v>53</v>
      </c>
      <c r="C30" s="57" t="s">
        <v>56</v>
      </c>
      <c r="D30" s="89">
        <f>SUM('DB Monitoring'!Q1588:W1588)</f>
        <v>4399068709</v>
      </c>
      <c r="E30" s="89">
        <f>'DB Monitoring'!AC1609</f>
        <v>4336312747</v>
      </c>
      <c r="F30" s="112" t="str">
        <f t="shared" si="2"/>
        <v>❌</v>
      </c>
      <c r="G30" s="113">
        <f t="shared" si="12"/>
        <v>0.9857342618</v>
      </c>
      <c r="H30" s="114">
        <f t="shared" si="4"/>
        <v>8</v>
      </c>
      <c r="I30" s="89">
        <f>'DB Monitoring'!AC1610</f>
        <v>3607297855</v>
      </c>
      <c r="J30" s="115">
        <f t="shared" si="5"/>
        <v>0.8318813853</v>
      </c>
      <c r="K30" s="89">
        <f>'DB Monitoring'!AC1611</f>
        <v>3607297855</v>
      </c>
      <c r="L30" s="115">
        <f t="shared" si="6"/>
        <v>0.8318813853</v>
      </c>
      <c r="M30" s="86"/>
    </row>
    <row r="31">
      <c r="A31" s="56">
        <v>24.0</v>
      </c>
      <c r="B31" s="50" t="s">
        <v>53</v>
      </c>
      <c r="C31" s="57" t="s">
        <v>57</v>
      </c>
      <c r="D31" s="89">
        <f>SUM('DB Monitoring'!Q1612:W1612)</f>
        <v>676114160</v>
      </c>
      <c r="E31" s="89">
        <f>'DB Monitoring'!AC1629</f>
        <v>0</v>
      </c>
      <c r="F31" s="112" t="str">
        <f t="shared" si="2"/>
        <v>❌</v>
      </c>
      <c r="G31" s="113">
        <f t="shared" si="12"/>
        <v>0</v>
      </c>
      <c r="H31" s="114">
        <f t="shared" si="4"/>
        <v>31.5</v>
      </c>
      <c r="I31" s="89">
        <f>'DB Monitoring'!AC1630</f>
        <v>0</v>
      </c>
      <c r="J31" s="115" t="str">
        <f t="shared" si="5"/>
        <v>#DIV/0!</v>
      </c>
      <c r="K31" s="89">
        <f>'DB Monitoring'!AC1631</f>
        <v>0</v>
      </c>
      <c r="L31" s="115" t="str">
        <f t="shared" si="6"/>
        <v>#DIV/0!</v>
      </c>
      <c r="M31" s="86"/>
    </row>
    <row r="32">
      <c r="A32" s="56">
        <v>25.0</v>
      </c>
      <c r="B32" s="50" t="s">
        <v>53</v>
      </c>
      <c r="C32" s="57" t="s">
        <v>58</v>
      </c>
      <c r="D32" s="86">
        <f>SUM('DB Monitoring'!Q1632:W1632)</f>
        <v>0</v>
      </c>
      <c r="E32" s="108">
        <v>0.0</v>
      </c>
      <c r="F32" s="112" t="str">
        <f t="shared" si="2"/>
        <v>❌</v>
      </c>
      <c r="G32" s="113">
        <f t="shared" si="12"/>
        <v>0</v>
      </c>
      <c r="H32" s="114">
        <f t="shared" si="4"/>
        <v>31.5</v>
      </c>
      <c r="I32" s="108">
        <v>0.0</v>
      </c>
      <c r="J32" s="115" t="str">
        <f t="shared" si="5"/>
        <v>#DIV/0!</v>
      </c>
      <c r="K32" s="108">
        <v>0.0</v>
      </c>
      <c r="L32" s="115" t="str">
        <f t="shared" si="6"/>
        <v>#DIV/0!</v>
      </c>
      <c r="M32" s="86"/>
    </row>
    <row r="33">
      <c r="A33" s="56">
        <v>26.0</v>
      </c>
      <c r="B33" s="50" t="s">
        <v>60</v>
      </c>
      <c r="C33" s="57" t="s">
        <v>61</v>
      </c>
      <c r="D33" s="89">
        <f>SUM('DB Monitoring'!Q1634:W1634)</f>
        <v>275488764</v>
      </c>
      <c r="E33" s="89">
        <f>'DB Monitoring'!AC1646</f>
        <v>0</v>
      </c>
      <c r="F33" s="112" t="str">
        <f t="shared" si="2"/>
        <v>❌</v>
      </c>
      <c r="G33" s="113">
        <f t="shared" si="12"/>
        <v>0</v>
      </c>
      <c r="H33" s="114">
        <f t="shared" si="4"/>
        <v>31.5</v>
      </c>
      <c r="I33" s="89">
        <f>'DB Monitoring'!AC1647</f>
        <v>0</v>
      </c>
      <c r="J33" s="115" t="str">
        <f t="shared" si="5"/>
        <v>#DIV/0!</v>
      </c>
      <c r="K33" s="89">
        <f>'DB Monitoring'!AC1648</f>
        <v>0</v>
      </c>
      <c r="L33" s="115" t="str">
        <f t="shared" si="6"/>
        <v>#DIV/0!</v>
      </c>
      <c r="M33" s="86"/>
    </row>
    <row r="34">
      <c r="A34" s="56">
        <v>27.0</v>
      </c>
      <c r="B34" s="50" t="s">
        <v>60</v>
      </c>
      <c r="C34" s="57" t="s">
        <v>62</v>
      </c>
      <c r="D34" s="86">
        <f>SUM('DB Monitoring'!Q1649:W1649)</f>
        <v>0</v>
      </c>
      <c r="E34" s="108">
        <v>0.0</v>
      </c>
      <c r="F34" s="112" t="str">
        <f t="shared" si="2"/>
        <v>❌</v>
      </c>
      <c r="G34" s="113">
        <f t="shared" si="12"/>
        <v>0</v>
      </c>
      <c r="H34" s="114">
        <f t="shared" si="4"/>
        <v>31.5</v>
      </c>
      <c r="I34" s="108">
        <v>0.0</v>
      </c>
      <c r="J34" s="115" t="str">
        <f t="shared" si="5"/>
        <v>#DIV/0!</v>
      </c>
      <c r="K34" s="108">
        <v>0.0</v>
      </c>
      <c r="L34" s="115" t="str">
        <f t="shared" si="6"/>
        <v>#DIV/0!</v>
      </c>
      <c r="M34" s="86"/>
    </row>
    <row r="35">
      <c r="A35" s="56">
        <v>28.0</v>
      </c>
      <c r="B35" s="50" t="s">
        <v>60</v>
      </c>
      <c r="C35" s="57" t="s">
        <v>63</v>
      </c>
      <c r="D35" s="89">
        <f>SUM('DB Monitoring'!Q1650:W1650)</f>
        <v>995701056</v>
      </c>
      <c r="E35" s="89">
        <f>'DB Monitoring'!AC1657</f>
        <v>845913744</v>
      </c>
      <c r="F35" s="112" t="str">
        <f t="shared" si="2"/>
        <v>❌</v>
      </c>
      <c r="G35" s="113">
        <f t="shared" si="12"/>
        <v>0.8495659806</v>
      </c>
      <c r="H35" s="114">
        <f t="shared" si="4"/>
        <v>16</v>
      </c>
      <c r="I35" s="89">
        <f>'DB Monitoring'!AC1658</f>
        <v>845913744</v>
      </c>
      <c r="J35" s="115">
        <f t="shared" si="5"/>
        <v>1</v>
      </c>
      <c r="K35" s="89">
        <f>'DB Monitoring'!AC1659</f>
        <v>845913744</v>
      </c>
      <c r="L35" s="115">
        <f t="shared" si="6"/>
        <v>1</v>
      </c>
      <c r="M35" s="86"/>
    </row>
    <row r="36">
      <c r="A36" s="56">
        <v>29.0</v>
      </c>
      <c r="B36" s="50" t="s">
        <v>60</v>
      </c>
      <c r="C36" s="57" t="s">
        <v>64</v>
      </c>
      <c r="D36" s="86">
        <f>SUM('DB Monitoring'!Q1660:W1660)</f>
        <v>0</v>
      </c>
      <c r="E36" s="108">
        <v>0.0</v>
      </c>
      <c r="F36" s="112" t="str">
        <f t="shared" si="2"/>
        <v>❌</v>
      </c>
      <c r="G36" s="113">
        <f t="shared" si="12"/>
        <v>0</v>
      </c>
      <c r="H36" s="114">
        <f t="shared" si="4"/>
        <v>31.5</v>
      </c>
      <c r="I36" s="108">
        <v>0.0</v>
      </c>
      <c r="J36" s="115" t="str">
        <f t="shared" si="5"/>
        <v>#DIV/0!</v>
      </c>
      <c r="K36" s="108">
        <v>0.0</v>
      </c>
      <c r="L36" s="115" t="str">
        <f t="shared" si="6"/>
        <v>#DIV/0!</v>
      </c>
      <c r="M36" s="86"/>
    </row>
    <row r="37">
      <c r="A37" s="56">
        <v>30.0</v>
      </c>
      <c r="B37" s="50" t="s">
        <v>60</v>
      </c>
      <c r="C37" s="57" t="s">
        <v>65</v>
      </c>
      <c r="D37" s="89">
        <f>SUM('DB Monitoring'!Q1661:W1661)</f>
        <v>6286118776</v>
      </c>
      <c r="E37" s="89">
        <f>'DB Monitoring'!AC1687</f>
        <v>5061900241</v>
      </c>
      <c r="F37" s="112" t="str">
        <f t="shared" si="2"/>
        <v>❌</v>
      </c>
      <c r="G37" s="113">
        <f t="shared" si="12"/>
        <v>0.8052504926</v>
      </c>
      <c r="H37" s="114">
        <f t="shared" si="4"/>
        <v>17</v>
      </c>
      <c r="I37" s="89">
        <f>'DB Monitoring'!AC1688</f>
        <v>5061900241</v>
      </c>
      <c r="J37" s="115">
        <f t="shared" si="5"/>
        <v>1</v>
      </c>
      <c r="K37" s="89">
        <f>'DB Monitoring'!AC1689</f>
        <v>4476214349</v>
      </c>
      <c r="L37" s="115">
        <f t="shared" si="6"/>
        <v>0.884295252</v>
      </c>
      <c r="M37" s="86"/>
    </row>
    <row r="38">
      <c r="A38" s="56">
        <v>31.0</v>
      </c>
      <c r="B38" s="50" t="s">
        <v>60</v>
      </c>
      <c r="C38" s="57" t="s">
        <v>66</v>
      </c>
      <c r="D38" s="89">
        <f>SUM('DB Monitoring'!Q1690:W1690)</f>
        <v>239525994</v>
      </c>
      <c r="E38" s="117">
        <f>'DB Monitoring'!AC1732</f>
        <v>0</v>
      </c>
      <c r="F38" s="112" t="str">
        <f t="shared" si="2"/>
        <v>❌</v>
      </c>
      <c r="G38" s="113">
        <f t="shared" si="12"/>
        <v>0</v>
      </c>
      <c r="H38" s="114">
        <f t="shared" si="4"/>
        <v>31.5</v>
      </c>
      <c r="I38" s="117">
        <f>'DB Monitoring'!AC1733</f>
        <v>0</v>
      </c>
      <c r="J38" s="115" t="str">
        <f t="shared" si="5"/>
        <v>#DIV/0!</v>
      </c>
      <c r="K38" s="117">
        <f>'DB Monitoring'!AC1734</f>
        <v>0</v>
      </c>
      <c r="L38" s="115" t="str">
        <f t="shared" si="6"/>
        <v>#DIV/0!</v>
      </c>
      <c r="M38" s="86"/>
    </row>
    <row r="39">
      <c r="A39" s="56">
        <v>32.0</v>
      </c>
      <c r="B39" s="50" t="s">
        <v>68</v>
      </c>
      <c r="C39" s="57" t="s">
        <v>69</v>
      </c>
      <c r="D39" s="86">
        <f>SUM('DB Monitoring'!Q1736:W1736)</f>
        <v>0</v>
      </c>
      <c r="E39" s="108">
        <v>0.0</v>
      </c>
      <c r="F39" s="112" t="str">
        <f t="shared" si="2"/>
        <v>❌</v>
      </c>
      <c r="G39" s="113">
        <f t="shared" si="12"/>
        <v>0</v>
      </c>
      <c r="H39" s="114">
        <f t="shared" si="4"/>
        <v>31.5</v>
      </c>
      <c r="I39" s="108">
        <v>0.0</v>
      </c>
      <c r="J39" s="115" t="str">
        <f t="shared" si="5"/>
        <v>#DIV/0!</v>
      </c>
      <c r="K39" s="108">
        <v>0.0</v>
      </c>
      <c r="L39" s="115" t="str">
        <f t="shared" si="6"/>
        <v>#DIV/0!</v>
      </c>
      <c r="M39" s="86"/>
    </row>
    <row r="40">
      <c r="A40" s="56">
        <v>33.0</v>
      </c>
      <c r="B40" s="50" t="s">
        <v>68</v>
      </c>
      <c r="C40" s="57" t="s">
        <v>70</v>
      </c>
      <c r="D40" s="86">
        <f>SUM('DB Monitoring'!Q1737:W1737)</f>
        <v>0</v>
      </c>
      <c r="E40" s="108">
        <v>0.0</v>
      </c>
      <c r="F40" s="112" t="str">
        <f t="shared" si="2"/>
        <v>❌</v>
      </c>
      <c r="G40" s="113">
        <f t="shared" si="12"/>
        <v>0</v>
      </c>
      <c r="H40" s="114">
        <f t="shared" si="4"/>
        <v>31.5</v>
      </c>
      <c r="I40" s="108">
        <v>0.0</v>
      </c>
      <c r="J40" s="115" t="str">
        <f t="shared" si="5"/>
        <v>#DIV/0!</v>
      </c>
      <c r="K40" s="108">
        <v>0.0</v>
      </c>
      <c r="L40" s="115" t="str">
        <f t="shared" si="6"/>
        <v>#DIV/0!</v>
      </c>
      <c r="M40" s="86"/>
    </row>
    <row r="41">
      <c r="A41" s="56">
        <v>34.0</v>
      </c>
      <c r="B41" s="50" t="s">
        <v>72</v>
      </c>
      <c r="C41" s="57" t="s">
        <v>73</v>
      </c>
      <c r="D41" s="86">
        <f>SUM('DB Monitoring'!Q1739:W1739)</f>
        <v>0</v>
      </c>
      <c r="E41" s="117">
        <f>'DB Monitoring'!AC1747</f>
        <v>0</v>
      </c>
      <c r="F41" s="112" t="str">
        <f t="shared" si="2"/>
        <v>❌</v>
      </c>
      <c r="G41" s="113">
        <f t="shared" si="12"/>
        <v>0</v>
      </c>
      <c r="H41" s="114">
        <f t="shared" si="4"/>
        <v>31.5</v>
      </c>
      <c r="I41" s="117">
        <f>'DB Monitoring'!AC1748</f>
        <v>0</v>
      </c>
      <c r="J41" s="115" t="str">
        <f t="shared" si="5"/>
        <v>#DIV/0!</v>
      </c>
      <c r="K41" s="117">
        <f>'DB Monitoring'!AC1749</f>
        <v>0</v>
      </c>
      <c r="L41" s="115" t="str">
        <f t="shared" si="6"/>
        <v>#DIV/0!</v>
      </c>
      <c r="M41" s="86"/>
    </row>
    <row r="42">
      <c r="A42" s="56">
        <v>35.0</v>
      </c>
      <c r="B42" s="50" t="s">
        <v>72</v>
      </c>
      <c r="C42" s="57" t="s">
        <v>74</v>
      </c>
      <c r="D42" s="86"/>
      <c r="E42" s="108">
        <v>0.0</v>
      </c>
      <c r="F42" s="112" t="str">
        <f t="shared" si="2"/>
        <v>❌</v>
      </c>
      <c r="G42" s="113">
        <f t="shared" si="12"/>
        <v>0</v>
      </c>
      <c r="H42" s="114">
        <f t="shared" si="4"/>
        <v>31.5</v>
      </c>
      <c r="I42" s="108">
        <v>0.0</v>
      </c>
      <c r="J42" s="115" t="str">
        <f t="shared" si="5"/>
        <v>#DIV/0!</v>
      </c>
      <c r="K42" s="108">
        <v>0.0</v>
      </c>
      <c r="L42" s="115" t="str">
        <f t="shared" si="6"/>
        <v>#DIV/0!</v>
      </c>
      <c r="M42" s="86"/>
    </row>
    <row r="43">
      <c r="A43" s="56">
        <v>36.0</v>
      </c>
      <c r="B43" s="50" t="s">
        <v>72</v>
      </c>
      <c r="C43" s="57" t="s">
        <v>75</v>
      </c>
      <c r="D43" s="86"/>
      <c r="E43" s="108">
        <v>0.0</v>
      </c>
      <c r="F43" s="112" t="str">
        <f t="shared" si="2"/>
        <v>❌</v>
      </c>
      <c r="G43" s="113">
        <f t="shared" si="12"/>
        <v>0</v>
      </c>
      <c r="H43" s="114">
        <f t="shared" si="4"/>
        <v>31.5</v>
      </c>
      <c r="I43" s="108">
        <v>0.0</v>
      </c>
      <c r="J43" s="115" t="str">
        <f t="shared" si="5"/>
        <v>#DIV/0!</v>
      </c>
      <c r="K43" s="108">
        <v>0.0</v>
      </c>
      <c r="L43" s="115" t="str">
        <f t="shared" si="6"/>
        <v>#DIV/0!</v>
      </c>
      <c r="M43" s="86"/>
    </row>
    <row r="44">
      <c r="A44" s="56">
        <v>37.0</v>
      </c>
      <c r="B44" s="50" t="s">
        <v>72</v>
      </c>
      <c r="C44" s="57" t="s">
        <v>76</v>
      </c>
      <c r="D44" s="86">
        <f>SUM('DB Monitoring'!Q1760:W1760)</f>
        <v>0</v>
      </c>
      <c r="E44" s="108">
        <v>0.0</v>
      </c>
      <c r="F44" s="112" t="str">
        <f t="shared" si="2"/>
        <v>❌</v>
      </c>
      <c r="G44" s="113">
        <f t="shared" si="12"/>
        <v>0</v>
      </c>
      <c r="H44" s="114">
        <f t="shared" si="4"/>
        <v>31.5</v>
      </c>
      <c r="I44" s="108">
        <v>0.0</v>
      </c>
      <c r="J44" s="115" t="str">
        <f t="shared" si="5"/>
        <v>#DIV/0!</v>
      </c>
      <c r="K44" s="108">
        <v>0.0</v>
      </c>
      <c r="L44" s="115" t="str">
        <f t="shared" si="6"/>
        <v>#DIV/0!</v>
      </c>
      <c r="M44" s="86"/>
    </row>
    <row r="45">
      <c r="A45" s="56">
        <v>38.0</v>
      </c>
      <c r="B45" s="50" t="s">
        <v>72</v>
      </c>
      <c r="C45" s="57" t="s">
        <v>77</v>
      </c>
      <c r="D45" s="86">
        <f>SUM('DB Monitoring'!Q1761:W1761)</f>
        <v>0</v>
      </c>
      <c r="E45" s="108">
        <v>0.0</v>
      </c>
      <c r="F45" s="112" t="str">
        <f t="shared" si="2"/>
        <v>❌</v>
      </c>
      <c r="G45" s="113">
        <f t="shared" si="12"/>
        <v>0</v>
      </c>
      <c r="H45" s="114">
        <f t="shared" si="4"/>
        <v>31.5</v>
      </c>
      <c r="I45" s="108">
        <v>0.0</v>
      </c>
      <c r="J45" s="115" t="str">
        <f t="shared" si="5"/>
        <v>#DIV/0!</v>
      </c>
      <c r="K45" s="108">
        <v>0.0</v>
      </c>
      <c r="L45" s="115" t="str">
        <f t="shared" si="6"/>
        <v>#DIV/0!</v>
      </c>
      <c r="M45" s="86"/>
    </row>
    <row r="46">
      <c r="A46" s="56">
        <v>39.0</v>
      </c>
      <c r="B46" s="50" t="s">
        <v>72</v>
      </c>
      <c r="C46" s="57" t="s">
        <v>78</v>
      </c>
      <c r="D46" s="86">
        <f>SUM('DB Monitoring'!Q1762:W1762)</f>
        <v>0</v>
      </c>
      <c r="E46" s="108">
        <v>0.0</v>
      </c>
      <c r="F46" s="112" t="str">
        <f t="shared" si="2"/>
        <v>❌</v>
      </c>
      <c r="G46" s="113">
        <f t="shared" si="12"/>
        <v>0</v>
      </c>
      <c r="H46" s="114">
        <f t="shared" si="4"/>
        <v>31.5</v>
      </c>
      <c r="I46" s="108">
        <v>0.0</v>
      </c>
      <c r="J46" s="115" t="str">
        <f t="shared" si="5"/>
        <v>#DIV/0!</v>
      </c>
      <c r="K46" s="108">
        <v>0.0</v>
      </c>
      <c r="L46" s="115" t="str">
        <f t="shared" si="6"/>
        <v>#DIV/0!</v>
      </c>
      <c r="M46" s="86"/>
    </row>
    <row r="47">
      <c r="A47" s="70" t="s">
        <v>154</v>
      </c>
      <c r="B47" s="71"/>
      <c r="C47" s="71"/>
      <c r="D47" s="89">
        <f t="shared" ref="D47:E47" si="13">SUM(D8:D46)</f>
        <v>775894429657</v>
      </c>
      <c r="E47" s="89">
        <f t="shared" si="13"/>
        <v>591582867407</v>
      </c>
      <c r="F47" s="112" t="str">
        <f t="shared" si="2"/>
        <v>❌</v>
      </c>
      <c r="G47" s="113">
        <f t="shared" si="12"/>
        <v>0.7624527833</v>
      </c>
      <c r="H47" s="114"/>
      <c r="I47" s="89">
        <f>SUM(I8:I46)</f>
        <v>431282711436</v>
      </c>
      <c r="J47" s="115">
        <f t="shared" si="5"/>
        <v>0.729031781</v>
      </c>
      <c r="K47" s="89">
        <f>SUM(K8:K46)</f>
        <v>410775754790</v>
      </c>
      <c r="L47" s="115">
        <f t="shared" si="6"/>
        <v>0.6943672263</v>
      </c>
      <c r="M47" s="86"/>
    </row>
    <row r="48">
      <c r="D48" s="46"/>
      <c r="E48" s="46">
        <f>'DB Monitoring'!AC1791</f>
        <v>591582867407</v>
      </c>
      <c r="F48" s="115"/>
      <c r="G48" s="46"/>
      <c r="H48" s="46"/>
      <c r="I48" s="46">
        <f>'DB Monitoring'!AC1792</f>
        <v>431282711436</v>
      </c>
      <c r="K48" s="46">
        <f>'DB Monitoring'!AC1793</f>
        <v>410775754790</v>
      </c>
    </row>
    <row r="49">
      <c r="B49" s="87"/>
      <c r="C49" s="87"/>
      <c r="E49" s="46">
        <f>E47-E48</f>
        <v>0</v>
      </c>
      <c r="F49" s="115"/>
      <c r="I49" s="46">
        <f>I47-I48</f>
        <v>0</v>
      </c>
      <c r="K49" s="46">
        <f>K47-K48</f>
        <v>0</v>
      </c>
    </row>
    <row r="50">
      <c r="B50" s="87"/>
      <c r="C50" s="87"/>
    </row>
  </sheetData>
  <mergeCells count="11">
    <mergeCell ref="D6:D7"/>
    <mergeCell ref="F7:G7"/>
    <mergeCell ref="Q7:R7"/>
    <mergeCell ref="A1:M1"/>
    <mergeCell ref="A2:M2"/>
    <mergeCell ref="A3:M3"/>
    <mergeCell ref="A6:A7"/>
    <mergeCell ref="C6:C7"/>
    <mergeCell ref="E6:L6"/>
    <mergeCell ref="M6:M7"/>
    <mergeCell ref="A47:C47"/>
  </mergeCells>
  <conditionalFormatting sqref="F8:F47 Q8:Q10">
    <cfRule type="cellIs" dxfId="0" priority="1" operator="greaterThan">
      <formula>"100%"</formula>
    </cfRule>
  </conditionalFormatting>
  <conditionalFormatting sqref="G8:G47 R8:R10">
    <cfRule type="cellIs" dxfId="0" priority="2" operator="greaterThan">
      <formula>"100%"</formula>
    </cfRule>
  </conditionalFormatting>
  <conditionalFormatting sqref="G8:G47 R8:R10">
    <cfRule type="cellIs" dxfId="1" priority="3" operator="between">
      <formula>"80%"</formula>
      <formula>"100%"</formula>
    </cfRule>
  </conditionalFormatting>
  <conditionalFormatting sqref="G8:G47 R8:R10">
    <cfRule type="cellIs" dxfId="2" priority="4" operator="lessThan">
      <formula>"80%"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71"/>
    <col customWidth="1" min="2" max="3" width="4.57"/>
    <col customWidth="1" min="4" max="4" width="70.14"/>
    <col customWidth="1" min="5" max="7" width="19.57"/>
    <col customWidth="1" min="8" max="8" width="14.0"/>
    <col customWidth="1" min="9" max="9" width="12.57"/>
    <col customWidth="1" min="10" max="10" width="19.86"/>
    <col customWidth="1" min="11" max="11" width="12.57"/>
    <col customWidth="1" min="12" max="12" width="18.86"/>
    <col customWidth="1" min="13" max="13" width="36.43"/>
    <col customWidth="1" min="14" max="15" width="13.29"/>
    <col customWidth="1" min="16" max="16" width="15.0"/>
    <col customWidth="1" min="17" max="17" width="9.57"/>
    <col customWidth="1" min="18" max="18" width="9.0"/>
    <col customWidth="1" min="19" max="19" width="9.14"/>
    <col customWidth="1" min="20" max="22" width="9.43"/>
    <col customWidth="1" min="23" max="23" width="9.71"/>
    <col customWidth="1" min="24" max="24" width="9.86"/>
    <col customWidth="1" min="25" max="26" width="8.71"/>
    <col customWidth="1" min="27" max="28" width="8.43"/>
    <col customWidth="1" min="29" max="29" width="11.14"/>
    <col customWidth="1" min="30" max="30" width="8.14"/>
    <col customWidth="1" min="31" max="31" width="10.29"/>
    <col customWidth="1" min="32" max="32" width="12.29"/>
    <col customWidth="1" min="33" max="33" width="6.71"/>
    <col customWidth="1" min="34" max="34" width="7.0"/>
    <col customWidth="1" min="35" max="35" width="10.0"/>
  </cols>
  <sheetData>
    <row r="1" hidden="1">
      <c r="A1" s="118"/>
      <c r="B1" s="119"/>
      <c r="C1" s="119"/>
      <c r="D1" s="120"/>
      <c r="E1" s="121"/>
      <c r="F1" s="121"/>
      <c r="G1" s="121"/>
      <c r="H1" s="122"/>
      <c r="I1" s="122"/>
      <c r="J1" s="123"/>
      <c r="K1" s="123"/>
      <c r="L1" s="123"/>
      <c r="M1" s="124"/>
      <c r="N1" s="125"/>
      <c r="O1" s="125"/>
      <c r="P1" s="125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</row>
    <row r="2" hidden="1">
      <c r="A2" s="118"/>
      <c r="B2" s="119"/>
      <c r="C2" s="119"/>
      <c r="D2" s="120"/>
      <c r="E2" s="121"/>
      <c r="F2" s="121"/>
      <c r="G2" s="121"/>
      <c r="H2" s="122"/>
      <c r="I2" s="122"/>
      <c r="J2" s="123"/>
      <c r="K2" s="123"/>
      <c r="L2" s="123"/>
      <c r="M2" s="124"/>
      <c r="N2" s="125"/>
      <c r="O2" s="125"/>
      <c r="P2" s="125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</row>
    <row r="3" hidden="1">
      <c r="A3" s="118"/>
      <c r="B3" s="119"/>
      <c r="C3" s="119"/>
      <c r="D3" s="120"/>
      <c r="E3" s="121"/>
      <c r="F3" s="121"/>
      <c r="G3" s="121"/>
      <c r="H3" s="122"/>
      <c r="I3" s="122"/>
      <c r="J3" s="123"/>
      <c r="K3" s="123"/>
      <c r="L3" s="123"/>
      <c r="M3" s="124"/>
      <c r="N3" s="125"/>
      <c r="O3" s="125"/>
      <c r="P3" s="125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</row>
    <row r="4">
      <c r="A4" s="126"/>
      <c r="B4" s="119"/>
      <c r="C4" s="119"/>
      <c r="D4" s="120"/>
      <c r="E4" s="121"/>
      <c r="F4" s="121"/>
      <c r="G4" s="121"/>
      <c r="H4" s="122"/>
      <c r="I4" s="122"/>
      <c r="J4" s="123"/>
      <c r="K4" s="123"/>
      <c r="L4" s="123"/>
      <c r="M4" s="124"/>
      <c r="N4" s="125"/>
      <c r="O4" s="125"/>
      <c r="P4" s="125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</row>
    <row r="5" ht="24.0" customHeight="1">
      <c r="A5" s="118"/>
      <c r="B5" s="127" t="s">
        <v>155</v>
      </c>
      <c r="C5" s="128"/>
      <c r="D5" s="129" t="s">
        <v>156</v>
      </c>
      <c r="E5" s="130" t="s">
        <v>157</v>
      </c>
      <c r="F5" s="130" t="s">
        <v>158</v>
      </c>
      <c r="G5" s="131" t="s">
        <v>81</v>
      </c>
      <c r="H5" s="132" t="s">
        <v>159</v>
      </c>
      <c r="I5" s="133" t="s">
        <v>160</v>
      </c>
      <c r="J5" s="134"/>
      <c r="K5" s="131" t="s">
        <v>161</v>
      </c>
      <c r="L5" s="135" t="s">
        <v>162</v>
      </c>
      <c r="M5" s="131" t="s">
        <v>163</v>
      </c>
      <c r="N5" s="136" t="s">
        <v>164</v>
      </c>
      <c r="O5" s="137" t="s">
        <v>165</v>
      </c>
      <c r="P5" s="138"/>
      <c r="Q5" s="139" t="s">
        <v>166</v>
      </c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1"/>
      <c r="AD5" s="142" t="s">
        <v>167</v>
      </c>
      <c r="AE5" s="143"/>
      <c r="AF5" s="144" t="s">
        <v>168</v>
      </c>
      <c r="AI5" s="145"/>
    </row>
    <row r="6" ht="24.0" customHeight="1">
      <c r="A6" s="118"/>
      <c r="B6" s="146"/>
      <c r="C6" s="147"/>
      <c r="D6" s="148"/>
      <c r="E6" s="148"/>
      <c r="F6" s="148"/>
      <c r="G6" s="148"/>
      <c r="H6" s="148"/>
      <c r="I6" s="149" t="s">
        <v>169</v>
      </c>
      <c r="J6" s="150" t="s">
        <v>170</v>
      </c>
      <c r="K6" s="148"/>
      <c r="L6" s="151"/>
      <c r="M6" s="148"/>
      <c r="N6" s="147"/>
      <c r="O6" s="152" t="s">
        <v>171</v>
      </c>
      <c r="P6" s="153" t="s">
        <v>172</v>
      </c>
      <c r="Q6" s="154" t="s">
        <v>11</v>
      </c>
      <c r="R6" s="155" t="s">
        <v>12</v>
      </c>
      <c r="S6" s="155" t="s">
        <v>13</v>
      </c>
      <c r="T6" s="155" t="s">
        <v>14</v>
      </c>
      <c r="U6" s="155" t="s">
        <v>15</v>
      </c>
      <c r="V6" s="155" t="s">
        <v>16</v>
      </c>
      <c r="W6" s="155" t="s">
        <v>17</v>
      </c>
      <c r="X6" s="155" t="s">
        <v>18</v>
      </c>
      <c r="Y6" s="155" t="s">
        <v>19</v>
      </c>
      <c r="Z6" s="155" t="s">
        <v>20</v>
      </c>
      <c r="AA6" s="155" t="s">
        <v>21</v>
      </c>
      <c r="AB6" s="155" t="s">
        <v>22</v>
      </c>
      <c r="AC6" s="156">
        <v>2025.0</v>
      </c>
      <c r="AE6" s="157"/>
      <c r="AF6" s="144" t="s">
        <v>173</v>
      </c>
      <c r="AI6" s="145"/>
    </row>
    <row r="7" ht="21.75" customHeight="1">
      <c r="A7" s="118"/>
      <c r="B7" s="158" t="s">
        <v>174</v>
      </c>
      <c r="C7" s="159"/>
      <c r="D7" s="160" t="s">
        <v>175</v>
      </c>
      <c r="E7" s="161" t="s">
        <v>176</v>
      </c>
      <c r="F7" s="161" t="s">
        <v>177</v>
      </c>
      <c r="G7" s="161" t="s">
        <v>178</v>
      </c>
      <c r="H7" s="160"/>
      <c r="I7" s="162" t="s">
        <v>179</v>
      </c>
      <c r="J7" s="161"/>
      <c r="K7" s="161" t="s">
        <v>180</v>
      </c>
      <c r="L7" s="163" t="s">
        <v>181</v>
      </c>
      <c r="M7" s="161" t="s">
        <v>27</v>
      </c>
      <c r="N7" s="160"/>
      <c r="O7" s="160" t="s">
        <v>182</v>
      </c>
      <c r="P7" s="158" t="s">
        <v>183</v>
      </c>
      <c r="Q7" s="159">
        <v>1.0</v>
      </c>
      <c r="R7" s="160">
        <v>2.0</v>
      </c>
      <c r="S7" s="160">
        <v>3.0</v>
      </c>
      <c r="T7" s="160">
        <v>4.0</v>
      </c>
      <c r="U7" s="160">
        <v>5.0</v>
      </c>
      <c r="V7" s="160">
        <v>6.0</v>
      </c>
      <c r="W7" s="160">
        <v>7.0</v>
      </c>
      <c r="X7" s="160">
        <v>8.0</v>
      </c>
      <c r="Y7" s="160">
        <v>9.0</v>
      </c>
      <c r="Z7" s="160">
        <v>10.0</v>
      </c>
      <c r="AA7" s="160">
        <v>11.0</v>
      </c>
      <c r="AB7" s="160">
        <v>12.0</v>
      </c>
      <c r="AC7" s="164" t="s">
        <v>184</v>
      </c>
      <c r="AD7" s="165"/>
      <c r="AE7" s="166"/>
      <c r="AF7" s="144" t="s">
        <v>148</v>
      </c>
      <c r="AG7" s="145"/>
      <c r="AH7" s="145"/>
      <c r="AI7" s="145"/>
    </row>
    <row r="8">
      <c r="A8" s="126"/>
      <c r="B8" s="167" t="s">
        <v>27</v>
      </c>
      <c r="C8" s="168" t="s">
        <v>28</v>
      </c>
      <c r="D8" s="169"/>
      <c r="E8" s="170"/>
      <c r="F8" s="170"/>
      <c r="G8" s="170"/>
      <c r="H8" s="171"/>
      <c r="I8" s="171"/>
      <c r="J8" s="172"/>
      <c r="K8" s="172"/>
      <c r="L8" s="173"/>
      <c r="M8" s="174"/>
      <c r="N8" s="175"/>
      <c r="O8" s="175"/>
      <c r="P8" s="175"/>
      <c r="Q8" s="176">
        <f t="shared" ref="Q8:AC8" si="1">Q9+Q49+Q162+Q258+Q300+Q319+Q346+Q379+Q403+Q427</f>
        <v>13990282139</v>
      </c>
      <c r="R8" s="176">
        <f t="shared" si="1"/>
        <v>13841840502</v>
      </c>
      <c r="S8" s="176">
        <f t="shared" si="1"/>
        <v>19404160175</v>
      </c>
      <c r="T8" s="176">
        <f t="shared" si="1"/>
        <v>12456385223</v>
      </c>
      <c r="U8" s="176">
        <f t="shared" si="1"/>
        <v>12456385223</v>
      </c>
      <c r="V8" s="176">
        <f t="shared" si="1"/>
        <v>12456385223</v>
      </c>
      <c r="W8" s="176">
        <f t="shared" si="1"/>
        <v>12456385223</v>
      </c>
      <c r="X8" s="176">
        <f t="shared" si="1"/>
        <v>12456385223</v>
      </c>
      <c r="Y8" s="176">
        <f t="shared" si="1"/>
        <v>12456385223</v>
      </c>
      <c r="Z8" s="176">
        <f t="shared" si="1"/>
        <v>12456385223</v>
      </c>
      <c r="AA8" s="176">
        <f t="shared" si="1"/>
        <v>12456385223</v>
      </c>
      <c r="AB8" s="176">
        <f t="shared" si="1"/>
        <v>12456385223</v>
      </c>
      <c r="AC8" s="177">
        <f t="shared" si="1"/>
        <v>159343749821</v>
      </c>
      <c r="AD8" s="178">
        <f t="shared" ref="AD8:AD9" si="3">AC8-AE8</f>
        <v>0.201751709</v>
      </c>
      <c r="AE8" s="179">
        <f>AE9+AE49+AE162+AE258+AE300+AE319+AE346+AE379+AE403+AE427</f>
        <v>159343749821</v>
      </c>
      <c r="AF8" s="180"/>
      <c r="AG8" s="180"/>
      <c r="AH8" s="180"/>
      <c r="AI8" s="180"/>
    </row>
    <row r="9">
      <c r="A9" s="126"/>
      <c r="B9" s="181">
        <v>1.0</v>
      </c>
      <c r="C9" s="182" t="s">
        <v>29</v>
      </c>
      <c r="D9" s="183"/>
      <c r="E9" s="184"/>
      <c r="F9" s="184"/>
      <c r="G9" s="184"/>
      <c r="H9" s="185"/>
      <c r="I9" s="185"/>
      <c r="J9" s="186"/>
      <c r="K9" s="186"/>
      <c r="L9" s="187">
        <f>L10+L17+L31+L24+L38</f>
        <v>3572176472</v>
      </c>
      <c r="M9" s="188"/>
      <c r="N9" s="189"/>
      <c r="O9" s="189"/>
      <c r="P9" s="189"/>
      <c r="Q9" s="190">
        <f t="shared" ref="Q9:AB9" si="2">Q10+Q17+Q31+Q24+Q38</f>
        <v>273856973.4</v>
      </c>
      <c r="R9" s="190">
        <f t="shared" si="2"/>
        <v>273856973.4</v>
      </c>
      <c r="S9" s="190">
        <f t="shared" si="2"/>
        <v>273856973.4</v>
      </c>
      <c r="T9" s="190">
        <f t="shared" si="2"/>
        <v>273856973.4</v>
      </c>
      <c r="U9" s="190">
        <f t="shared" si="2"/>
        <v>273856973.4</v>
      </c>
      <c r="V9" s="190">
        <f t="shared" si="2"/>
        <v>273856973.4</v>
      </c>
      <c r="W9" s="190">
        <f t="shared" si="2"/>
        <v>273856973.4</v>
      </c>
      <c r="X9" s="190">
        <f t="shared" si="2"/>
        <v>273856973.4</v>
      </c>
      <c r="Y9" s="190">
        <f t="shared" si="2"/>
        <v>273856973.4</v>
      </c>
      <c r="Z9" s="190">
        <f t="shared" si="2"/>
        <v>273856973.4</v>
      </c>
      <c r="AA9" s="190">
        <f t="shared" si="2"/>
        <v>273856973.4</v>
      </c>
      <c r="AB9" s="190">
        <f t="shared" si="2"/>
        <v>273856973.4</v>
      </c>
      <c r="AC9" s="191">
        <f>SUM(Q9:AB9)</f>
        <v>3286283680</v>
      </c>
      <c r="AD9" s="178">
        <f t="shared" si="3"/>
        <v>0.4324297905</v>
      </c>
      <c r="AE9" s="192">
        <f>'Proker New'!Y6</f>
        <v>3286283680</v>
      </c>
      <c r="AF9" s="193" t="str">
        <f>C9</f>
        <v>Aceh - Banda Aceh (BTJ)</v>
      </c>
      <c r="AG9" s="194"/>
      <c r="AH9" s="194"/>
      <c r="AI9" s="194"/>
    </row>
    <row r="10">
      <c r="A10" s="126"/>
      <c r="B10" s="195"/>
      <c r="C10" s="196">
        <v>1.0</v>
      </c>
      <c r="D10" s="197" t="s">
        <v>185</v>
      </c>
      <c r="E10" s="198" t="s">
        <v>186</v>
      </c>
      <c r="F10" s="198" t="s">
        <v>103</v>
      </c>
      <c r="G10" s="198" t="s">
        <v>86</v>
      </c>
      <c r="H10" s="198" t="s">
        <v>86</v>
      </c>
      <c r="I10" s="198" t="s">
        <v>187</v>
      </c>
      <c r="J10" s="198" t="s">
        <v>188</v>
      </c>
      <c r="K10" s="199" t="s">
        <v>189</v>
      </c>
      <c r="L10" s="200">
        <v>1.3945E9</v>
      </c>
      <c r="M10" s="201" t="s">
        <v>190</v>
      </c>
      <c r="N10" s="202"/>
      <c r="O10" s="202">
        <v>45383.0</v>
      </c>
      <c r="P10" s="203">
        <v>45747.0</v>
      </c>
      <c r="Q10" s="204">
        <v>1.04692192192192E8</v>
      </c>
      <c r="R10" s="204">
        <v>1.04692192192192E8</v>
      </c>
      <c r="S10" s="204">
        <v>1.04692192192192E8</v>
      </c>
      <c r="T10" s="204">
        <v>1.04692192192192E8</v>
      </c>
      <c r="U10" s="204">
        <v>1.04692192192192E8</v>
      </c>
      <c r="V10" s="204">
        <v>1.04692192192192E8</v>
      </c>
      <c r="W10" s="204">
        <v>1.04692192192192E8</v>
      </c>
      <c r="X10" s="204">
        <v>1.04692192192192E8</v>
      </c>
      <c r="Y10" s="204">
        <v>1.04692192192192E8</v>
      </c>
      <c r="Z10" s="204">
        <v>1.04692192192192E8</v>
      </c>
      <c r="AA10" s="204">
        <v>1.04692192192192E8</v>
      </c>
      <c r="AB10" s="204">
        <v>1.04692192192192E8</v>
      </c>
      <c r="AC10" s="205">
        <v>1.256306306306304E9</v>
      </c>
      <c r="AD10" s="178">
        <f>SUM(Q10:AB10)-AC10</f>
        <v>0</v>
      </c>
      <c r="AE10" s="192"/>
      <c r="AF10" s="194"/>
      <c r="AG10" s="194"/>
      <c r="AH10" s="194"/>
      <c r="AI10" s="194"/>
    </row>
    <row r="11" hidden="1">
      <c r="A11" s="126"/>
      <c r="B11" s="195"/>
      <c r="C11" s="206"/>
      <c r="D11" s="207"/>
      <c r="E11" s="207"/>
      <c r="F11" s="207"/>
      <c r="G11" s="207"/>
      <c r="H11" s="206"/>
      <c r="I11" s="206"/>
      <c r="J11" s="206"/>
      <c r="K11" s="206" t="s">
        <v>189</v>
      </c>
      <c r="L11" s="208"/>
      <c r="M11" s="209"/>
      <c r="N11" s="210"/>
      <c r="O11" s="210"/>
      <c r="P11" s="210">
        <v>45747.0</v>
      </c>
      <c r="Q11" s="211">
        <v>1.04692192192192E8</v>
      </c>
      <c r="R11" s="211">
        <v>1.04692192192192E8</v>
      </c>
      <c r="S11" s="211">
        <v>1.04692192192192E8</v>
      </c>
      <c r="T11" s="211"/>
      <c r="U11" s="211"/>
      <c r="V11" s="212"/>
      <c r="W11" s="212"/>
      <c r="X11" s="212"/>
      <c r="Y11" s="212"/>
      <c r="Z11" s="212"/>
      <c r="AA11" s="212"/>
      <c r="AB11" s="212"/>
      <c r="AC11" s="213">
        <f t="shared" ref="AC11:AC16" si="4">SUM(Q11:AB11)</f>
        <v>314076576.6</v>
      </c>
      <c r="AD11" s="214"/>
      <c r="AE11" s="192"/>
      <c r="AF11" s="194"/>
      <c r="AG11" s="194"/>
      <c r="AH11" s="194"/>
      <c r="AI11" s="194"/>
    </row>
    <row r="12" hidden="1">
      <c r="A12" s="126"/>
      <c r="B12" s="195"/>
      <c r="C12" s="206"/>
      <c r="D12" s="215"/>
      <c r="E12" s="207"/>
      <c r="F12" s="207"/>
      <c r="G12" s="207"/>
      <c r="H12" s="206"/>
      <c r="I12" s="206"/>
      <c r="J12" s="216"/>
      <c r="K12" s="216" t="s">
        <v>189</v>
      </c>
      <c r="L12" s="217">
        <v>2.32416666E8</v>
      </c>
      <c r="M12" s="218" t="s">
        <v>191</v>
      </c>
      <c r="N12" s="219"/>
      <c r="O12" s="219">
        <v>45383.0</v>
      </c>
      <c r="P12" s="219">
        <v>45808.0</v>
      </c>
      <c r="Q12" s="211"/>
      <c r="R12" s="211"/>
      <c r="S12" s="211"/>
      <c r="T12" s="211">
        <v>1.04692192192192E8</v>
      </c>
      <c r="U12" s="211">
        <v>1.04692192192192E8</v>
      </c>
      <c r="V12" s="212"/>
      <c r="W12" s="212"/>
      <c r="X12" s="212"/>
      <c r="Y12" s="212"/>
      <c r="Z12" s="212"/>
      <c r="AA12" s="212"/>
      <c r="AB12" s="212"/>
      <c r="AC12" s="213">
        <f t="shared" si="4"/>
        <v>209384384.4</v>
      </c>
      <c r="AD12" s="214"/>
      <c r="AE12" s="192"/>
      <c r="AF12" s="194"/>
      <c r="AG12" s="194"/>
      <c r="AH12" s="194"/>
      <c r="AI12" s="194"/>
    </row>
    <row r="13" hidden="1">
      <c r="A13" s="126"/>
      <c r="B13" s="195"/>
      <c r="C13" s="206"/>
      <c r="D13" s="220"/>
      <c r="E13" s="207"/>
      <c r="F13" s="207"/>
      <c r="G13" s="207"/>
      <c r="H13" s="206"/>
      <c r="I13" s="206"/>
      <c r="J13" s="221"/>
      <c r="K13" s="216" t="s">
        <v>189</v>
      </c>
      <c r="L13" s="217">
        <v>3.48624999E8</v>
      </c>
      <c r="M13" s="218" t="s">
        <v>192</v>
      </c>
      <c r="N13" s="219"/>
      <c r="O13" s="219">
        <f>P12+1</f>
        <v>45809</v>
      </c>
      <c r="P13" s="219">
        <v>45900.0</v>
      </c>
      <c r="Q13" s="211"/>
      <c r="R13" s="211"/>
      <c r="S13" s="211"/>
      <c r="T13" s="211"/>
      <c r="U13" s="211"/>
      <c r="V13" s="212"/>
      <c r="W13" s="212"/>
      <c r="X13" s="212"/>
      <c r="Y13" s="212"/>
      <c r="Z13" s="212"/>
      <c r="AA13" s="212"/>
      <c r="AB13" s="212"/>
      <c r="AC13" s="213">
        <f t="shared" si="4"/>
        <v>0</v>
      </c>
      <c r="AD13" s="214"/>
      <c r="AE13" s="192"/>
      <c r="AF13" s="194"/>
      <c r="AG13" s="194"/>
      <c r="AH13" s="194"/>
      <c r="AI13" s="194"/>
    </row>
    <row r="14" hidden="1">
      <c r="A14" s="126"/>
      <c r="B14" s="195"/>
      <c r="C14" s="222"/>
      <c r="D14" s="223" t="s">
        <v>193</v>
      </c>
      <c r="E14" s="224"/>
      <c r="F14" s="224"/>
      <c r="G14" s="224"/>
      <c r="H14" s="222"/>
      <c r="I14" s="222"/>
      <c r="J14" s="222"/>
      <c r="K14" s="222" t="s">
        <v>189</v>
      </c>
      <c r="L14" s="225"/>
      <c r="M14" s="226"/>
      <c r="N14" s="227"/>
      <c r="O14" s="227"/>
      <c r="P14" s="227"/>
      <c r="Q14" s="228">
        <v>1.16208333E8</v>
      </c>
      <c r="R14" s="228">
        <v>1.16208333E8</v>
      </c>
      <c r="S14" s="228">
        <v>1.16208333E8</v>
      </c>
      <c r="T14" s="228">
        <v>1.16208333E8</v>
      </c>
      <c r="U14" s="228">
        <v>1.16208333E8</v>
      </c>
      <c r="V14" s="229">
        <v>1.16208333E8</v>
      </c>
      <c r="W14" s="229">
        <v>1.16208333E8</v>
      </c>
      <c r="X14" s="230"/>
      <c r="Y14" s="230"/>
      <c r="Z14" s="230"/>
      <c r="AA14" s="230"/>
      <c r="AB14" s="230"/>
      <c r="AC14" s="231">
        <f t="shared" si="4"/>
        <v>813458331</v>
      </c>
      <c r="AD14" s="214"/>
      <c r="AE14" s="192"/>
      <c r="AF14" s="194"/>
      <c r="AG14" s="194"/>
      <c r="AH14" s="194"/>
      <c r="AI14" s="194"/>
    </row>
    <row r="15" hidden="1">
      <c r="A15" s="126"/>
      <c r="B15" s="195"/>
      <c r="C15" s="196"/>
      <c r="D15" s="232" t="s">
        <v>194</v>
      </c>
      <c r="E15" s="233"/>
      <c r="F15" s="233"/>
      <c r="G15" s="233"/>
      <c r="H15" s="234"/>
      <c r="I15" s="234"/>
      <c r="J15" s="222"/>
      <c r="K15" s="222" t="s">
        <v>189</v>
      </c>
      <c r="L15" s="235"/>
      <c r="M15" s="236"/>
      <c r="N15" s="237"/>
      <c r="O15" s="237"/>
      <c r="P15" s="227"/>
      <c r="Q15" s="228">
        <v>1.16208333E8</v>
      </c>
      <c r="R15" s="228">
        <v>1.16208333E8</v>
      </c>
      <c r="S15" s="228">
        <v>1.16208333E8</v>
      </c>
      <c r="T15" s="228">
        <v>1.16208333E8</v>
      </c>
      <c r="U15" s="228">
        <v>1.16208333E8</v>
      </c>
      <c r="V15" s="230"/>
      <c r="W15" s="238"/>
      <c r="X15" s="238"/>
      <c r="Y15" s="238"/>
      <c r="Z15" s="238"/>
      <c r="AA15" s="238"/>
      <c r="AB15" s="238"/>
      <c r="AC15" s="231">
        <f t="shared" si="4"/>
        <v>581041665</v>
      </c>
      <c r="AD15" s="214"/>
      <c r="AE15" s="192"/>
      <c r="AF15" s="194"/>
      <c r="AG15" s="194"/>
      <c r="AH15" s="194"/>
      <c r="AI15" s="194"/>
    </row>
    <row r="16" hidden="1">
      <c r="A16" s="126"/>
      <c r="B16" s="195"/>
      <c r="C16" s="196"/>
      <c r="D16" s="232" t="s">
        <v>195</v>
      </c>
      <c r="E16" s="233"/>
      <c r="F16" s="233"/>
      <c r="G16" s="233"/>
      <c r="H16" s="234"/>
      <c r="I16" s="234"/>
      <c r="J16" s="222"/>
      <c r="K16" s="222" t="s">
        <v>189</v>
      </c>
      <c r="L16" s="235"/>
      <c r="M16" s="236"/>
      <c r="N16" s="237"/>
      <c r="O16" s="237"/>
      <c r="P16" s="227"/>
      <c r="Q16" s="228">
        <v>1.16208333E8</v>
      </c>
      <c r="R16" s="228">
        <v>1.16208333E8</v>
      </c>
      <c r="S16" s="228">
        <v>1.16208333E8</v>
      </c>
      <c r="T16" s="238"/>
      <c r="U16" s="238"/>
      <c r="V16" s="238"/>
      <c r="W16" s="238"/>
      <c r="X16" s="238"/>
      <c r="Y16" s="238"/>
      <c r="Z16" s="238"/>
      <c r="AA16" s="238"/>
      <c r="AB16" s="238"/>
      <c r="AC16" s="231">
        <f t="shared" si="4"/>
        <v>348624999</v>
      </c>
      <c r="AD16" s="214"/>
      <c r="AE16" s="192"/>
      <c r="AF16" s="194"/>
      <c r="AG16" s="194"/>
      <c r="AH16" s="194"/>
      <c r="AI16" s="194"/>
    </row>
    <row r="17">
      <c r="A17" s="126"/>
      <c r="B17" s="195"/>
      <c r="C17" s="196">
        <v>2.0</v>
      </c>
      <c r="D17" s="197" t="s">
        <v>196</v>
      </c>
      <c r="E17" s="198" t="s">
        <v>186</v>
      </c>
      <c r="F17" s="198" t="s">
        <v>103</v>
      </c>
      <c r="G17" s="198" t="s">
        <v>86</v>
      </c>
      <c r="H17" s="198" t="s">
        <v>86</v>
      </c>
      <c r="I17" s="198" t="s">
        <v>187</v>
      </c>
      <c r="J17" s="198" t="s">
        <v>188</v>
      </c>
      <c r="K17" s="199" t="s">
        <v>189</v>
      </c>
      <c r="L17" s="239">
        <v>1.955E8</v>
      </c>
      <c r="M17" s="240" t="s">
        <v>197</v>
      </c>
      <c r="N17" s="202"/>
      <c r="O17" s="202">
        <v>45383.0</v>
      </c>
      <c r="P17" s="203">
        <v>45747.0</v>
      </c>
      <c r="Q17" s="204">
        <v>1.46771771771772E7</v>
      </c>
      <c r="R17" s="204">
        <v>1.46771771771772E7</v>
      </c>
      <c r="S17" s="204">
        <v>1.46771771771772E7</v>
      </c>
      <c r="T17" s="204">
        <v>1.46771771771772E7</v>
      </c>
      <c r="U17" s="204">
        <v>1.46771771771772E7</v>
      </c>
      <c r="V17" s="204">
        <v>1.46771771771772E7</v>
      </c>
      <c r="W17" s="204">
        <v>1.46771771771772E7</v>
      </c>
      <c r="X17" s="204">
        <v>1.46771771771772E7</v>
      </c>
      <c r="Y17" s="204">
        <v>1.46771771771772E7</v>
      </c>
      <c r="Z17" s="204">
        <v>1.46771771771772E7</v>
      </c>
      <c r="AA17" s="204">
        <v>1.46771771771772E7</v>
      </c>
      <c r="AB17" s="204">
        <v>1.46771771771772E7</v>
      </c>
      <c r="AC17" s="205">
        <v>1.761261261261264E8</v>
      </c>
      <c r="AD17" s="178">
        <f>SUM(Q17:AB17)-AC17</f>
        <v>0</v>
      </c>
      <c r="AE17" s="241"/>
      <c r="AF17" s="194"/>
      <c r="AG17" s="194"/>
      <c r="AH17" s="194"/>
      <c r="AI17" s="194"/>
    </row>
    <row r="18" hidden="1">
      <c r="A18" s="126"/>
      <c r="B18" s="195"/>
      <c r="C18" s="206"/>
      <c r="D18" s="207"/>
      <c r="E18" s="207"/>
      <c r="F18" s="207"/>
      <c r="G18" s="207"/>
      <c r="H18" s="206"/>
      <c r="I18" s="206"/>
      <c r="J18" s="242"/>
      <c r="K18" s="242" t="s">
        <v>189</v>
      </c>
      <c r="L18" s="243"/>
      <c r="M18" s="244"/>
      <c r="N18" s="210"/>
      <c r="O18" s="210"/>
      <c r="P18" s="210">
        <v>45747.0</v>
      </c>
      <c r="Q18" s="211">
        <v>1.46771771771772E7</v>
      </c>
      <c r="R18" s="211">
        <v>1.46771771771772E7</v>
      </c>
      <c r="S18" s="211">
        <v>1.46771771771772E7</v>
      </c>
      <c r="T18" s="211"/>
      <c r="U18" s="211"/>
      <c r="V18" s="212"/>
      <c r="W18" s="212"/>
      <c r="X18" s="212"/>
      <c r="Y18" s="212"/>
      <c r="Z18" s="212"/>
      <c r="AA18" s="212"/>
      <c r="AB18" s="212"/>
      <c r="AC18" s="213">
        <f t="shared" ref="AC18:AC23" si="5">SUM(Q18:AB18)</f>
        <v>44031531.53</v>
      </c>
      <c r="AD18" s="214"/>
      <c r="AE18" s="192"/>
      <c r="AF18" s="194"/>
      <c r="AG18" s="194"/>
      <c r="AH18" s="194"/>
      <c r="AI18" s="194"/>
    </row>
    <row r="19" hidden="1">
      <c r="A19" s="126"/>
      <c r="B19" s="195"/>
      <c r="C19" s="206"/>
      <c r="D19" s="207"/>
      <c r="E19" s="207"/>
      <c r="F19" s="207"/>
      <c r="G19" s="207"/>
      <c r="H19" s="206"/>
      <c r="I19" s="206"/>
      <c r="J19" s="206"/>
      <c r="K19" s="206" t="s">
        <v>189</v>
      </c>
      <c r="L19" s="245">
        <v>3.2583334E7</v>
      </c>
      <c r="M19" s="246" t="s">
        <v>198</v>
      </c>
      <c r="N19" s="219"/>
      <c r="O19" s="219">
        <v>45383.0</v>
      </c>
      <c r="P19" s="219">
        <v>45808.0</v>
      </c>
      <c r="Q19" s="211"/>
      <c r="R19" s="211"/>
      <c r="S19" s="211"/>
      <c r="T19" s="211">
        <v>1.46771771771772E7</v>
      </c>
      <c r="U19" s="211">
        <v>1.46771771771772E7</v>
      </c>
      <c r="V19" s="212"/>
      <c r="W19" s="212"/>
      <c r="X19" s="212"/>
      <c r="Y19" s="212"/>
      <c r="Z19" s="212"/>
      <c r="AA19" s="212"/>
      <c r="AB19" s="212"/>
      <c r="AC19" s="213">
        <f t="shared" si="5"/>
        <v>29354354.35</v>
      </c>
      <c r="AD19" s="214"/>
      <c r="AE19" s="192"/>
      <c r="AF19" s="194"/>
      <c r="AG19" s="194"/>
      <c r="AH19" s="194"/>
      <c r="AI19" s="194"/>
    </row>
    <row r="20" hidden="1">
      <c r="A20" s="126"/>
      <c r="B20" s="195"/>
      <c r="C20" s="206"/>
      <c r="D20" s="220"/>
      <c r="E20" s="207"/>
      <c r="F20" s="207"/>
      <c r="G20" s="207"/>
      <c r="H20" s="206"/>
      <c r="I20" s="206"/>
      <c r="J20" s="221"/>
      <c r="K20" s="216" t="s">
        <v>189</v>
      </c>
      <c r="L20" s="245">
        <v>4.8874926E7</v>
      </c>
      <c r="M20" s="247" t="s">
        <v>199</v>
      </c>
      <c r="N20" s="248"/>
      <c r="O20" s="248">
        <f>P19+1</f>
        <v>45809</v>
      </c>
      <c r="P20" s="219">
        <v>45900.0</v>
      </c>
      <c r="Q20" s="208"/>
      <c r="R20" s="208"/>
      <c r="S20" s="208"/>
      <c r="T20" s="208"/>
      <c r="U20" s="249"/>
      <c r="V20" s="212"/>
      <c r="W20" s="212"/>
      <c r="X20" s="212"/>
      <c r="Y20" s="212"/>
      <c r="Z20" s="212"/>
      <c r="AA20" s="212"/>
      <c r="AB20" s="212"/>
      <c r="AC20" s="213">
        <f t="shared" si="5"/>
        <v>0</v>
      </c>
      <c r="AD20" s="214"/>
      <c r="AE20" s="192"/>
      <c r="AF20" s="194"/>
      <c r="AG20" s="194"/>
      <c r="AH20" s="194"/>
      <c r="AI20" s="194"/>
    </row>
    <row r="21" hidden="1">
      <c r="A21" s="126"/>
      <c r="B21" s="195"/>
      <c r="C21" s="222"/>
      <c r="D21" s="250" t="s">
        <v>200</v>
      </c>
      <c r="E21" s="224"/>
      <c r="F21" s="224"/>
      <c r="G21" s="224"/>
      <c r="H21" s="222"/>
      <c r="I21" s="222"/>
      <c r="J21" s="222"/>
      <c r="K21" s="222" t="s">
        <v>189</v>
      </c>
      <c r="L21" s="225"/>
      <c r="M21" s="226"/>
      <c r="N21" s="227"/>
      <c r="O21" s="227"/>
      <c r="P21" s="227"/>
      <c r="Q21" s="251">
        <v>1.6291667E7</v>
      </c>
      <c r="R21" s="251">
        <v>1.6291667E7</v>
      </c>
      <c r="S21" s="251">
        <v>1.6291667E7</v>
      </c>
      <c r="T21" s="252">
        <v>1.6291642E7</v>
      </c>
      <c r="U21" s="252">
        <v>1.6291642E7</v>
      </c>
      <c r="V21" s="253">
        <v>1.6291642E7</v>
      </c>
      <c r="W21" s="253">
        <v>1.6291642E7</v>
      </c>
      <c r="X21" s="230"/>
      <c r="Y21" s="230"/>
      <c r="Z21" s="230"/>
      <c r="AA21" s="230"/>
      <c r="AB21" s="230"/>
      <c r="AC21" s="231">
        <f t="shared" si="5"/>
        <v>114041569</v>
      </c>
      <c r="AD21" s="214"/>
      <c r="AE21" s="192"/>
      <c r="AF21" s="194"/>
      <c r="AG21" s="194"/>
      <c r="AH21" s="194"/>
      <c r="AI21" s="194"/>
    </row>
    <row r="22" hidden="1">
      <c r="A22" s="126"/>
      <c r="B22" s="195"/>
      <c r="C22" s="196"/>
      <c r="D22" s="254" t="s">
        <v>194</v>
      </c>
      <c r="E22" s="233"/>
      <c r="F22" s="233"/>
      <c r="G22" s="233"/>
      <c r="H22" s="234"/>
      <c r="I22" s="234"/>
      <c r="J22" s="222"/>
      <c r="K22" s="222" t="s">
        <v>189</v>
      </c>
      <c r="L22" s="235"/>
      <c r="M22" s="255"/>
      <c r="N22" s="227"/>
      <c r="O22" s="227"/>
      <c r="P22" s="237"/>
      <c r="Q22" s="251">
        <v>1.6291667E7</v>
      </c>
      <c r="R22" s="251">
        <v>1.6291667E7</v>
      </c>
      <c r="S22" s="251">
        <v>1.6291667E7</v>
      </c>
      <c r="T22" s="253"/>
      <c r="U22" s="229"/>
      <c r="V22" s="229"/>
      <c r="W22" s="238"/>
      <c r="X22" s="238"/>
      <c r="Y22" s="238"/>
      <c r="Z22" s="238"/>
      <c r="AA22" s="238"/>
      <c r="AB22" s="238"/>
      <c r="AC22" s="231">
        <f t="shared" si="5"/>
        <v>48875001</v>
      </c>
      <c r="AD22" s="214"/>
      <c r="AE22" s="192"/>
      <c r="AF22" s="194"/>
      <c r="AG22" s="194"/>
      <c r="AH22" s="194"/>
      <c r="AI22" s="194"/>
    </row>
    <row r="23" hidden="1">
      <c r="A23" s="126"/>
      <c r="B23" s="195"/>
      <c r="C23" s="196"/>
      <c r="D23" s="254" t="s">
        <v>201</v>
      </c>
      <c r="E23" s="233"/>
      <c r="F23" s="233"/>
      <c r="G23" s="233"/>
      <c r="H23" s="234"/>
      <c r="I23" s="234"/>
      <c r="J23" s="222"/>
      <c r="K23" s="222" t="s">
        <v>189</v>
      </c>
      <c r="L23" s="235"/>
      <c r="M23" s="255"/>
      <c r="N23" s="227"/>
      <c r="O23" s="227"/>
      <c r="P23" s="237"/>
      <c r="Q23" s="251">
        <v>1.6291667E7</v>
      </c>
      <c r="R23" s="251">
        <v>1.6291667E7</v>
      </c>
      <c r="S23" s="251">
        <v>1.6291667E7</v>
      </c>
      <c r="T23" s="253"/>
      <c r="U23" s="229"/>
      <c r="V23" s="229"/>
      <c r="W23" s="238"/>
      <c r="X23" s="238"/>
      <c r="Y23" s="238"/>
      <c r="Z23" s="238"/>
      <c r="AA23" s="238"/>
      <c r="AB23" s="238"/>
      <c r="AC23" s="231">
        <f t="shared" si="5"/>
        <v>48875001</v>
      </c>
      <c r="AD23" s="214"/>
      <c r="AE23" s="192"/>
      <c r="AF23" s="194"/>
      <c r="AG23" s="194"/>
      <c r="AH23" s="194"/>
      <c r="AI23" s="194"/>
    </row>
    <row r="24">
      <c r="A24" s="126"/>
      <c r="B24" s="195"/>
      <c r="C24" s="196">
        <v>3.0</v>
      </c>
      <c r="D24" s="197" t="s">
        <v>202</v>
      </c>
      <c r="E24" s="198" t="s">
        <v>186</v>
      </c>
      <c r="F24" s="198" t="s">
        <v>135</v>
      </c>
      <c r="G24" s="198" t="s">
        <v>135</v>
      </c>
      <c r="H24" s="198" t="s">
        <v>203</v>
      </c>
      <c r="I24" s="198" t="s">
        <v>187</v>
      </c>
      <c r="J24" s="198" t="s">
        <v>188</v>
      </c>
      <c r="K24" s="199" t="s">
        <v>189</v>
      </c>
      <c r="L24" s="256">
        <f>681786911</f>
        <v>681786911</v>
      </c>
      <c r="M24" s="257" t="s">
        <v>204</v>
      </c>
      <c r="N24" s="258"/>
      <c r="O24" s="258">
        <v>45292.0</v>
      </c>
      <c r="P24" s="259">
        <v>45627.0</v>
      </c>
      <c r="Q24" s="204">
        <v>5.3221217E7</v>
      </c>
      <c r="R24" s="204">
        <v>5.3221217E7</v>
      </c>
      <c r="S24" s="204">
        <v>5.3221217E7</v>
      </c>
      <c r="T24" s="204">
        <v>5.3221217E7</v>
      </c>
      <c r="U24" s="204">
        <v>5.3221217E7</v>
      </c>
      <c r="V24" s="204">
        <v>5.3221217E7</v>
      </c>
      <c r="W24" s="204">
        <v>5.3221217E7</v>
      </c>
      <c r="X24" s="204">
        <v>5.3221217E7</v>
      </c>
      <c r="Y24" s="204">
        <v>5.3221217E7</v>
      </c>
      <c r="Z24" s="204">
        <v>5.3221217E7</v>
      </c>
      <c r="AA24" s="204">
        <v>5.3221217E7</v>
      </c>
      <c r="AB24" s="204">
        <v>5.3221217E7</v>
      </c>
      <c r="AC24" s="205">
        <v>6.38654604E8</v>
      </c>
      <c r="AD24" s="178">
        <f>SUM(Q24:AB24)-AC24</f>
        <v>0</v>
      </c>
      <c r="AE24" s="241"/>
      <c r="AF24" s="194"/>
      <c r="AG24" s="194"/>
      <c r="AH24" s="194"/>
      <c r="AI24" s="194"/>
    </row>
    <row r="25" hidden="1">
      <c r="A25" s="126"/>
      <c r="B25" s="195"/>
      <c r="C25" s="242"/>
      <c r="D25" s="207"/>
      <c r="E25" s="260"/>
      <c r="F25" s="260"/>
      <c r="G25" s="260"/>
      <c r="H25" s="221"/>
      <c r="I25" s="221"/>
      <c r="J25" s="216"/>
      <c r="K25" s="216" t="s">
        <v>189</v>
      </c>
      <c r="L25" s="243">
        <f>864636975-L24</f>
        <v>182850064</v>
      </c>
      <c r="M25" s="261" t="s">
        <v>205</v>
      </c>
      <c r="N25" s="262"/>
      <c r="O25" s="262">
        <v>45658.0</v>
      </c>
      <c r="P25" s="262">
        <v>45747.0</v>
      </c>
      <c r="Q25" s="212">
        <f>L25/3</f>
        <v>60950021.33</v>
      </c>
      <c r="R25" s="212">
        <f t="shared" ref="R25:S25" si="6">Q25</f>
        <v>60950021.33</v>
      </c>
      <c r="S25" s="212">
        <f t="shared" si="6"/>
        <v>60950021.33</v>
      </c>
      <c r="T25" s="212"/>
      <c r="U25" s="212"/>
      <c r="V25" s="212"/>
      <c r="W25" s="212"/>
      <c r="X25" s="212"/>
      <c r="Y25" s="212"/>
      <c r="Z25" s="212"/>
      <c r="AA25" s="212"/>
      <c r="AB25" s="212"/>
      <c r="AC25" s="213">
        <f t="shared" ref="AC25:AC30" si="7">SUM(Q25:AB25)</f>
        <v>182850064</v>
      </c>
      <c r="AD25" s="214"/>
      <c r="AE25" s="192"/>
      <c r="AF25" s="194"/>
      <c r="AG25" s="194"/>
      <c r="AH25" s="194"/>
      <c r="AI25" s="194"/>
    </row>
    <row r="26" hidden="1">
      <c r="A26" s="126"/>
      <c r="B26" s="195"/>
      <c r="C26" s="242"/>
      <c r="D26" s="220"/>
      <c r="E26" s="260"/>
      <c r="F26" s="260"/>
      <c r="G26" s="260"/>
      <c r="H26" s="221"/>
      <c r="I26" s="221"/>
      <c r="J26" s="216"/>
      <c r="K26" s="216" t="s">
        <v>189</v>
      </c>
      <c r="L26" s="243">
        <f t="shared" ref="L26:L27" si="8">181217474/111*100</f>
        <v>163258985.6</v>
      </c>
      <c r="M26" s="263" t="s">
        <v>206</v>
      </c>
      <c r="N26" s="219"/>
      <c r="O26" s="219">
        <v>45748.0</v>
      </c>
      <c r="P26" s="219">
        <v>45838.0</v>
      </c>
      <c r="Q26" s="212"/>
      <c r="R26" s="212"/>
      <c r="S26" s="212"/>
      <c r="T26" s="212">
        <f>L26/3</f>
        <v>54419661.86</v>
      </c>
      <c r="U26" s="212">
        <f>L26/3</f>
        <v>54419661.86</v>
      </c>
      <c r="V26" s="212">
        <f>L26/3</f>
        <v>54419661.86</v>
      </c>
      <c r="W26" s="212"/>
      <c r="X26" s="212"/>
      <c r="Y26" s="212"/>
      <c r="Z26" s="212"/>
      <c r="AA26" s="212"/>
      <c r="AB26" s="212"/>
      <c r="AC26" s="213">
        <f t="shared" si="7"/>
        <v>163258985.6</v>
      </c>
      <c r="AD26" s="264"/>
      <c r="AE26" s="241"/>
      <c r="AF26" s="194"/>
      <c r="AG26" s="194"/>
      <c r="AH26" s="194"/>
      <c r="AI26" s="194"/>
    </row>
    <row r="27" hidden="1">
      <c r="A27" s="126"/>
      <c r="B27" s="195"/>
      <c r="C27" s="242"/>
      <c r="D27" s="220" t="s">
        <v>207</v>
      </c>
      <c r="E27" s="260"/>
      <c r="F27" s="260"/>
      <c r="G27" s="260"/>
      <c r="H27" s="221"/>
      <c r="I27" s="221"/>
      <c r="J27" s="221"/>
      <c r="K27" s="221" t="s">
        <v>189</v>
      </c>
      <c r="L27" s="243">
        <f t="shared" si="8"/>
        <v>163258985.6</v>
      </c>
      <c r="M27" s="265" t="s">
        <v>208</v>
      </c>
      <c r="N27" s="266"/>
      <c r="O27" s="266">
        <f>P26+1</f>
        <v>45839</v>
      </c>
      <c r="P27" s="266">
        <v>45900.0</v>
      </c>
      <c r="Q27" s="267"/>
      <c r="R27" s="268"/>
      <c r="S27" s="268"/>
      <c r="T27" s="269"/>
      <c r="U27" s="269"/>
      <c r="V27" s="269"/>
      <c r="W27" s="269"/>
      <c r="X27" s="269"/>
      <c r="Y27" s="269"/>
      <c r="Z27" s="269"/>
      <c r="AA27" s="269"/>
      <c r="AB27" s="269"/>
      <c r="AC27" s="213">
        <f t="shared" si="7"/>
        <v>0</v>
      </c>
      <c r="AD27" s="214"/>
      <c r="AE27" s="192"/>
      <c r="AF27" s="194"/>
      <c r="AG27" s="194"/>
      <c r="AH27" s="194"/>
      <c r="AI27" s="194"/>
    </row>
    <row r="28" hidden="1">
      <c r="A28" s="126"/>
      <c r="B28" s="195"/>
      <c r="C28" s="196"/>
      <c r="D28" s="250" t="s">
        <v>209</v>
      </c>
      <c r="E28" s="233"/>
      <c r="F28" s="233"/>
      <c r="G28" s="233"/>
      <c r="H28" s="234"/>
      <c r="I28" s="234"/>
      <c r="J28" s="222"/>
      <c r="K28" s="222" t="s">
        <v>189</v>
      </c>
      <c r="L28" s="235"/>
      <c r="M28" s="255"/>
      <c r="N28" s="237"/>
      <c r="O28" s="237"/>
      <c r="P28" s="227"/>
      <c r="Q28" s="270">
        <v>6.0405825E7</v>
      </c>
      <c r="R28" s="270">
        <v>6.0405825E7</v>
      </c>
      <c r="S28" s="270">
        <v>6.0405825E7</v>
      </c>
      <c r="T28" s="229">
        <v>6.0405825E7</v>
      </c>
      <c r="U28" s="229">
        <v>6.0405825E7</v>
      </c>
      <c r="V28" s="229">
        <v>6.0405825E7</v>
      </c>
      <c r="W28" s="229">
        <v>6.0405825E7</v>
      </c>
      <c r="X28" s="238"/>
      <c r="Y28" s="238"/>
      <c r="Z28" s="238"/>
      <c r="AA28" s="238"/>
      <c r="AB28" s="238"/>
      <c r="AC28" s="231">
        <f t="shared" si="7"/>
        <v>422840775</v>
      </c>
      <c r="AD28" s="214"/>
      <c r="AE28" s="192"/>
      <c r="AF28" s="194"/>
      <c r="AG28" s="194"/>
      <c r="AH28" s="194"/>
      <c r="AI28" s="194"/>
    </row>
    <row r="29" hidden="1">
      <c r="A29" s="126"/>
      <c r="B29" s="195"/>
      <c r="C29" s="196"/>
      <c r="D29" s="254" t="s">
        <v>194</v>
      </c>
      <c r="E29" s="233"/>
      <c r="F29" s="233"/>
      <c r="G29" s="233"/>
      <c r="H29" s="234"/>
      <c r="I29" s="234"/>
      <c r="J29" s="222"/>
      <c r="K29" s="222" t="s">
        <v>189</v>
      </c>
      <c r="L29" s="235"/>
      <c r="M29" s="255"/>
      <c r="N29" s="237"/>
      <c r="O29" s="237"/>
      <c r="P29" s="227"/>
      <c r="Q29" s="270">
        <v>6.0405825E7</v>
      </c>
      <c r="R29" s="270">
        <v>6.0405825E7</v>
      </c>
      <c r="S29" s="270">
        <v>6.0405825E7</v>
      </c>
      <c r="T29" s="238"/>
      <c r="U29" s="238"/>
      <c r="V29" s="238"/>
      <c r="W29" s="238"/>
      <c r="X29" s="238"/>
      <c r="Y29" s="238"/>
      <c r="Z29" s="238"/>
      <c r="AA29" s="238"/>
      <c r="AB29" s="238"/>
      <c r="AC29" s="231">
        <f t="shared" si="7"/>
        <v>181217475</v>
      </c>
      <c r="AD29" s="214"/>
      <c r="AE29" s="192"/>
      <c r="AF29" s="194"/>
      <c r="AG29" s="194"/>
      <c r="AH29" s="194"/>
      <c r="AI29" s="194"/>
    </row>
    <row r="30" hidden="1">
      <c r="A30" s="126"/>
      <c r="B30" s="195"/>
      <c r="C30" s="196"/>
      <c r="D30" s="254" t="s">
        <v>210</v>
      </c>
      <c r="E30" s="233"/>
      <c r="F30" s="233"/>
      <c r="G30" s="233"/>
      <c r="H30" s="234"/>
      <c r="I30" s="234"/>
      <c r="J30" s="222"/>
      <c r="K30" s="222" t="s">
        <v>189</v>
      </c>
      <c r="L30" s="235"/>
      <c r="M30" s="255"/>
      <c r="N30" s="237"/>
      <c r="O30" s="237"/>
      <c r="P30" s="227"/>
      <c r="Q30" s="270">
        <v>6.0405825E7</v>
      </c>
      <c r="R30" s="270">
        <v>6.0405825E7</v>
      </c>
      <c r="S30" s="270">
        <v>6.0405825E7</v>
      </c>
      <c r="T30" s="238"/>
      <c r="U30" s="238"/>
      <c r="V30" s="238"/>
      <c r="W30" s="238"/>
      <c r="X30" s="238"/>
      <c r="Y30" s="238"/>
      <c r="Z30" s="238"/>
      <c r="AA30" s="238"/>
      <c r="AB30" s="238"/>
      <c r="AC30" s="231">
        <f t="shared" si="7"/>
        <v>181217475</v>
      </c>
      <c r="AD30" s="214"/>
      <c r="AE30" s="192"/>
      <c r="AF30" s="194"/>
      <c r="AG30" s="194"/>
      <c r="AH30" s="194"/>
      <c r="AI30" s="194"/>
    </row>
    <row r="31">
      <c r="A31" s="126"/>
      <c r="B31" s="195"/>
      <c r="C31" s="196">
        <v>4.0</v>
      </c>
      <c r="D31" s="197" t="s">
        <v>211</v>
      </c>
      <c r="E31" s="198" t="s">
        <v>186</v>
      </c>
      <c r="F31" s="198" t="s">
        <v>135</v>
      </c>
      <c r="G31" s="198" t="s">
        <v>135</v>
      </c>
      <c r="H31" s="198" t="s">
        <v>203</v>
      </c>
      <c r="I31" s="198" t="s">
        <v>187</v>
      </c>
      <c r="J31" s="198" t="s">
        <v>188</v>
      </c>
      <c r="K31" s="199" t="s">
        <v>189</v>
      </c>
      <c r="L31" s="239">
        <f>250070494</f>
        <v>250070494</v>
      </c>
      <c r="M31" s="201" t="s">
        <v>212</v>
      </c>
      <c r="N31" s="202"/>
      <c r="O31" s="202">
        <v>45413.0</v>
      </c>
      <c r="P31" s="203">
        <v>45777.0</v>
      </c>
      <c r="Q31" s="204">
        <v>1.9384865E7</v>
      </c>
      <c r="R31" s="204">
        <v>1.9384865E7</v>
      </c>
      <c r="S31" s="204">
        <v>1.9384865E7</v>
      </c>
      <c r="T31" s="204">
        <v>1.9384865E7</v>
      </c>
      <c r="U31" s="204">
        <v>1.9384865E7</v>
      </c>
      <c r="V31" s="204">
        <v>1.9384865E7</v>
      </c>
      <c r="W31" s="204">
        <v>1.9384865E7</v>
      </c>
      <c r="X31" s="204">
        <v>1.9384865E7</v>
      </c>
      <c r="Y31" s="204">
        <v>1.9384865E7</v>
      </c>
      <c r="Z31" s="204">
        <v>1.9384865E7</v>
      </c>
      <c r="AA31" s="204">
        <v>1.9384865E7</v>
      </c>
      <c r="AB31" s="204">
        <v>1.9384865E7</v>
      </c>
      <c r="AC31" s="205">
        <v>2.3261838E8</v>
      </c>
      <c r="AD31" s="178">
        <f>SUM(Q31:AB31)-AC31</f>
        <v>0</v>
      </c>
      <c r="AE31" s="192"/>
      <c r="AF31" s="194"/>
      <c r="AG31" s="194"/>
      <c r="AH31" s="194"/>
      <c r="AI31" s="194"/>
    </row>
    <row r="32" hidden="1">
      <c r="A32" s="126"/>
      <c r="B32" s="195"/>
      <c r="C32" s="206"/>
      <c r="D32" s="207"/>
      <c r="E32" s="207"/>
      <c r="F32" s="207"/>
      <c r="G32" s="207"/>
      <c r="H32" s="206"/>
      <c r="I32" s="206"/>
      <c r="J32" s="206"/>
      <c r="K32" s="206" t="s">
        <v>189</v>
      </c>
      <c r="L32" s="243"/>
      <c r="M32" s="209"/>
      <c r="N32" s="262"/>
      <c r="O32" s="262"/>
      <c r="P32" s="210">
        <v>45777.0</v>
      </c>
      <c r="Q32" s="268">
        <f>L31/12</f>
        <v>20839207.83</v>
      </c>
      <c r="R32" s="268">
        <f t="shared" ref="R32:T32" si="9">Q32</f>
        <v>20839207.83</v>
      </c>
      <c r="S32" s="268">
        <f t="shared" si="9"/>
        <v>20839207.83</v>
      </c>
      <c r="T32" s="268">
        <f t="shared" si="9"/>
        <v>20839207.83</v>
      </c>
      <c r="U32" s="212"/>
      <c r="V32" s="212"/>
      <c r="W32" s="212"/>
      <c r="X32" s="212"/>
      <c r="Y32" s="212"/>
      <c r="Z32" s="212"/>
      <c r="AA32" s="212"/>
      <c r="AB32" s="212"/>
      <c r="AC32" s="213">
        <f t="shared" ref="AC32:AC37" si="10">SUM(Q32:AB32)</f>
        <v>83356831.33</v>
      </c>
      <c r="AD32" s="271"/>
      <c r="AE32" s="192"/>
      <c r="AF32" s="194"/>
      <c r="AG32" s="194"/>
      <c r="AH32" s="194"/>
      <c r="AI32" s="194"/>
    </row>
    <row r="33" hidden="1">
      <c r="A33" s="126"/>
      <c r="B33" s="195"/>
      <c r="C33" s="206"/>
      <c r="D33" s="207"/>
      <c r="E33" s="207"/>
      <c r="F33" s="207"/>
      <c r="G33" s="207"/>
      <c r="H33" s="206"/>
      <c r="I33" s="206"/>
      <c r="J33" s="206"/>
      <c r="K33" s="206" t="s">
        <v>189</v>
      </c>
      <c r="L33" s="245">
        <v>3.8572656E7</v>
      </c>
      <c r="M33" s="218" t="s">
        <v>213</v>
      </c>
      <c r="N33" s="219"/>
      <c r="O33" s="219">
        <v>45778.0</v>
      </c>
      <c r="P33" s="219">
        <v>45838.0</v>
      </c>
      <c r="Q33" s="268"/>
      <c r="R33" s="268"/>
      <c r="S33" s="268"/>
      <c r="T33" s="212"/>
      <c r="U33" s="212">
        <f>T32</f>
        <v>20839207.83</v>
      </c>
      <c r="V33" s="212">
        <f>U33</f>
        <v>20839207.83</v>
      </c>
      <c r="W33" s="212"/>
      <c r="X33" s="212"/>
      <c r="Y33" s="212"/>
      <c r="Z33" s="212"/>
      <c r="AA33" s="212"/>
      <c r="AB33" s="212"/>
      <c r="AC33" s="213">
        <f t="shared" si="10"/>
        <v>41678415.67</v>
      </c>
      <c r="AD33" s="264"/>
      <c r="AE33" s="241"/>
      <c r="AF33" s="194"/>
      <c r="AG33" s="194"/>
      <c r="AH33" s="194"/>
      <c r="AI33" s="194"/>
    </row>
    <row r="34" hidden="1">
      <c r="A34" s="126"/>
      <c r="B34" s="195"/>
      <c r="C34" s="206"/>
      <c r="D34" s="220" t="s">
        <v>207</v>
      </c>
      <c r="E34" s="207"/>
      <c r="F34" s="207"/>
      <c r="G34" s="207"/>
      <c r="H34" s="206"/>
      <c r="I34" s="206"/>
      <c r="J34" s="221"/>
      <c r="K34" s="221" t="s">
        <v>189</v>
      </c>
      <c r="L34" s="245">
        <v>3.8572656E7</v>
      </c>
      <c r="M34" s="265" t="s">
        <v>214</v>
      </c>
      <c r="N34" s="266"/>
      <c r="O34" s="266">
        <f>P33+1</f>
        <v>45839</v>
      </c>
      <c r="P34" s="266">
        <v>45900.0</v>
      </c>
      <c r="Q34" s="267"/>
      <c r="R34" s="267"/>
      <c r="S34" s="267"/>
      <c r="T34" s="272"/>
      <c r="U34" s="212"/>
      <c r="V34" s="212"/>
      <c r="W34" s="212"/>
      <c r="X34" s="212"/>
      <c r="Y34" s="212"/>
      <c r="Z34" s="212"/>
      <c r="AA34" s="212"/>
      <c r="AB34" s="212"/>
      <c r="AC34" s="213">
        <f t="shared" si="10"/>
        <v>0</v>
      </c>
      <c r="AD34" s="273"/>
      <c r="AE34" s="192"/>
      <c r="AF34" s="194"/>
      <c r="AG34" s="194"/>
      <c r="AH34" s="194"/>
      <c r="AI34" s="194"/>
    </row>
    <row r="35" hidden="1">
      <c r="A35" s="126"/>
      <c r="B35" s="195"/>
      <c r="C35" s="222"/>
      <c r="D35" s="250" t="s">
        <v>215</v>
      </c>
      <c r="E35" s="224"/>
      <c r="F35" s="224"/>
      <c r="G35" s="224"/>
      <c r="H35" s="222"/>
      <c r="I35" s="222"/>
      <c r="J35" s="222"/>
      <c r="K35" s="222" t="s">
        <v>189</v>
      </c>
      <c r="L35" s="225"/>
      <c r="M35" s="226"/>
      <c r="N35" s="227"/>
      <c r="O35" s="227"/>
      <c r="P35" s="227"/>
      <c r="Q35" s="270">
        <v>2.1916282E7</v>
      </c>
      <c r="R35" s="270">
        <v>2.1916282E7</v>
      </c>
      <c r="S35" s="270">
        <v>2.1916282E7</v>
      </c>
      <c r="T35" s="270">
        <v>2.1916282E7</v>
      </c>
      <c r="U35" s="270">
        <v>2.1916282E7</v>
      </c>
      <c r="V35" s="270">
        <v>2.1916282E7</v>
      </c>
      <c r="W35" s="229">
        <v>2.1916282E7</v>
      </c>
      <c r="X35" s="230"/>
      <c r="Y35" s="230"/>
      <c r="Z35" s="230"/>
      <c r="AA35" s="230"/>
      <c r="AB35" s="230"/>
      <c r="AC35" s="231">
        <f t="shared" si="10"/>
        <v>153413974</v>
      </c>
      <c r="AD35" s="273"/>
      <c r="AE35" s="192"/>
      <c r="AF35" s="194"/>
      <c r="AG35" s="194"/>
      <c r="AH35" s="194"/>
      <c r="AI35" s="194"/>
    </row>
    <row r="36" hidden="1">
      <c r="A36" s="126"/>
      <c r="B36" s="195"/>
      <c r="C36" s="196"/>
      <c r="D36" s="254" t="s">
        <v>194</v>
      </c>
      <c r="E36" s="233"/>
      <c r="F36" s="233"/>
      <c r="G36" s="233"/>
      <c r="H36" s="234"/>
      <c r="I36" s="234"/>
      <c r="J36" s="222"/>
      <c r="K36" s="222" t="s">
        <v>189</v>
      </c>
      <c r="L36" s="274"/>
      <c r="M36" s="255"/>
      <c r="N36" s="227"/>
      <c r="O36" s="227"/>
      <c r="P36" s="237"/>
      <c r="Q36" s="270">
        <f t="shared" ref="Q36:S36" si="11">19878871</f>
        <v>19878871</v>
      </c>
      <c r="R36" s="270">
        <f t="shared" si="11"/>
        <v>19878871</v>
      </c>
      <c r="S36" s="270">
        <f t="shared" si="11"/>
        <v>19878871</v>
      </c>
      <c r="T36" s="270">
        <f t="shared" ref="T36:T37" si="13">17908893+10382016</f>
        <v>28290909</v>
      </c>
      <c r="U36" s="275">
        <f t="shared" ref="U36:U37" si="14">19744398</f>
        <v>19744398</v>
      </c>
      <c r="V36" s="238"/>
      <c r="W36" s="238"/>
      <c r="X36" s="238"/>
      <c r="Y36" s="238"/>
      <c r="Z36" s="238"/>
      <c r="AA36" s="238"/>
      <c r="AB36" s="238"/>
      <c r="AC36" s="231">
        <f t="shared" si="10"/>
        <v>107671920</v>
      </c>
      <c r="AD36" s="214"/>
      <c r="AE36" s="192"/>
      <c r="AF36" s="194"/>
      <c r="AG36" s="194"/>
      <c r="AH36" s="194"/>
      <c r="AI36" s="194"/>
    </row>
    <row r="37" hidden="1">
      <c r="A37" s="126"/>
      <c r="B37" s="195"/>
      <c r="C37" s="196"/>
      <c r="D37" s="254" t="s">
        <v>216</v>
      </c>
      <c r="E37" s="233"/>
      <c r="F37" s="233"/>
      <c r="G37" s="233"/>
      <c r="H37" s="234"/>
      <c r="I37" s="234"/>
      <c r="J37" s="222"/>
      <c r="K37" s="222" t="s">
        <v>189</v>
      </c>
      <c r="L37" s="274"/>
      <c r="M37" s="255"/>
      <c r="N37" s="227"/>
      <c r="O37" s="227"/>
      <c r="P37" s="237"/>
      <c r="Q37" s="270">
        <f t="shared" ref="Q37:S37" si="12">19878871</f>
        <v>19878871</v>
      </c>
      <c r="R37" s="270">
        <f t="shared" si="12"/>
        <v>19878871</v>
      </c>
      <c r="S37" s="270">
        <f t="shared" si="12"/>
        <v>19878871</v>
      </c>
      <c r="T37" s="270">
        <f t="shared" si="13"/>
        <v>28290909</v>
      </c>
      <c r="U37" s="275">
        <f t="shared" si="14"/>
        <v>19744398</v>
      </c>
      <c r="V37" s="238"/>
      <c r="W37" s="238"/>
      <c r="X37" s="238"/>
      <c r="Y37" s="238"/>
      <c r="Z37" s="238"/>
      <c r="AA37" s="238"/>
      <c r="AB37" s="238"/>
      <c r="AC37" s="231">
        <f t="shared" si="10"/>
        <v>107671920</v>
      </c>
      <c r="AD37" s="214"/>
      <c r="AE37" s="192"/>
      <c r="AF37" s="194"/>
      <c r="AG37" s="194"/>
      <c r="AH37" s="194"/>
      <c r="AI37" s="194"/>
    </row>
    <row r="38">
      <c r="A38" s="126"/>
      <c r="B38" s="195"/>
      <c r="C38" s="196">
        <v>5.0</v>
      </c>
      <c r="D38" s="197" t="s">
        <v>217</v>
      </c>
      <c r="E38" s="198" t="s">
        <v>186</v>
      </c>
      <c r="F38" s="198" t="s">
        <v>88</v>
      </c>
      <c r="G38" s="198" t="s">
        <v>88</v>
      </c>
      <c r="H38" s="198" t="s">
        <v>218</v>
      </c>
      <c r="I38" s="198" t="s">
        <v>187</v>
      </c>
      <c r="J38" s="198" t="s">
        <v>188</v>
      </c>
      <c r="K38" s="199" t="s">
        <v>189</v>
      </c>
      <c r="L38" s="276">
        <f>1050319067</f>
        <v>1050319067</v>
      </c>
      <c r="M38" s="257" t="s">
        <v>219</v>
      </c>
      <c r="N38" s="258"/>
      <c r="O38" s="258">
        <v>45292.0</v>
      </c>
      <c r="P38" s="259">
        <v>45657.0</v>
      </c>
      <c r="Q38" s="204">
        <v>8.1881522E7</v>
      </c>
      <c r="R38" s="204">
        <v>8.1881522E7</v>
      </c>
      <c r="S38" s="204">
        <v>8.1881522E7</v>
      </c>
      <c r="T38" s="204">
        <v>8.1881522E7</v>
      </c>
      <c r="U38" s="204">
        <v>8.1881522E7</v>
      </c>
      <c r="V38" s="204">
        <v>8.1881522E7</v>
      </c>
      <c r="W38" s="204">
        <v>8.1881522E7</v>
      </c>
      <c r="X38" s="204">
        <v>8.1881522E7</v>
      </c>
      <c r="Y38" s="204">
        <v>8.1881522E7</v>
      </c>
      <c r="Z38" s="204">
        <v>8.1881522E7</v>
      </c>
      <c r="AA38" s="204">
        <v>8.1881522E7</v>
      </c>
      <c r="AB38" s="204">
        <v>8.1881522E7</v>
      </c>
      <c r="AC38" s="205">
        <v>9.82578264E8</v>
      </c>
      <c r="AD38" s="178">
        <f>SUM(Q38:AB38)-AC38</f>
        <v>0</v>
      </c>
      <c r="AE38" s="241"/>
      <c r="AF38" s="194"/>
      <c r="AG38" s="194"/>
      <c r="AH38" s="194"/>
      <c r="AI38" s="194"/>
    </row>
    <row r="39" hidden="1">
      <c r="A39" s="126"/>
      <c r="B39" s="195"/>
      <c r="C39" s="206"/>
      <c r="D39" s="207"/>
      <c r="E39" s="207"/>
      <c r="F39" s="207"/>
      <c r="G39" s="207"/>
      <c r="H39" s="206"/>
      <c r="I39" s="206"/>
      <c r="J39" s="206"/>
      <c r="K39" s="206" t="s">
        <v>189</v>
      </c>
      <c r="L39" s="277">
        <f>(1331431319-1050319067)</f>
        <v>281112252</v>
      </c>
      <c r="M39" s="278" t="s">
        <v>220</v>
      </c>
      <c r="N39" s="262"/>
      <c r="O39" s="262"/>
      <c r="P39" s="210">
        <v>45747.0</v>
      </c>
      <c r="Q39" s="268">
        <f>L39/3</f>
        <v>93704084</v>
      </c>
      <c r="R39" s="268">
        <f t="shared" ref="R39:S39" si="15">Q39</f>
        <v>93704084</v>
      </c>
      <c r="S39" s="268">
        <f t="shared" si="15"/>
        <v>93704084</v>
      </c>
      <c r="T39" s="279"/>
      <c r="U39" s="212"/>
      <c r="V39" s="212"/>
      <c r="W39" s="212"/>
      <c r="X39" s="212"/>
      <c r="Y39" s="212"/>
      <c r="Z39" s="212"/>
      <c r="AA39" s="212"/>
      <c r="AB39" s="212"/>
      <c r="AC39" s="213">
        <f t="shared" ref="AC39:AC44" si="16">SUM(Q39:AB39)</f>
        <v>281112252</v>
      </c>
      <c r="AD39" s="273"/>
      <c r="AE39" s="192"/>
      <c r="AF39" s="194"/>
      <c r="AG39" s="194"/>
      <c r="AH39" s="194"/>
      <c r="AI39" s="194"/>
    </row>
    <row r="40" hidden="1">
      <c r="A40" s="126"/>
      <c r="B40" s="195"/>
      <c r="C40" s="206"/>
      <c r="D40" s="220"/>
      <c r="E40" s="207"/>
      <c r="F40" s="207"/>
      <c r="G40" s="207"/>
      <c r="H40" s="206"/>
      <c r="I40" s="206"/>
      <c r="J40" s="206"/>
      <c r="K40" s="206" t="s">
        <v>189</v>
      </c>
      <c r="L40" s="280">
        <f>278602239</f>
        <v>278602239</v>
      </c>
      <c r="M40" s="281" t="s">
        <v>221</v>
      </c>
      <c r="N40" s="266"/>
      <c r="O40" s="266"/>
      <c r="P40" s="266">
        <v>45838.0</v>
      </c>
      <c r="Q40" s="267"/>
      <c r="R40" s="267"/>
      <c r="S40" s="267"/>
      <c r="T40" s="268">
        <f>L40/3</f>
        <v>92867413</v>
      </c>
      <c r="U40" s="212">
        <f>L40/3</f>
        <v>92867413</v>
      </c>
      <c r="V40" s="212">
        <f>L40/3</f>
        <v>92867413</v>
      </c>
      <c r="W40" s="212"/>
      <c r="X40" s="212"/>
      <c r="Y40" s="212"/>
      <c r="Z40" s="212"/>
      <c r="AA40" s="212"/>
      <c r="AB40" s="212"/>
      <c r="AC40" s="213">
        <f t="shared" si="16"/>
        <v>278602239</v>
      </c>
      <c r="AD40" s="273"/>
      <c r="AE40" s="192"/>
      <c r="AF40" s="194"/>
      <c r="AG40" s="194"/>
      <c r="AH40" s="194"/>
      <c r="AI40" s="194"/>
    </row>
    <row r="41" hidden="1">
      <c r="A41" s="126"/>
      <c r="B41" s="195"/>
      <c r="C41" s="206"/>
      <c r="D41" s="220" t="s">
        <v>207</v>
      </c>
      <c r="E41" s="207"/>
      <c r="F41" s="207"/>
      <c r="G41" s="207"/>
      <c r="H41" s="206"/>
      <c r="I41" s="206"/>
      <c r="J41" s="221"/>
      <c r="K41" s="221" t="s">
        <v>189</v>
      </c>
      <c r="L41" s="282">
        <v>1.8573488E8</v>
      </c>
      <c r="M41" s="265" t="s">
        <v>214</v>
      </c>
      <c r="N41" s="283"/>
      <c r="O41" s="283"/>
      <c r="P41" s="266">
        <v>45900.0</v>
      </c>
      <c r="Q41" s="267"/>
      <c r="R41" s="267"/>
      <c r="S41" s="267"/>
      <c r="T41" s="267"/>
      <c r="U41" s="267"/>
      <c r="V41" s="212"/>
      <c r="W41" s="212"/>
      <c r="X41" s="212"/>
      <c r="Y41" s="212"/>
      <c r="Z41" s="212"/>
      <c r="AA41" s="212"/>
      <c r="AB41" s="212"/>
      <c r="AC41" s="213">
        <f t="shared" si="16"/>
        <v>0</v>
      </c>
      <c r="AD41" s="284"/>
      <c r="AE41" s="192"/>
      <c r="AF41" s="194"/>
      <c r="AG41" s="194"/>
      <c r="AH41" s="194"/>
      <c r="AI41" s="194"/>
    </row>
    <row r="42" hidden="1">
      <c r="A42" s="126"/>
      <c r="B42" s="195"/>
      <c r="C42" s="222"/>
      <c r="D42" s="250" t="s">
        <v>222</v>
      </c>
      <c r="E42" s="224"/>
      <c r="F42" s="224"/>
      <c r="G42" s="224"/>
      <c r="H42" s="222"/>
      <c r="I42" s="222"/>
      <c r="J42" s="222"/>
      <c r="K42" s="222" t="s">
        <v>189</v>
      </c>
      <c r="L42" s="225"/>
      <c r="M42" s="236"/>
      <c r="N42" s="285"/>
      <c r="O42" s="285"/>
      <c r="P42" s="285"/>
      <c r="Q42" s="270">
        <v>9.286744E7</v>
      </c>
      <c r="R42" s="270">
        <v>9.286744E7</v>
      </c>
      <c r="S42" s="270">
        <v>9.286744E7</v>
      </c>
      <c r="T42" s="229">
        <f t="shared" ref="T42:W42" si="17">92867440</f>
        <v>92867440</v>
      </c>
      <c r="U42" s="229">
        <f t="shared" si="17"/>
        <v>92867440</v>
      </c>
      <c r="V42" s="229">
        <f t="shared" si="17"/>
        <v>92867440</v>
      </c>
      <c r="W42" s="229">
        <f t="shared" si="17"/>
        <v>92867440</v>
      </c>
      <c r="X42" s="230"/>
      <c r="Y42" s="230"/>
      <c r="Z42" s="230"/>
      <c r="AA42" s="230"/>
      <c r="AB42" s="230"/>
      <c r="AC42" s="231">
        <f t="shared" si="16"/>
        <v>650072080</v>
      </c>
      <c r="AD42" s="284"/>
      <c r="AE42" s="192"/>
      <c r="AF42" s="194"/>
      <c r="AG42" s="194"/>
      <c r="AH42" s="194"/>
      <c r="AI42" s="194"/>
    </row>
    <row r="43" hidden="1">
      <c r="A43" s="126"/>
      <c r="B43" s="181"/>
      <c r="C43" s="222"/>
      <c r="D43" s="286" t="s">
        <v>194</v>
      </c>
      <c r="E43" s="233"/>
      <c r="F43" s="233"/>
      <c r="G43" s="233"/>
      <c r="H43" s="234"/>
      <c r="I43" s="234"/>
      <c r="J43" s="222"/>
      <c r="K43" s="222" t="s">
        <v>189</v>
      </c>
      <c r="L43" s="287"/>
      <c r="M43" s="236"/>
      <c r="N43" s="285"/>
      <c r="O43" s="285"/>
      <c r="P43" s="285"/>
      <c r="Q43" s="270">
        <v>9.286744E7</v>
      </c>
      <c r="R43" s="270">
        <v>9.286744E7</v>
      </c>
      <c r="S43" s="270">
        <v>9.286744E7</v>
      </c>
      <c r="T43" s="288"/>
      <c r="U43" s="288"/>
      <c r="V43" s="288"/>
      <c r="W43" s="288"/>
      <c r="X43" s="288"/>
      <c r="Y43" s="288"/>
      <c r="Z43" s="288"/>
      <c r="AA43" s="288"/>
      <c r="AB43" s="288"/>
      <c r="AC43" s="231">
        <f t="shared" si="16"/>
        <v>278602320</v>
      </c>
      <c r="AD43" s="284"/>
      <c r="AE43" s="192"/>
      <c r="AF43" s="194"/>
      <c r="AG43" s="194"/>
      <c r="AH43" s="194"/>
      <c r="AI43" s="194"/>
    </row>
    <row r="44" hidden="1">
      <c r="A44" s="126"/>
      <c r="B44" s="181"/>
      <c r="C44" s="222"/>
      <c r="D44" s="286" t="s">
        <v>223</v>
      </c>
      <c r="E44" s="233"/>
      <c r="F44" s="233"/>
      <c r="G44" s="233"/>
      <c r="H44" s="234"/>
      <c r="I44" s="234"/>
      <c r="J44" s="222"/>
      <c r="K44" s="222" t="s">
        <v>189</v>
      </c>
      <c r="L44" s="287"/>
      <c r="M44" s="236"/>
      <c r="N44" s="285"/>
      <c r="O44" s="285"/>
      <c r="P44" s="285"/>
      <c r="Q44" s="270">
        <v>9.286744E7</v>
      </c>
      <c r="R44" s="270">
        <v>9.286744E7</v>
      </c>
      <c r="S44" s="270">
        <v>9.286744E7</v>
      </c>
      <c r="T44" s="288"/>
      <c r="U44" s="288"/>
      <c r="V44" s="288"/>
      <c r="W44" s="288"/>
      <c r="X44" s="288"/>
      <c r="Y44" s="288"/>
      <c r="Z44" s="288"/>
      <c r="AA44" s="288"/>
      <c r="AB44" s="288"/>
      <c r="AC44" s="231">
        <f t="shared" si="16"/>
        <v>278602320</v>
      </c>
      <c r="AD44" s="284"/>
      <c r="AE44" s="192"/>
      <c r="AF44" s="194"/>
      <c r="AG44" s="194"/>
      <c r="AH44" s="194"/>
      <c r="AI44" s="194"/>
    </row>
    <row r="45" hidden="1">
      <c r="A45" s="126"/>
      <c r="B45" s="181"/>
      <c r="C45" s="289"/>
      <c r="D45" s="290" t="s">
        <v>224</v>
      </c>
      <c r="E45" s="260"/>
      <c r="F45" s="260"/>
      <c r="G45" s="260"/>
      <c r="H45" s="291"/>
      <c r="I45" s="291"/>
      <c r="J45" s="292"/>
      <c r="K45" s="292" t="s">
        <v>189</v>
      </c>
      <c r="L45" s="293"/>
      <c r="M45" s="294"/>
      <c r="N45" s="295"/>
      <c r="O45" s="295"/>
      <c r="P45" s="295"/>
      <c r="Q45" s="296">
        <f t="shared" ref="Q45:AC45" si="18">Q11+Q12+Q13+Q18+Q19+Q20+Q25+Q26+Q27+Q32+Q33+Q34+Q39+Q40+Q41</f>
        <v>294862682.5</v>
      </c>
      <c r="R45" s="296">
        <f t="shared" si="18"/>
        <v>294862682.5</v>
      </c>
      <c r="S45" s="296">
        <f t="shared" si="18"/>
        <v>294862682.5</v>
      </c>
      <c r="T45" s="296">
        <f t="shared" si="18"/>
        <v>287495652.1</v>
      </c>
      <c r="U45" s="296">
        <f t="shared" si="18"/>
        <v>287495652.1</v>
      </c>
      <c r="V45" s="296">
        <f t="shared" si="18"/>
        <v>168126282.7</v>
      </c>
      <c r="W45" s="296">
        <f t="shared" si="18"/>
        <v>0</v>
      </c>
      <c r="X45" s="296">
        <f t="shared" si="18"/>
        <v>0</v>
      </c>
      <c r="Y45" s="296">
        <f t="shared" si="18"/>
        <v>0</v>
      </c>
      <c r="Z45" s="296">
        <f t="shared" si="18"/>
        <v>0</v>
      </c>
      <c r="AA45" s="296">
        <f t="shared" si="18"/>
        <v>0</v>
      </c>
      <c r="AB45" s="296">
        <f t="shared" si="18"/>
        <v>0</v>
      </c>
      <c r="AC45" s="297">
        <f t="shared" si="18"/>
        <v>1627705634</v>
      </c>
      <c r="AD45" s="284"/>
      <c r="AE45" s="192"/>
      <c r="AF45" s="194"/>
      <c r="AG45" s="194"/>
      <c r="AH45" s="194"/>
      <c r="AI45" s="194"/>
    </row>
    <row r="46" hidden="1">
      <c r="A46" s="126"/>
      <c r="B46" s="298"/>
      <c r="C46" s="299"/>
      <c r="D46" s="300" t="s">
        <v>225</v>
      </c>
      <c r="E46" s="233"/>
      <c r="F46" s="233"/>
      <c r="G46" s="233"/>
      <c r="H46" s="301"/>
      <c r="I46" s="301"/>
      <c r="J46" s="302"/>
      <c r="K46" s="303" t="s">
        <v>189</v>
      </c>
      <c r="L46" s="304"/>
      <c r="M46" s="305"/>
      <c r="N46" s="306"/>
      <c r="O46" s="306"/>
      <c r="P46" s="306"/>
      <c r="Q46" s="307">
        <f t="shared" ref="Q46:AC46" si="19">Q14+Q21+Q28+Q35+Q42</f>
        <v>307689547</v>
      </c>
      <c r="R46" s="307">
        <f t="shared" si="19"/>
        <v>307689547</v>
      </c>
      <c r="S46" s="307">
        <f t="shared" si="19"/>
        <v>307689547</v>
      </c>
      <c r="T46" s="308">
        <f t="shared" si="19"/>
        <v>307689522</v>
      </c>
      <c r="U46" s="308">
        <f t="shared" si="19"/>
        <v>307689522</v>
      </c>
      <c r="V46" s="308">
        <f t="shared" si="19"/>
        <v>307689522</v>
      </c>
      <c r="W46" s="307">
        <f t="shared" si="19"/>
        <v>307689522</v>
      </c>
      <c r="X46" s="307">
        <f t="shared" si="19"/>
        <v>0</v>
      </c>
      <c r="Y46" s="307">
        <f t="shared" si="19"/>
        <v>0</v>
      </c>
      <c r="Z46" s="307">
        <f t="shared" si="19"/>
        <v>0</v>
      </c>
      <c r="AA46" s="307">
        <f t="shared" si="19"/>
        <v>0</v>
      </c>
      <c r="AB46" s="307">
        <f t="shared" si="19"/>
        <v>0</v>
      </c>
      <c r="AC46" s="309">
        <f t="shared" si="19"/>
        <v>2153826729</v>
      </c>
      <c r="AD46" s="284"/>
      <c r="AE46" s="192"/>
      <c r="AF46" s="310">
        <f t="shared" ref="AF46:AF47" si="21">AC46-AC47</f>
        <v>956418348</v>
      </c>
      <c r="AG46" s="311" t="s">
        <v>226</v>
      </c>
      <c r="AH46" s="194"/>
      <c r="AI46" s="194"/>
    </row>
    <row r="47" hidden="1">
      <c r="A47" s="126"/>
      <c r="B47" s="298"/>
      <c r="C47" s="312"/>
      <c r="D47" s="313" t="s">
        <v>227</v>
      </c>
      <c r="E47" s="233"/>
      <c r="F47" s="233"/>
      <c r="G47" s="233"/>
      <c r="H47" s="234"/>
      <c r="I47" s="234"/>
      <c r="J47" s="222"/>
      <c r="K47" s="222" t="s">
        <v>189</v>
      </c>
      <c r="L47" s="287"/>
      <c r="M47" s="236"/>
      <c r="N47" s="285"/>
      <c r="O47" s="285"/>
      <c r="P47" s="285"/>
      <c r="Q47" s="288">
        <f t="shared" ref="Q47:AC47" si="20">Q15+Q22+Q29+Q36+Q43</f>
        <v>305652136</v>
      </c>
      <c r="R47" s="288">
        <f t="shared" si="20"/>
        <v>305652136</v>
      </c>
      <c r="S47" s="288">
        <f t="shared" si="20"/>
        <v>305652136</v>
      </c>
      <c r="T47" s="314">
        <f t="shared" si="20"/>
        <v>144499242</v>
      </c>
      <c r="U47" s="314">
        <f t="shared" si="20"/>
        <v>135952731</v>
      </c>
      <c r="V47" s="314">
        <f t="shared" si="20"/>
        <v>0</v>
      </c>
      <c r="W47" s="288">
        <f t="shared" si="20"/>
        <v>0</v>
      </c>
      <c r="X47" s="288">
        <f t="shared" si="20"/>
        <v>0</v>
      </c>
      <c r="Y47" s="288">
        <f t="shared" si="20"/>
        <v>0</v>
      </c>
      <c r="Z47" s="288">
        <f t="shared" si="20"/>
        <v>0</v>
      </c>
      <c r="AA47" s="288">
        <f t="shared" si="20"/>
        <v>0</v>
      </c>
      <c r="AB47" s="288">
        <f t="shared" si="20"/>
        <v>0</v>
      </c>
      <c r="AC47" s="315">
        <f t="shared" si="20"/>
        <v>1197408381</v>
      </c>
      <c r="AD47" s="214"/>
      <c r="AE47" s="192"/>
      <c r="AF47" s="316">
        <f t="shared" si="21"/>
        <v>232416666</v>
      </c>
      <c r="AG47" s="311" t="s">
        <v>228</v>
      </c>
      <c r="AH47" s="194"/>
      <c r="AI47" s="194"/>
    </row>
    <row r="48" hidden="1">
      <c r="A48" s="126"/>
      <c r="B48" s="298"/>
      <c r="C48" s="317"/>
      <c r="D48" s="318" t="s">
        <v>229</v>
      </c>
      <c r="E48" s="233"/>
      <c r="F48" s="233"/>
      <c r="G48" s="233"/>
      <c r="H48" s="319"/>
      <c r="I48" s="319"/>
      <c r="J48" s="320"/>
      <c r="K48" s="320" t="s">
        <v>189</v>
      </c>
      <c r="L48" s="321"/>
      <c r="M48" s="322"/>
      <c r="N48" s="323"/>
      <c r="O48" s="323"/>
      <c r="P48" s="323"/>
      <c r="Q48" s="324">
        <f t="shared" ref="Q48:AC48" si="22">Q16+Q23+Q30+Q37+Q44</f>
        <v>305652136</v>
      </c>
      <c r="R48" s="324">
        <f t="shared" si="22"/>
        <v>305652136</v>
      </c>
      <c r="S48" s="324">
        <f t="shared" si="22"/>
        <v>305652136</v>
      </c>
      <c r="T48" s="325">
        <f t="shared" si="22"/>
        <v>28290909</v>
      </c>
      <c r="U48" s="325">
        <f t="shared" si="22"/>
        <v>19744398</v>
      </c>
      <c r="V48" s="326">
        <f t="shared" si="22"/>
        <v>0</v>
      </c>
      <c r="W48" s="326">
        <f t="shared" si="22"/>
        <v>0</v>
      </c>
      <c r="X48" s="326">
        <f t="shared" si="22"/>
        <v>0</v>
      </c>
      <c r="Y48" s="326">
        <f t="shared" si="22"/>
        <v>0</v>
      </c>
      <c r="Z48" s="326">
        <f t="shared" si="22"/>
        <v>0</v>
      </c>
      <c r="AA48" s="326">
        <f t="shared" si="22"/>
        <v>0</v>
      </c>
      <c r="AB48" s="326">
        <f t="shared" si="22"/>
        <v>0</v>
      </c>
      <c r="AC48" s="327">
        <f t="shared" si="22"/>
        <v>964991715</v>
      </c>
      <c r="AD48" s="214"/>
      <c r="AE48" s="192"/>
      <c r="AF48" s="328">
        <f>AC48</f>
        <v>964991715</v>
      </c>
      <c r="AG48" s="311" t="s">
        <v>148</v>
      </c>
      <c r="AH48" s="194"/>
      <c r="AI48" s="194"/>
    </row>
    <row r="49">
      <c r="A49" s="126"/>
      <c r="B49" s="181">
        <v>2.0</v>
      </c>
      <c r="C49" s="329" t="s">
        <v>30</v>
      </c>
      <c r="D49" s="330"/>
      <c r="E49" s="331"/>
      <c r="F49" s="331"/>
      <c r="G49" s="331"/>
      <c r="H49" s="332"/>
      <c r="I49" s="332"/>
      <c r="J49" s="333"/>
      <c r="K49" s="333" t="s">
        <v>230</v>
      </c>
      <c r="L49" s="334" t="str">
        <f>L50+L56+L62+L69+L74+L80+L87+L93+L99+L104+L110+L119+L124+L130+#REF!+#REF!</f>
        <v>#REF!</v>
      </c>
      <c r="M49" s="335"/>
      <c r="N49" s="336"/>
      <c r="O49" s="336"/>
      <c r="P49" s="336"/>
      <c r="Q49" s="337">
        <f t="shared" ref="Q49:AB49" si="23">Q50+Q56+Q62+Q69+Q74+Q80+Q87+Q93+Q99+Q104+Q110+Q119+Q124+Q130+Q136</f>
        <v>7441577366</v>
      </c>
      <c r="R49" s="337">
        <f t="shared" si="23"/>
        <v>7293135729</v>
      </c>
      <c r="S49" s="337">
        <f t="shared" si="23"/>
        <v>7441577366</v>
      </c>
      <c r="T49" s="337">
        <f t="shared" si="23"/>
        <v>5907680449</v>
      </c>
      <c r="U49" s="337">
        <f t="shared" si="23"/>
        <v>5907680449</v>
      </c>
      <c r="V49" s="337">
        <f t="shared" si="23"/>
        <v>5907680449</v>
      </c>
      <c r="W49" s="337">
        <f t="shared" si="23"/>
        <v>5907680449</v>
      </c>
      <c r="X49" s="337">
        <f t="shared" si="23"/>
        <v>5907680449</v>
      </c>
      <c r="Y49" s="337">
        <f t="shared" si="23"/>
        <v>5907680449</v>
      </c>
      <c r="Z49" s="337">
        <f t="shared" si="23"/>
        <v>5907680449</v>
      </c>
      <c r="AA49" s="337">
        <f t="shared" si="23"/>
        <v>5907680449</v>
      </c>
      <c r="AB49" s="337">
        <f t="shared" si="23"/>
        <v>5907680449</v>
      </c>
      <c r="AC49" s="338">
        <f t="shared" ref="AC49:AC157" si="24">SUM(Q49:AB49)</f>
        <v>75345414500</v>
      </c>
      <c r="AD49" s="178">
        <f>AC49-AE49</f>
        <v>0.3175964355</v>
      </c>
      <c r="AE49" s="192">
        <f>'Proker New'!Y12</f>
        <v>75345414500</v>
      </c>
      <c r="AF49" s="193" t="str">
        <f>C49</f>
        <v>Sumatra Utara - Medan (MES)</v>
      </c>
      <c r="AG49" s="194"/>
      <c r="AH49" s="194"/>
      <c r="AI49" s="194"/>
    </row>
    <row r="50">
      <c r="A50" s="126"/>
      <c r="B50" s="195"/>
      <c r="C50" s="196">
        <v>1.0</v>
      </c>
      <c r="D50" s="197" t="s">
        <v>231</v>
      </c>
      <c r="E50" s="198" t="s">
        <v>186</v>
      </c>
      <c r="F50" s="198" t="s">
        <v>103</v>
      </c>
      <c r="G50" s="198" t="s">
        <v>86</v>
      </c>
      <c r="H50" s="198" t="s">
        <v>86</v>
      </c>
      <c r="I50" s="198" t="s">
        <v>187</v>
      </c>
      <c r="J50" s="198" t="s">
        <v>188</v>
      </c>
      <c r="K50" s="199" t="s">
        <v>232</v>
      </c>
      <c r="L50" s="339">
        <v>1.568818457E9</v>
      </c>
      <c r="M50" s="340" t="s">
        <v>233</v>
      </c>
      <c r="N50" s="259"/>
      <c r="O50" s="259">
        <v>45292.0</v>
      </c>
      <c r="P50" s="259">
        <v>45657.0</v>
      </c>
      <c r="Q50" s="204">
        <v>6.7878829E7</v>
      </c>
      <c r="R50" s="204">
        <v>6.7878829E7</v>
      </c>
      <c r="S50" s="204">
        <v>6.7878829E7</v>
      </c>
      <c r="T50" s="204">
        <v>6.7878829E7</v>
      </c>
      <c r="U50" s="204">
        <v>6.7878829E7</v>
      </c>
      <c r="V50" s="204">
        <v>6.7878829E7</v>
      </c>
      <c r="W50" s="204">
        <v>6.7878829E7</v>
      </c>
      <c r="X50" s="204">
        <v>6.7878829E7</v>
      </c>
      <c r="Y50" s="204">
        <v>6.7878829E7</v>
      </c>
      <c r="Z50" s="204">
        <v>6.7878829E7</v>
      </c>
      <c r="AA50" s="204">
        <v>6.7878829E7</v>
      </c>
      <c r="AB50" s="204">
        <v>6.7878829E7</v>
      </c>
      <c r="AC50" s="205">
        <f t="shared" si="24"/>
        <v>814545948</v>
      </c>
      <c r="AD50" s="178">
        <f>SUM(Q50:AB50)-AC50</f>
        <v>0</v>
      </c>
      <c r="AE50" s="192"/>
      <c r="AF50" s="194"/>
      <c r="AG50" s="194"/>
      <c r="AH50" s="194"/>
      <c r="AI50" s="194"/>
    </row>
    <row r="51" hidden="1">
      <c r="A51" s="126"/>
      <c r="B51" s="195"/>
      <c r="C51" s="206"/>
      <c r="D51" s="220" t="s">
        <v>234</v>
      </c>
      <c r="E51" s="215"/>
      <c r="F51" s="207"/>
      <c r="G51" s="215"/>
      <c r="H51" s="206"/>
      <c r="I51" s="206"/>
      <c r="J51" s="206"/>
      <c r="K51" s="206" t="s">
        <v>232</v>
      </c>
      <c r="L51" s="282">
        <v>4.71294E8</v>
      </c>
      <c r="M51" s="265" t="s">
        <v>235</v>
      </c>
      <c r="N51" s="341"/>
      <c r="O51" s="341">
        <v>45658.0</v>
      </c>
      <c r="P51" s="266">
        <v>45838.0</v>
      </c>
      <c r="Q51" s="267">
        <v>7.8549E7</v>
      </c>
      <c r="R51" s="267">
        <v>7.8549E7</v>
      </c>
      <c r="S51" s="267">
        <v>7.8549E7</v>
      </c>
      <c r="T51" s="267">
        <v>7.8549E7</v>
      </c>
      <c r="U51" s="267">
        <v>7.8549E7</v>
      </c>
      <c r="V51" s="267">
        <v>7.8549E7</v>
      </c>
      <c r="W51" s="342"/>
      <c r="X51" s="212"/>
      <c r="Y51" s="212"/>
      <c r="Z51" s="212"/>
      <c r="AA51" s="212"/>
      <c r="AB51" s="212"/>
      <c r="AC51" s="213">
        <f t="shared" si="24"/>
        <v>471294000</v>
      </c>
      <c r="AD51" s="284"/>
      <c r="AE51" s="192"/>
      <c r="AF51" s="194"/>
      <c r="AG51" s="194"/>
      <c r="AH51" s="194"/>
      <c r="AI51" s="194"/>
    </row>
    <row r="52" hidden="1">
      <c r="A52" s="126"/>
      <c r="B52" s="195"/>
      <c r="C52" s="206"/>
      <c r="D52" s="220" t="s">
        <v>236</v>
      </c>
      <c r="E52" s="207"/>
      <c r="F52" s="207"/>
      <c r="G52" s="207"/>
      <c r="H52" s="206"/>
      <c r="I52" s="206"/>
      <c r="J52" s="242"/>
      <c r="K52" s="242" t="s">
        <v>232</v>
      </c>
      <c r="L52" s="277"/>
      <c r="M52" s="265" t="s">
        <v>237</v>
      </c>
      <c r="N52" s="341"/>
      <c r="O52" s="341">
        <f>P51+1</f>
        <v>45839</v>
      </c>
      <c r="P52" s="266">
        <v>45900.0</v>
      </c>
      <c r="Q52" s="267"/>
      <c r="R52" s="267"/>
      <c r="S52" s="267"/>
      <c r="T52" s="267"/>
      <c r="U52" s="267"/>
      <c r="V52" s="212"/>
      <c r="W52" s="212"/>
      <c r="X52" s="212"/>
      <c r="Y52" s="212"/>
      <c r="Z52" s="212"/>
      <c r="AA52" s="212"/>
      <c r="AB52" s="212"/>
      <c r="AC52" s="213">
        <f t="shared" si="24"/>
        <v>0</v>
      </c>
      <c r="AD52" s="343"/>
      <c r="AE52" s="344"/>
      <c r="AF52" s="345"/>
      <c r="AG52" s="345"/>
      <c r="AH52" s="345"/>
      <c r="AI52" s="345"/>
    </row>
    <row r="53" hidden="1">
      <c r="A53" s="126"/>
      <c r="B53" s="195"/>
      <c r="C53" s="222"/>
      <c r="D53" s="250" t="s">
        <v>238</v>
      </c>
      <c r="E53" s="224"/>
      <c r="F53" s="224"/>
      <c r="G53" s="224"/>
      <c r="H53" s="222"/>
      <c r="I53" s="222"/>
      <c r="J53" s="222"/>
      <c r="K53" s="222" t="s">
        <v>232</v>
      </c>
      <c r="L53" s="225"/>
      <c r="M53" s="226"/>
      <c r="N53" s="227"/>
      <c r="O53" s="227"/>
      <c r="P53" s="227"/>
      <c r="Q53" s="229">
        <v>7.0764864E7</v>
      </c>
      <c r="R53" s="229">
        <f>Q53</f>
        <v>70764864</v>
      </c>
      <c r="S53" s="229">
        <v>7.076486486486486E7</v>
      </c>
      <c r="T53" s="229">
        <v>7.076486486486486E7</v>
      </c>
      <c r="U53" s="229">
        <v>7.076486486486486E7</v>
      </c>
      <c r="V53" s="229">
        <v>7.8549E7</v>
      </c>
      <c r="W53" s="230"/>
      <c r="X53" s="230"/>
      <c r="Y53" s="230"/>
      <c r="Z53" s="230"/>
      <c r="AA53" s="230"/>
      <c r="AB53" s="230"/>
      <c r="AC53" s="231">
        <f t="shared" si="24"/>
        <v>432373322.6</v>
      </c>
      <c r="AD53" s="343"/>
      <c r="AE53" s="344"/>
      <c r="AF53" s="194"/>
      <c r="AG53" s="345"/>
      <c r="AH53" s="345"/>
      <c r="AI53" s="345"/>
    </row>
    <row r="54" hidden="1">
      <c r="A54" s="126"/>
      <c r="B54" s="195"/>
      <c r="C54" s="196"/>
      <c r="D54" s="254" t="s">
        <v>194</v>
      </c>
      <c r="E54" s="233"/>
      <c r="F54" s="233"/>
      <c r="G54" s="233"/>
      <c r="H54" s="234"/>
      <c r="I54" s="234"/>
      <c r="J54" s="222"/>
      <c r="K54" s="222" t="s">
        <v>232</v>
      </c>
      <c r="L54" s="346"/>
      <c r="M54" s="255"/>
      <c r="N54" s="237"/>
      <c r="O54" s="237"/>
      <c r="P54" s="237"/>
      <c r="Q54" s="238"/>
      <c r="R54" s="238"/>
      <c r="S54" s="238"/>
      <c r="T54" s="238"/>
      <c r="U54" s="238"/>
      <c r="V54" s="238"/>
      <c r="W54" s="238"/>
      <c r="X54" s="238"/>
      <c r="Y54" s="238"/>
      <c r="Z54" s="238"/>
      <c r="AA54" s="238"/>
      <c r="AB54" s="238"/>
      <c r="AC54" s="231">
        <f t="shared" si="24"/>
        <v>0</v>
      </c>
      <c r="AD54" s="214"/>
      <c r="AE54" s="344"/>
      <c r="AF54" s="194"/>
      <c r="AG54" s="345"/>
      <c r="AH54" s="345"/>
      <c r="AI54" s="345"/>
    </row>
    <row r="55" hidden="1">
      <c r="A55" s="126"/>
      <c r="B55" s="195"/>
      <c r="C55" s="196"/>
      <c r="D55" s="254" t="s">
        <v>239</v>
      </c>
      <c r="E55" s="233"/>
      <c r="F55" s="233"/>
      <c r="G55" s="233"/>
      <c r="H55" s="234"/>
      <c r="I55" s="234"/>
      <c r="J55" s="222"/>
      <c r="K55" s="222" t="s">
        <v>232</v>
      </c>
      <c r="L55" s="346"/>
      <c r="M55" s="255"/>
      <c r="N55" s="237"/>
      <c r="O55" s="237"/>
      <c r="P55" s="237"/>
      <c r="Q55" s="238"/>
      <c r="R55" s="238"/>
      <c r="S55" s="238"/>
      <c r="T55" s="238"/>
      <c r="U55" s="238"/>
      <c r="V55" s="238"/>
      <c r="W55" s="238"/>
      <c r="X55" s="238"/>
      <c r="Y55" s="238"/>
      <c r="Z55" s="238"/>
      <c r="AA55" s="238"/>
      <c r="AB55" s="238"/>
      <c r="AC55" s="231">
        <f t="shared" si="24"/>
        <v>0</v>
      </c>
      <c r="AD55" s="214"/>
      <c r="AE55" s="344"/>
      <c r="AF55" s="194"/>
      <c r="AG55" s="345"/>
      <c r="AH55" s="345"/>
      <c r="AI55" s="345"/>
    </row>
    <row r="56">
      <c r="A56" s="126"/>
      <c r="B56" s="195"/>
      <c r="C56" s="196">
        <v>2.0</v>
      </c>
      <c r="D56" s="197" t="s">
        <v>240</v>
      </c>
      <c r="E56" s="198" t="s">
        <v>186</v>
      </c>
      <c r="F56" s="198" t="s">
        <v>88</v>
      </c>
      <c r="G56" s="198" t="s">
        <v>88</v>
      </c>
      <c r="H56" s="198" t="s">
        <v>218</v>
      </c>
      <c r="I56" s="198" t="s">
        <v>187</v>
      </c>
      <c r="J56" s="198" t="s">
        <v>188</v>
      </c>
      <c r="K56" s="199" t="s">
        <v>232</v>
      </c>
      <c r="L56" s="347">
        <f>911203322</f>
        <v>911203322</v>
      </c>
      <c r="M56" s="257" t="s">
        <v>241</v>
      </c>
      <c r="N56" s="259"/>
      <c r="O56" s="259">
        <v>45292.0</v>
      </c>
      <c r="P56" s="259">
        <v>45657.0</v>
      </c>
      <c r="Q56" s="204">
        <v>7.0875958E7</v>
      </c>
      <c r="R56" s="204">
        <v>7.0875958E7</v>
      </c>
      <c r="S56" s="204">
        <v>7.0875958E7</v>
      </c>
      <c r="T56" s="204">
        <v>7.0875958E7</v>
      </c>
      <c r="U56" s="204">
        <v>7.0875958E7</v>
      </c>
      <c r="V56" s="204">
        <v>7.0875958E7</v>
      </c>
      <c r="W56" s="204">
        <v>7.0875958E7</v>
      </c>
      <c r="X56" s="204">
        <v>7.0875958E7</v>
      </c>
      <c r="Y56" s="204">
        <v>7.0875958E7</v>
      </c>
      <c r="Z56" s="204">
        <v>7.0875958E7</v>
      </c>
      <c r="AA56" s="204">
        <v>7.0875958E7</v>
      </c>
      <c r="AB56" s="204">
        <v>7.0875958E7</v>
      </c>
      <c r="AC56" s="205">
        <f t="shared" si="24"/>
        <v>850511496</v>
      </c>
      <c r="AD56" s="178">
        <f>SUM(Q56:AB56)-AC56</f>
        <v>0</v>
      </c>
      <c r="AE56" s="344"/>
      <c r="AF56" s="345"/>
      <c r="AG56" s="345"/>
      <c r="AH56" s="345"/>
      <c r="AI56" s="345"/>
    </row>
    <row r="57" hidden="1">
      <c r="A57" s="126"/>
      <c r="B57" s="195"/>
      <c r="C57" s="206"/>
      <c r="D57" s="207"/>
      <c r="E57" s="207"/>
      <c r="F57" s="207"/>
      <c r="G57" s="207"/>
      <c r="H57" s="206"/>
      <c r="I57" s="206"/>
      <c r="J57" s="206"/>
      <c r="K57" s="206" t="s">
        <v>232</v>
      </c>
      <c r="L57" s="348">
        <f>241906159</f>
        <v>241906159</v>
      </c>
      <c r="M57" s="218" t="s">
        <v>242</v>
      </c>
      <c r="N57" s="248"/>
      <c r="O57" s="248">
        <v>45658.0</v>
      </c>
      <c r="P57" s="219">
        <v>45838.0</v>
      </c>
      <c r="Q57" s="267">
        <v>8.0635386E7</v>
      </c>
      <c r="R57" s="268">
        <f t="shared" ref="R57:V57" si="25">Q57</f>
        <v>80635386</v>
      </c>
      <c r="S57" s="268">
        <f t="shared" si="25"/>
        <v>80635386</v>
      </c>
      <c r="T57" s="268">
        <f t="shared" si="25"/>
        <v>80635386</v>
      </c>
      <c r="U57" s="268">
        <f t="shared" si="25"/>
        <v>80635386</v>
      </c>
      <c r="V57" s="268">
        <f t="shared" si="25"/>
        <v>80635386</v>
      </c>
      <c r="W57" s="212"/>
      <c r="X57" s="212"/>
      <c r="Y57" s="212"/>
      <c r="Z57" s="212"/>
      <c r="AA57" s="212"/>
      <c r="AB57" s="212"/>
      <c r="AC57" s="213">
        <f t="shared" si="24"/>
        <v>483812316</v>
      </c>
      <c r="AD57" s="284"/>
      <c r="AE57" s="349"/>
      <c r="AF57" s="350"/>
      <c r="AG57" s="350"/>
      <c r="AH57" s="350"/>
      <c r="AI57" s="350"/>
    </row>
    <row r="58" hidden="1">
      <c r="A58" s="126"/>
      <c r="B58" s="195"/>
      <c r="C58" s="206"/>
      <c r="D58" s="220" t="s">
        <v>243</v>
      </c>
      <c r="E58" s="207"/>
      <c r="F58" s="207"/>
      <c r="G58" s="207"/>
      <c r="H58" s="206"/>
      <c r="I58" s="206"/>
      <c r="J58" s="206"/>
      <c r="K58" s="206" t="s">
        <v>232</v>
      </c>
      <c r="L58" s="351"/>
      <c r="M58" s="265" t="s">
        <v>237</v>
      </c>
      <c r="N58" s="341"/>
      <c r="O58" s="341">
        <f>P57+1</f>
        <v>45839</v>
      </c>
      <c r="P58" s="266">
        <v>45900.0</v>
      </c>
      <c r="Q58" s="267"/>
      <c r="R58" s="268"/>
      <c r="S58" s="268"/>
      <c r="T58" s="268"/>
      <c r="U58" s="352"/>
      <c r="V58" s="352"/>
      <c r="W58" s="212"/>
      <c r="X58" s="212"/>
      <c r="Y58" s="212"/>
      <c r="Z58" s="212"/>
      <c r="AA58" s="212"/>
      <c r="AB58" s="212"/>
      <c r="AC58" s="213">
        <f t="shared" si="24"/>
        <v>0</v>
      </c>
      <c r="AD58" s="284"/>
      <c r="AE58" s="353"/>
      <c r="AF58" s="273"/>
      <c r="AG58" s="273"/>
      <c r="AH58" s="273"/>
      <c r="AI58" s="273"/>
    </row>
    <row r="59" hidden="1">
      <c r="A59" s="126"/>
      <c r="B59" s="195"/>
      <c r="C59" s="222"/>
      <c r="D59" s="250" t="s">
        <v>244</v>
      </c>
      <c r="E59" s="224"/>
      <c r="F59" s="224"/>
      <c r="G59" s="224"/>
      <c r="H59" s="222"/>
      <c r="I59" s="222"/>
      <c r="J59" s="222"/>
      <c r="K59" s="222" t="s">
        <v>232</v>
      </c>
      <c r="L59" s="274"/>
      <c r="M59" s="236"/>
      <c r="N59" s="227"/>
      <c r="O59" s="227"/>
      <c r="P59" s="227"/>
      <c r="Q59" s="229">
        <v>8.0635386E7</v>
      </c>
      <c r="R59" s="238">
        <f t="shared" ref="R59:V59" si="26">Q59</f>
        <v>80635386</v>
      </c>
      <c r="S59" s="238">
        <f t="shared" si="26"/>
        <v>80635386</v>
      </c>
      <c r="T59" s="238">
        <f t="shared" si="26"/>
        <v>80635386</v>
      </c>
      <c r="U59" s="238">
        <f t="shared" si="26"/>
        <v>80635386</v>
      </c>
      <c r="V59" s="238">
        <f t="shared" si="26"/>
        <v>80635386</v>
      </c>
      <c r="W59" s="230"/>
      <c r="X59" s="230"/>
      <c r="Y59" s="230"/>
      <c r="Z59" s="230"/>
      <c r="AA59" s="230"/>
      <c r="AB59" s="230"/>
      <c r="AC59" s="231">
        <f t="shared" si="24"/>
        <v>483812316</v>
      </c>
      <c r="AD59" s="284"/>
      <c r="AE59" s="353"/>
      <c r="AF59" s="194"/>
      <c r="AG59" s="273"/>
      <c r="AH59" s="273"/>
      <c r="AI59" s="273"/>
    </row>
    <row r="60" hidden="1">
      <c r="A60" s="126"/>
      <c r="B60" s="195"/>
      <c r="C60" s="196"/>
      <c r="D60" s="286" t="s">
        <v>194</v>
      </c>
      <c r="E60" s="233"/>
      <c r="F60" s="233"/>
      <c r="G60" s="233"/>
      <c r="H60" s="234"/>
      <c r="I60" s="234"/>
      <c r="J60" s="222"/>
      <c r="K60" s="222" t="s">
        <v>232</v>
      </c>
      <c r="L60" s="225"/>
      <c r="M60" s="255"/>
      <c r="N60" s="237"/>
      <c r="O60" s="237"/>
      <c r="P60" s="237"/>
      <c r="Q60" s="229">
        <v>8.0635386E7</v>
      </c>
      <c r="R60" s="238">
        <f t="shared" ref="R60:U60" si="27">Q60</f>
        <v>80635386</v>
      </c>
      <c r="S60" s="238">
        <f t="shared" si="27"/>
        <v>80635386</v>
      </c>
      <c r="T60" s="238">
        <f t="shared" si="27"/>
        <v>80635386</v>
      </c>
      <c r="U60" s="238">
        <f t="shared" si="27"/>
        <v>80635386</v>
      </c>
      <c r="V60" s="238"/>
      <c r="W60" s="238"/>
      <c r="X60" s="238"/>
      <c r="Y60" s="238"/>
      <c r="Z60" s="238"/>
      <c r="AA60" s="238"/>
      <c r="AB60" s="238"/>
      <c r="AC60" s="231">
        <f t="shared" si="24"/>
        <v>403176930</v>
      </c>
      <c r="AD60" s="214"/>
      <c r="AE60" s="192"/>
      <c r="AF60" s="194"/>
      <c r="AG60" s="194"/>
      <c r="AH60" s="194"/>
      <c r="AI60" s="194"/>
    </row>
    <row r="61" hidden="1">
      <c r="A61" s="126"/>
      <c r="B61" s="195"/>
      <c r="C61" s="196"/>
      <c r="D61" s="286" t="s">
        <v>245</v>
      </c>
      <c r="E61" s="233"/>
      <c r="F61" s="233"/>
      <c r="G61" s="233"/>
      <c r="H61" s="234"/>
      <c r="I61" s="234"/>
      <c r="J61" s="222"/>
      <c r="K61" s="222" t="s">
        <v>232</v>
      </c>
      <c r="L61" s="225"/>
      <c r="M61" s="255"/>
      <c r="N61" s="237"/>
      <c r="O61" s="237"/>
      <c r="P61" s="237"/>
      <c r="Q61" s="238"/>
      <c r="R61" s="238"/>
      <c r="S61" s="238"/>
      <c r="T61" s="238"/>
      <c r="U61" s="238"/>
      <c r="V61" s="238"/>
      <c r="W61" s="238"/>
      <c r="X61" s="238"/>
      <c r="Y61" s="238"/>
      <c r="Z61" s="238"/>
      <c r="AA61" s="238"/>
      <c r="AB61" s="238"/>
      <c r="AC61" s="231">
        <f t="shared" si="24"/>
        <v>0</v>
      </c>
      <c r="AD61" s="214"/>
      <c r="AE61" s="192"/>
      <c r="AF61" s="194"/>
      <c r="AG61" s="194"/>
      <c r="AH61" s="194"/>
      <c r="AI61" s="194"/>
    </row>
    <row r="62">
      <c r="A62" s="126"/>
      <c r="B62" s="195"/>
      <c r="C62" s="196">
        <v>3.0</v>
      </c>
      <c r="D62" s="354" t="s">
        <v>246</v>
      </c>
      <c r="E62" s="198" t="s">
        <v>186</v>
      </c>
      <c r="F62" s="198" t="s">
        <v>88</v>
      </c>
      <c r="G62" s="198" t="s">
        <v>88</v>
      </c>
      <c r="H62" s="198" t="s">
        <v>218</v>
      </c>
      <c r="I62" s="198" t="s">
        <v>187</v>
      </c>
      <c r="J62" s="198" t="s">
        <v>188</v>
      </c>
      <c r="K62" s="199" t="s">
        <v>232</v>
      </c>
      <c r="L62" s="355">
        <f>1568818457</f>
        <v>1568818457</v>
      </c>
      <c r="M62" s="257" t="s">
        <v>247</v>
      </c>
      <c r="N62" s="259"/>
      <c r="O62" s="259">
        <v>45292.0</v>
      </c>
      <c r="P62" s="259">
        <v>45657.0</v>
      </c>
      <c r="Q62" s="204">
        <v>1.25212734E8</v>
      </c>
      <c r="R62" s="204">
        <v>1.25212734E8</v>
      </c>
      <c r="S62" s="204">
        <v>1.25212734E8</v>
      </c>
      <c r="T62" s="204">
        <v>1.25212734E8</v>
      </c>
      <c r="U62" s="204">
        <v>1.25212734E8</v>
      </c>
      <c r="V62" s="204">
        <v>1.25212734E8</v>
      </c>
      <c r="W62" s="204">
        <v>1.25212734E8</v>
      </c>
      <c r="X62" s="204">
        <v>1.25212734E8</v>
      </c>
      <c r="Y62" s="204">
        <v>1.25212734E8</v>
      </c>
      <c r="Z62" s="204">
        <v>1.25212734E8</v>
      </c>
      <c r="AA62" s="204">
        <v>1.25212734E8</v>
      </c>
      <c r="AB62" s="204">
        <v>1.25212734E8</v>
      </c>
      <c r="AC62" s="205">
        <f t="shared" si="24"/>
        <v>1502552808</v>
      </c>
      <c r="AD62" s="178">
        <f>SUM(Q62:AB62)-AC62</f>
        <v>0</v>
      </c>
      <c r="AE62" s="192"/>
      <c r="AF62" s="194"/>
      <c r="AG62" s="194"/>
      <c r="AH62" s="194"/>
      <c r="AI62" s="194"/>
    </row>
    <row r="63" hidden="1">
      <c r="A63" s="126"/>
      <c r="B63" s="195"/>
      <c r="C63" s="206"/>
      <c r="D63" s="215"/>
      <c r="E63" s="207"/>
      <c r="F63" s="207"/>
      <c r="G63" s="207"/>
      <c r="H63" s="206"/>
      <c r="I63" s="206"/>
      <c r="J63" s="206"/>
      <c r="K63" s="206" t="s">
        <v>232</v>
      </c>
      <c r="L63" s="277">
        <f>1605551929-L62</f>
        <v>36733472</v>
      </c>
      <c r="M63" s="209" t="s">
        <v>248</v>
      </c>
      <c r="N63" s="262"/>
      <c r="O63" s="262">
        <v>45292.0</v>
      </c>
      <c r="P63" s="262">
        <v>45657.0</v>
      </c>
      <c r="Q63" s="268"/>
      <c r="R63" s="268"/>
      <c r="S63" s="268"/>
      <c r="T63" s="212"/>
      <c r="U63" s="212"/>
      <c r="V63" s="212"/>
      <c r="W63" s="212"/>
      <c r="X63" s="212"/>
      <c r="Y63" s="212"/>
      <c r="Z63" s="212"/>
      <c r="AA63" s="212"/>
      <c r="AB63" s="212"/>
      <c r="AC63" s="213">
        <f t="shared" si="24"/>
        <v>0</v>
      </c>
      <c r="AD63" s="284"/>
      <c r="AE63" s="192"/>
      <c r="AF63" s="194"/>
      <c r="AG63" s="194"/>
      <c r="AH63" s="194"/>
      <c r="AI63" s="194"/>
    </row>
    <row r="64" hidden="1">
      <c r="A64" s="126"/>
      <c r="B64" s="195"/>
      <c r="C64" s="206"/>
      <c r="D64" s="220"/>
      <c r="E64" s="207"/>
      <c r="F64" s="207"/>
      <c r="G64" s="207"/>
      <c r="H64" s="206"/>
      <c r="I64" s="206"/>
      <c r="J64" s="206"/>
      <c r="K64" s="206" t="s">
        <v>232</v>
      </c>
      <c r="L64" s="282">
        <v>8.52013548E8</v>
      </c>
      <c r="M64" s="218" t="s">
        <v>249</v>
      </c>
      <c r="N64" s="341"/>
      <c r="O64" s="341">
        <v>45658.0</v>
      </c>
      <c r="P64" s="266">
        <v>45838.0</v>
      </c>
      <c r="Q64" s="268">
        <f>L64/6</f>
        <v>142002258</v>
      </c>
      <c r="R64" s="267">
        <f>Q64</f>
        <v>142002258</v>
      </c>
      <c r="S64" s="267">
        <v>1.42002258E8</v>
      </c>
      <c r="T64" s="267">
        <v>1.42002258E8</v>
      </c>
      <c r="U64" s="267">
        <v>1.42002258E8</v>
      </c>
      <c r="V64" s="267">
        <v>1.42002258E8</v>
      </c>
      <c r="W64" s="212"/>
      <c r="X64" s="212"/>
      <c r="Y64" s="212"/>
      <c r="Z64" s="212"/>
      <c r="AA64" s="212"/>
      <c r="AB64" s="212"/>
      <c r="AC64" s="213">
        <f t="shared" si="24"/>
        <v>852013548</v>
      </c>
      <c r="AD64" s="284"/>
      <c r="AE64" s="241"/>
      <c r="AF64" s="194"/>
      <c r="AG64" s="194"/>
      <c r="AH64" s="194"/>
      <c r="AI64" s="194"/>
    </row>
    <row r="65" hidden="1">
      <c r="A65" s="126"/>
      <c r="B65" s="195"/>
      <c r="C65" s="206"/>
      <c r="D65" s="220" t="s">
        <v>243</v>
      </c>
      <c r="E65" s="207"/>
      <c r="F65" s="207"/>
      <c r="G65" s="207"/>
      <c r="H65" s="206"/>
      <c r="I65" s="206"/>
      <c r="J65" s="206"/>
      <c r="K65" s="206" t="s">
        <v>232</v>
      </c>
      <c r="L65" s="280"/>
      <c r="M65" s="356"/>
      <c r="N65" s="341"/>
      <c r="O65" s="341">
        <f>P64+1</f>
        <v>45839</v>
      </c>
      <c r="P65" s="341"/>
      <c r="Q65" s="267"/>
      <c r="R65" s="267"/>
      <c r="S65" s="267"/>
      <c r="T65" s="267"/>
      <c r="U65" s="342"/>
      <c r="V65" s="342"/>
      <c r="W65" s="212"/>
      <c r="X65" s="212"/>
      <c r="Y65" s="212"/>
      <c r="Z65" s="212"/>
      <c r="AA65" s="212"/>
      <c r="AB65" s="212"/>
      <c r="AC65" s="213">
        <f t="shared" si="24"/>
        <v>0</v>
      </c>
      <c r="AD65" s="271"/>
      <c r="AE65" s="241"/>
      <c r="AF65" s="194"/>
      <c r="AG65" s="194"/>
      <c r="AH65" s="194"/>
      <c r="AI65" s="194"/>
    </row>
    <row r="66" hidden="1">
      <c r="A66" s="126"/>
      <c r="B66" s="195"/>
      <c r="C66" s="222"/>
      <c r="D66" s="250" t="s">
        <v>250</v>
      </c>
      <c r="E66" s="224"/>
      <c r="F66" s="224"/>
      <c r="G66" s="224"/>
      <c r="H66" s="222"/>
      <c r="I66" s="222"/>
      <c r="J66" s="222"/>
      <c r="K66" s="222" t="s">
        <v>232</v>
      </c>
      <c r="L66" s="225"/>
      <c r="M66" s="226"/>
      <c r="N66" s="227"/>
      <c r="O66" s="227"/>
      <c r="P66" s="227"/>
      <c r="Q66" s="229">
        <v>1.42002258E8</v>
      </c>
      <c r="R66" s="229">
        <f t="shared" ref="R66:U66" si="28">Q66</f>
        <v>142002258</v>
      </c>
      <c r="S66" s="229">
        <f t="shared" si="28"/>
        <v>142002258</v>
      </c>
      <c r="T66" s="229">
        <f t="shared" si="28"/>
        <v>142002258</v>
      </c>
      <c r="U66" s="229">
        <f t="shared" si="28"/>
        <v>142002258</v>
      </c>
      <c r="V66" s="229">
        <v>1.42002258E8</v>
      </c>
      <c r="W66" s="230"/>
      <c r="X66" s="230"/>
      <c r="Y66" s="230"/>
      <c r="Z66" s="230"/>
      <c r="AA66" s="230"/>
      <c r="AB66" s="230"/>
      <c r="AC66" s="231">
        <f t="shared" si="24"/>
        <v>852013548</v>
      </c>
      <c r="AD66" s="264"/>
      <c r="AE66" s="241"/>
      <c r="AF66" s="194"/>
      <c r="AG66" s="194"/>
      <c r="AH66" s="194"/>
      <c r="AI66" s="194"/>
    </row>
    <row r="67" hidden="1">
      <c r="A67" s="126"/>
      <c r="B67" s="195"/>
      <c r="C67" s="196"/>
      <c r="D67" s="254" t="s">
        <v>194</v>
      </c>
      <c r="E67" s="233"/>
      <c r="F67" s="233"/>
      <c r="G67" s="233"/>
      <c r="H67" s="234"/>
      <c r="I67" s="234"/>
      <c r="J67" s="222"/>
      <c r="K67" s="222" t="s">
        <v>232</v>
      </c>
      <c r="L67" s="357"/>
      <c r="M67" s="358"/>
      <c r="N67" s="359"/>
      <c r="O67" s="359"/>
      <c r="P67" s="359"/>
      <c r="Q67" s="270">
        <v>1.42002258E8</v>
      </c>
      <c r="R67" s="270">
        <f t="shared" ref="R67:U67" si="29">Q67</f>
        <v>142002258</v>
      </c>
      <c r="S67" s="270">
        <f t="shared" si="29"/>
        <v>142002258</v>
      </c>
      <c r="T67" s="270">
        <f t="shared" si="29"/>
        <v>142002258</v>
      </c>
      <c r="U67" s="270">
        <f t="shared" si="29"/>
        <v>142002258</v>
      </c>
      <c r="V67" s="238"/>
      <c r="W67" s="238"/>
      <c r="X67" s="238"/>
      <c r="Y67" s="238"/>
      <c r="Z67" s="238"/>
      <c r="AA67" s="238"/>
      <c r="AB67" s="238"/>
      <c r="AC67" s="231">
        <f t="shared" si="24"/>
        <v>710011290</v>
      </c>
      <c r="AD67" s="214"/>
      <c r="AE67" s="192"/>
      <c r="AF67" s="194"/>
      <c r="AG67" s="194"/>
      <c r="AH67" s="194"/>
      <c r="AI67" s="194"/>
    </row>
    <row r="68" hidden="1">
      <c r="A68" s="126"/>
      <c r="B68" s="195"/>
      <c r="C68" s="196"/>
      <c r="D68" s="254" t="s">
        <v>251</v>
      </c>
      <c r="E68" s="233"/>
      <c r="F68" s="233"/>
      <c r="G68" s="233"/>
      <c r="H68" s="234"/>
      <c r="I68" s="234"/>
      <c r="J68" s="222"/>
      <c r="K68" s="222" t="s">
        <v>232</v>
      </c>
      <c r="L68" s="357"/>
      <c r="M68" s="358"/>
      <c r="N68" s="359"/>
      <c r="O68" s="359"/>
      <c r="P68" s="359"/>
      <c r="Q68" s="238"/>
      <c r="R68" s="238"/>
      <c r="S68" s="238"/>
      <c r="T68" s="238"/>
      <c r="U68" s="238"/>
      <c r="V68" s="238"/>
      <c r="W68" s="238"/>
      <c r="X68" s="238"/>
      <c r="Y68" s="238"/>
      <c r="Z68" s="238"/>
      <c r="AA68" s="238"/>
      <c r="AB68" s="238"/>
      <c r="AC68" s="231">
        <f t="shared" si="24"/>
        <v>0</v>
      </c>
      <c r="AD68" s="214"/>
      <c r="AE68" s="192"/>
      <c r="AF68" s="194"/>
      <c r="AG68" s="194"/>
      <c r="AH68" s="194"/>
      <c r="AI68" s="194"/>
    </row>
    <row r="69">
      <c r="A69" s="126"/>
      <c r="B69" s="195"/>
      <c r="C69" s="196">
        <v>4.0</v>
      </c>
      <c r="D69" s="360" t="s">
        <v>252</v>
      </c>
      <c r="E69" s="198" t="s">
        <v>186</v>
      </c>
      <c r="F69" s="198" t="s">
        <v>103</v>
      </c>
      <c r="G69" s="198" t="s">
        <v>86</v>
      </c>
      <c r="H69" s="198" t="s">
        <v>86</v>
      </c>
      <c r="I69" s="198" t="s">
        <v>253</v>
      </c>
      <c r="J69" s="198" t="s">
        <v>254</v>
      </c>
      <c r="K69" s="199" t="s">
        <v>230</v>
      </c>
      <c r="L69" s="361">
        <f>1138889*24</f>
        <v>27333336</v>
      </c>
      <c r="M69" s="362" t="s">
        <v>255</v>
      </c>
      <c r="N69" s="363"/>
      <c r="O69" s="363">
        <v>45301.0</v>
      </c>
      <c r="P69" s="363">
        <v>46031.0</v>
      </c>
      <c r="Q69" s="204">
        <v>1026026.0</v>
      </c>
      <c r="R69" s="204">
        <v>1026026.0</v>
      </c>
      <c r="S69" s="204">
        <v>1026026.0</v>
      </c>
      <c r="T69" s="204">
        <v>1026026.0</v>
      </c>
      <c r="U69" s="204">
        <v>1026026.0</v>
      </c>
      <c r="V69" s="204">
        <v>1026026.0</v>
      </c>
      <c r="W69" s="204">
        <v>1026026.0</v>
      </c>
      <c r="X69" s="204">
        <v>1026026.0</v>
      </c>
      <c r="Y69" s="204">
        <v>1026026.0</v>
      </c>
      <c r="Z69" s="204">
        <v>1026026.0</v>
      </c>
      <c r="AA69" s="204">
        <v>1026026.0</v>
      </c>
      <c r="AB69" s="204">
        <v>1026026.0</v>
      </c>
      <c r="AC69" s="205">
        <f t="shared" si="24"/>
        <v>12312312</v>
      </c>
      <c r="AD69" s="178">
        <f>SUM(Q69:AB69)-AC69</f>
        <v>0</v>
      </c>
      <c r="AE69" s="192"/>
      <c r="AF69" s="194"/>
      <c r="AG69" s="194"/>
      <c r="AH69" s="194"/>
      <c r="AI69" s="194"/>
    </row>
    <row r="70" hidden="1">
      <c r="A70" s="126"/>
      <c r="B70" s="195"/>
      <c r="C70" s="206"/>
      <c r="D70" s="220" t="s">
        <v>256</v>
      </c>
      <c r="E70" s="207"/>
      <c r="F70" s="207"/>
      <c r="G70" s="207"/>
      <c r="H70" s="206"/>
      <c r="I70" s="206"/>
      <c r="J70" s="206"/>
      <c r="K70" s="206" t="s">
        <v>230</v>
      </c>
      <c r="L70" s="277"/>
      <c r="M70" s="364"/>
      <c r="N70" s="210"/>
      <c r="O70" s="210">
        <f>P69</f>
        <v>46031</v>
      </c>
      <c r="P70" s="210"/>
      <c r="Q70" s="268"/>
      <c r="R70" s="272"/>
      <c r="S70" s="272"/>
      <c r="T70" s="272"/>
      <c r="U70" s="272"/>
      <c r="V70" s="272"/>
      <c r="W70" s="272"/>
      <c r="X70" s="272"/>
      <c r="Y70" s="272"/>
      <c r="Z70" s="272"/>
      <c r="AA70" s="272"/>
      <c r="AB70" s="272"/>
      <c r="AC70" s="213">
        <f t="shared" si="24"/>
        <v>0</v>
      </c>
      <c r="AD70" s="214"/>
      <c r="AE70" s="192"/>
      <c r="AF70" s="194"/>
      <c r="AG70" s="194"/>
      <c r="AH70" s="194"/>
      <c r="AI70" s="194"/>
    </row>
    <row r="71" hidden="1">
      <c r="A71" s="126"/>
      <c r="B71" s="195"/>
      <c r="C71" s="222"/>
      <c r="D71" s="250" t="s">
        <v>257</v>
      </c>
      <c r="E71" s="224"/>
      <c r="F71" s="224"/>
      <c r="G71" s="224"/>
      <c r="H71" s="222"/>
      <c r="I71" s="222"/>
      <c r="J71" s="222"/>
      <c r="K71" s="222" t="s">
        <v>230</v>
      </c>
      <c r="L71" s="225"/>
      <c r="M71" s="236"/>
      <c r="N71" s="285"/>
      <c r="O71" s="285"/>
      <c r="P71" s="285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1">
        <f t="shared" si="24"/>
        <v>0</v>
      </c>
      <c r="AD71" s="214"/>
      <c r="AE71" s="192"/>
      <c r="AF71" s="194"/>
      <c r="AG71" s="194"/>
      <c r="AH71" s="194"/>
      <c r="AI71" s="194"/>
    </row>
    <row r="72" hidden="1">
      <c r="A72" s="126"/>
      <c r="B72" s="195"/>
      <c r="C72" s="196"/>
      <c r="D72" s="286" t="s">
        <v>194</v>
      </c>
      <c r="E72" s="233"/>
      <c r="F72" s="233"/>
      <c r="G72" s="233"/>
      <c r="H72" s="234"/>
      <c r="I72" s="234"/>
      <c r="J72" s="222"/>
      <c r="K72" s="222" t="s">
        <v>230</v>
      </c>
      <c r="L72" s="346"/>
      <c r="M72" s="255"/>
      <c r="N72" s="365"/>
      <c r="O72" s="365"/>
      <c r="P72" s="365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  <c r="AB72" s="238"/>
      <c r="AC72" s="231">
        <f t="shared" si="24"/>
        <v>0</v>
      </c>
      <c r="AD72" s="214"/>
      <c r="AE72" s="192"/>
      <c r="AF72" s="194"/>
      <c r="AG72" s="194"/>
      <c r="AH72" s="194"/>
      <c r="AI72" s="194"/>
    </row>
    <row r="73" hidden="1">
      <c r="A73" s="126"/>
      <c r="B73" s="195"/>
      <c r="C73" s="196"/>
      <c r="D73" s="286" t="s">
        <v>258</v>
      </c>
      <c r="E73" s="233"/>
      <c r="F73" s="233"/>
      <c r="G73" s="233"/>
      <c r="H73" s="234"/>
      <c r="I73" s="234"/>
      <c r="J73" s="222"/>
      <c r="K73" s="222" t="s">
        <v>230</v>
      </c>
      <c r="L73" s="346"/>
      <c r="M73" s="255"/>
      <c r="N73" s="365"/>
      <c r="O73" s="365"/>
      <c r="P73" s="365"/>
      <c r="Q73" s="238"/>
      <c r="R73" s="238"/>
      <c r="S73" s="238"/>
      <c r="T73" s="238"/>
      <c r="U73" s="238"/>
      <c r="V73" s="238"/>
      <c r="W73" s="238"/>
      <c r="X73" s="238"/>
      <c r="Y73" s="238"/>
      <c r="Z73" s="238"/>
      <c r="AA73" s="238"/>
      <c r="AB73" s="238"/>
      <c r="AC73" s="231">
        <f t="shared" si="24"/>
        <v>0</v>
      </c>
      <c r="AD73" s="214"/>
      <c r="AE73" s="192"/>
      <c r="AF73" s="194"/>
      <c r="AG73" s="194"/>
      <c r="AH73" s="194"/>
      <c r="AI73" s="194"/>
    </row>
    <row r="74">
      <c r="A74" s="126"/>
      <c r="B74" s="195"/>
      <c r="C74" s="196">
        <v>5.0</v>
      </c>
      <c r="D74" s="354" t="s">
        <v>259</v>
      </c>
      <c r="E74" s="198" t="s">
        <v>186</v>
      </c>
      <c r="F74" s="198" t="s">
        <v>103</v>
      </c>
      <c r="G74" s="198" t="s">
        <v>86</v>
      </c>
      <c r="H74" s="198" t="s">
        <v>86</v>
      </c>
      <c r="I74" s="198" t="s">
        <v>187</v>
      </c>
      <c r="J74" s="198" t="s">
        <v>188</v>
      </c>
      <c r="K74" s="199" t="s">
        <v>230</v>
      </c>
      <c r="L74" s="347">
        <f>5450000000</f>
        <v>5450000000</v>
      </c>
      <c r="M74" s="201" t="s">
        <v>260</v>
      </c>
      <c r="N74" s="366"/>
      <c r="O74" s="366">
        <v>45231.0</v>
      </c>
      <c r="P74" s="366">
        <v>45596.0</v>
      </c>
      <c r="Q74" s="204">
        <v>4.90990991E8</v>
      </c>
      <c r="R74" s="204">
        <v>4.90990991E8</v>
      </c>
      <c r="S74" s="204">
        <v>4.90990991E8</v>
      </c>
      <c r="T74" s="204">
        <v>4.90990991E8</v>
      </c>
      <c r="U74" s="204">
        <v>4.90990991E8</v>
      </c>
      <c r="V74" s="204">
        <v>4.90990991E8</v>
      </c>
      <c r="W74" s="204">
        <v>4.90990991E8</v>
      </c>
      <c r="X74" s="204">
        <v>4.90990991E8</v>
      </c>
      <c r="Y74" s="204">
        <v>4.90990991E8</v>
      </c>
      <c r="Z74" s="204">
        <v>4.90990991E8</v>
      </c>
      <c r="AA74" s="204">
        <v>4.90990991E8</v>
      </c>
      <c r="AB74" s="204">
        <v>4.90990991E8</v>
      </c>
      <c r="AC74" s="205">
        <f t="shared" si="24"/>
        <v>5891891892</v>
      </c>
      <c r="AD74" s="178">
        <f>SUM(Q74:AB74)-AC74</f>
        <v>0</v>
      </c>
      <c r="AE74" s="241"/>
      <c r="AF74" s="194"/>
      <c r="AG74" s="194"/>
      <c r="AH74" s="194"/>
      <c r="AI74" s="194"/>
    </row>
    <row r="75" hidden="1">
      <c r="A75" s="126"/>
      <c r="B75" s="195"/>
      <c r="C75" s="206"/>
      <c r="D75" s="207"/>
      <c r="E75" s="207"/>
      <c r="F75" s="207"/>
      <c r="G75" s="207"/>
      <c r="H75" s="206"/>
      <c r="I75" s="206"/>
      <c r="J75" s="206"/>
      <c r="K75" s="206" t="s">
        <v>230</v>
      </c>
      <c r="L75" s="217">
        <v>2.5459549E9</v>
      </c>
      <c r="M75" s="246" t="s">
        <v>261</v>
      </c>
      <c r="N75" s="367"/>
      <c r="O75" s="367">
        <v>45597.0</v>
      </c>
      <c r="P75" s="368" t="s">
        <v>262</v>
      </c>
      <c r="Q75" s="267">
        <v>4.53745966E8</v>
      </c>
      <c r="R75" s="267">
        <v>4.53745966E8</v>
      </c>
      <c r="S75" s="267">
        <v>4.53745966E8</v>
      </c>
      <c r="T75" s="267">
        <v>4.53745966E8</v>
      </c>
      <c r="U75" s="267"/>
      <c r="V75" s="267"/>
      <c r="W75" s="212"/>
      <c r="X75" s="212"/>
      <c r="Y75" s="212"/>
      <c r="Z75" s="212"/>
      <c r="AA75" s="212"/>
      <c r="AB75" s="212"/>
      <c r="AC75" s="213">
        <f t="shared" si="24"/>
        <v>1814983864</v>
      </c>
      <c r="AD75" s="214"/>
      <c r="AE75" s="192"/>
      <c r="AF75" s="194"/>
      <c r="AG75" s="194"/>
      <c r="AH75" s="194"/>
      <c r="AI75" s="194"/>
    </row>
    <row r="76" hidden="1">
      <c r="A76" s="126"/>
      <c r="B76" s="195"/>
      <c r="C76" s="206"/>
      <c r="D76" s="220" t="s">
        <v>263</v>
      </c>
      <c r="E76" s="207"/>
      <c r="F76" s="207"/>
      <c r="G76" s="207"/>
      <c r="H76" s="206"/>
      <c r="I76" s="206"/>
      <c r="J76" s="206"/>
      <c r="K76" s="206" t="s">
        <v>230</v>
      </c>
      <c r="L76" s="245">
        <v>1.22634045E9</v>
      </c>
      <c r="M76" s="265" t="s">
        <v>264</v>
      </c>
      <c r="N76" s="266"/>
      <c r="O76" s="266">
        <v>45778.0</v>
      </c>
      <c r="P76" s="262">
        <v>45869.0</v>
      </c>
      <c r="Q76" s="267"/>
      <c r="R76" s="267"/>
      <c r="S76" s="267"/>
      <c r="T76" s="267"/>
      <c r="U76" s="267">
        <f>L76/3</f>
        <v>408780150</v>
      </c>
      <c r="V76" s="208">
        <f t="shared" ref="V76:W76" si="30">U76</f>
        <v>408780150</v>
      </c>
      <c r="W76" s="208">
        <f t="shared" si="30"/>
        <v>408780150</v>
      </c>
      <c r="X76" s="212"/>
      <c r="Y76" s="212"/>
      <c r="Z76" s="212"/>
      <c r="AA76" s="212"/>
      <c r="AB76" s="212"/>
      <c r="AC76" s="213">
        <f t="shared" si="24"/>
        <v>1226340450</v>
      </c>
      <c r="AD76" s="214"/>
      <c r="AE76" s="192"/>
      <c r="AF76" s="194"/>
      <c r="AG76" s="194"/>
      <c r="AH76" s="194"/>
      <c r="AI76" s="194"/>
    </row>
    <row r="77" hidden="1">
      <c r="A77" s="126"/>
      <c r="B77" s="195"/>
      <c r="C77" s="222"/>
      <c r="D77" s="250" t="s">
        <v>265</v>
      </c>
      <c r="E77" s="224"/>
      <c r="F77" s="224"/>
      <c r="G77" s="224"/>
      <c r="H77" s="222"/>
      <c r="I77" s="222"/>
      <c r="J77" s="222"/>
      <c r="K77" s="222" t="s">
        <v>230</v>
      </c>
      <c r="L77" s="225"/>
      <c r="M77" s="369"/>
      <c r="N77" s="227"/>
      <c r="O77" s="227"/>
      <c r="P77" s="227"/>
      <c r="Q77" s="270">
        <v>4.53745967E8</v>
      </c>
      <c r="R77" s="270">
        <v>4.53745967E8</v>
      </c>
      <c r="S77" s="270">
        <v>4.53745967E8</v>
      </c>
      <c r="T77" s="270">
        <v>4.54166666E8</v>
      </c>
      <c r="U77" s="229">
        <v>4.54166666E8</v>
      </c>
      <c r="V77" s="253">
        <f>U77</f>
        <v>454166666</v>
      </c>
      <c r="W77" s="230"/>
      <c r="X77" s="230"/>
      <c r="Y77" s="230"/>
      <c r="Z77" s="230"/>
      <c r="AA77" s="230"/>
      <c r="AB77" s="230"/>
      <c r="AC77" s="231">
        <f t="shared" si="24"/>
        <v>2723737899</v>
      </c>
      <c r="AD77" s="214"/>
      <c r="AE77" s="192"/>
      <c r="AF77" s="194"/>
      <c r="AG77" s="194"/>
      <c r="AH77" s="194"/>
      <c r="AI77" s="194"/>
    </row>
    <row r="78" hidden="1">
      <c r="A78" s="126"/>
      <c r="B78" s="195"/>
      <c r="C78" s="196"/>
      <c r="D78" s="254" t="s">
        <v>194</v>
      </c>
      <c r="E78" s="233"/>
      <c r="F78" s="233"/>
      <c r="G78" s="233"/>
      <c r="H78" s="234"/>
      <c r="I78" s="234"/>
      <c r="J78" s="222"/>
      <c r="K78" s="222" t="s">
        <v>230</v>
      </c>
      <c r="L78" s="346"/>
      <c r="M78" s="255"/>
      <c r="N78" s="227"/>
      <c r="O78" s="227"/>
      <c r="P78" s="227"/>
      <c r="Q78" s="270">
        <v>4.53745967E8</v>
      </c>
      <c r="R78" s="270">
        <v>4.53745967E8</v>
      </c>
      <c r="S78" s="270">
        <v>4.53745967E8</v>
      </c>
      <c r="T78" s="270">
        <v>4.54166666E8</v>
      </c>
      <c r="U78" s="238"/>
      <c r="V78" s="238"/>
      <c r="W78" s="238"/>
      <c r="X78" s="238"/>
      <c r="Y78" s="238"/>
      <c r="Z78" s="238"/>
      <c r="AA78" s="238"/>
      <c r="AB78" s="238"/>
      <c r="AC78" s="231">
        <f t="shared" si="24"/>
        <v>1815404567</v>
      </c>
      <c r="AD78" s="214"/>
      <c r="AE78" s="192"/>
      <c r="AF78" s="194"/>
      <c r="AG78" s="194"/>
      <c r="AH78" s="194"/>
      <c r="AI78" s="194"/>
    </row>
    <row r="79" hidden="1">
      <c r="A79" s="126"/>
      <c r="B79" s="195"/>
      <c r="C79" s="196"/>
      <c r="D79" s="254" t="s">
        <v>266</v>
      </c>
      <c r="E79" s="233"/>
      <c r="F79" s="233"/>
      <c r="G79" s="233"/>
      <c r="H79" s="234"/>
      <c r="I79" s="234"/>
      <c r="J79" s="222"/>
      <c r="K79" s="222" t="s">
        <v>230</v>
      </c>
      <c r="L79" s="346"/>
      <c r="M79" s="255"/>
      <c r="N79" s="227"/>
      <c r="O79" s="227"/>
      <c r="P79" s="227"/>
      <c r="Q79" s="270">
        <v>4.53745967E8</v>
      </c>
      <c r="R79" s="270">
        <v>4.53745967E8</v>
      </c>
      <c r="S79" s="270">
        <v>4.53745967E8</v>
      </c>
      <c r="T79" s="270">
        <v>4.54166666E8</v>
      </c>
      <c r="U79" s="238"/>
      <c r="V79" s="238"/>
      <c r="W79" s="238"/>
      <c r="X79" s="238"/>
      <c r="Y79" s="238"/>
      <c r="Z79" s="238"/>
      <c r="AA79" s="238"/>
      <c r="AB79" s="238"/>
      <c r="AC79" s="231">
        <f t="shared" si="24"/>
        <v>1815404567</v>
      </c>
      <c r="AD79" s="214"/>
      <c r="AE79" s="192"/>
      <c r="AF79" s="194"/>
      <c r="AG79" s="194"/>
      <c r="AH79" s="194"/>
      <c r="AI79" s="194"/>
    </row>
    <row r="80">
      <c r="A80" s="126"/>
      <c r="B80" s="195"/>
      <c r="C80" s="196">
        <v>6.0</v>
      </c>
      <c r="D80" s="197" t="s">
        <v>267</v>
      </c>
      <c r="E80" s="198" t="s">
        <v>186</v>
      </c>
      <c r="F80" s="198" t="s">
        <v>103</v>
      </c>
      <c r="G80" s="198" t="s">
        <v>86</v>
      </c>
      <c r="H80" s="198" t="s">
        <v>86</v>
      </c>
      <c r="I80" s="198" t="s">
        <v>187</v>
      </c>
      <c r="J80" s="198" t="s">
        <v>188</v>
      </c>
      <c r="K80" s="199" t="s">
        <v>230</v>
      </c>
      <c r="L80" s="347">
        <v>2.0E10</v>
      </c>
      <c r="M80" s="257" t="s">
        <v>268</v>
      </c>
      <c r="N80" s="258"/>
      <c r="O80" s="258">
        <v>45444.0</v>
      </c>
      <c r="P80" s="258">
        <v>45746.0</v>
      </c>
      <c r="Q80" s="204">
        <v>1.8018018018018017E9</v>
      </c>
      <c r="R80" s="204">
        <v>1.8018018018018017E9</v>
      </c>
      <c r="S80" s="204">
        <v>1.8018018018018017E9</v>
      </c>
      <c r="T80" s="204">
        <v>1.8018018018018017E9</v>
      </c>
      <c r="U80" s="204">
        <v>1.8018018018018017E9</v>
      </c>
      <c r="V80" s="204">
        <v>1.8018018018018017E9</v>
      </c>
      <c r="W80" s="204">
        <v>1.8018018018018017E9</v>
      </c>
      <c r="X80" s="204">
        <v>1.8018018018018017E9</v>
      </c>
      <c r="Y80" s="204">
        <v>1.8018018018018017E9</v>
      </c>
      <c r="Z80" s="204">
        <v>1.8018018018018017E9</v>
      </c>
      <c r="AA80" s="204">
        <v>1.8018018018018017E9</v>
      </c>
      <c r="AB80" s="204">
        <v>1.8018018018018017E9</v>
      </c>
      <c r="AC80" s="205">
        <f t="shared" si="24"/>
        <v>21621621622</v>
      </c>
      <c r="AD80" s="178">
        <f>SUM(Q80:AB80)-AC80</f>
        <v>0</v>
      </c>
      <c r="AE80" s="192"/>
      <c r="AF80" s="194"/>
      <c r="AG80" s="194"/>
      <c r="AH80" s="194"/>
      <c r="AI80" s="194"/>
    </row>
    <row r="81" hidden="1">
      <c r="A81" s="126"/>
      <c r="B81" s="195"/>
      <c r="C81" s="206"/>
      <c r="D81" s="220"/>
      <c r="E81" s="207"/>
      <c r="F81" s="207"/>
      <c r="G81" s="207"/>
      <c r="H81" s="206"/>
      <c r="I81" s="206"/>
      <c r="J81" s="206"/>
      <c r="K81" s="206" t="s">
        <v>230</v>
      </c>
      <c r="L81" s="282"/>
      <c r="M81" s="265"/>
      <c r="N81" s="368"/>
      <c r="O81" s="368"/>
      <c r="P81" s="368">
        <f>P80</f>
        <v>45746</v>
      </c>
      <c r="Q81" s="267">
        <v>1.8552449E9</v>
      </c>
      <c r="R81" s="267">
        <v>1.8552449E9</v>
      </c>
      <c r="S81" s="267">
        <v>1.8552449E9</v>
      </c>
      <c r="T81" s="267"/>
      <c r="U81" s="267"/>
      <c r="V81" s="267"/>
      <c r="W81" s="212"/>
      <c r="X81" s="212"/>
      <c r="Y81" s="212"/>
      <c r="Z81" s="212"/>
      <c r="AA81" s="212"/>
      <c r="AB81" s="212"/>
      <c r="AC81" s="213">
        <f t="shared" si="24"/>
        <v>5565734700</v>
      </c>
      <c r="AD81" s="264"/>
      <c r="AE81" s="241"/>
      <c r="AF81" s="194"/>
      <c r="AG81" s="194"/>
      <c r="AH81" s="194"/>
      <c r="AI81" s="194"/>
    </row>
    <row r="82" hidden="1">
      <c r="A82" s="126"/>
      <c r="B82" s="195"/>
      <c r="C82" s="206"/>
      <c r="D82" s="220" t="s">
        <v>269</v>
      </c>
      <c r="E82" s="207"/>
      <c r="F82" s="207"/>
      <c r="G82" s="207"/>
      <c r="H82" s="206"/>
      <c r="I82" s="206"/>
      <c r="J82" s="242"/>
      <c r="K82" s="242" t="s">
        <v>230</v>
      </c>
      <c r="L82" s="280">
        <f>8685496929</f>
        <v>8685496929</v>
      </c>
      <c r="M82" s="265" t="s">
        <v>270</v>
      </c>
      <c r="N82" s="283"/>
      <c r="O82" s="283">
        <f t="shared" ref="O82:O83" si="31">P81+1</f>
        <v>45747</v>
      </c>
      <c r="P82" s="368">
        <v>45777.0</v>
      </c>
      <c r="Q82" s="267"/>
      <c r="R82" s="267"/>
      <c r="S82" s="267"/>
      <c r="T82" s="267">
        <f>S81</f>
        <v>1855244900</v>
      </c>
      <c r="U82" s="267"/>
      <c r="V82" s="342"/>
      <c r="W82" s="212"/>
      <c r="X82" s="212"/>
      <c r="Y82" s="212"/>
      <c r="Z82" s="212"/>
      <c r="AA82" s="212"/>
      <c r="AB82" s="212"/>
      <c r="AC82" s="213">
        <f t="shared" si="24"/>
        <v>1855244900</v>
      </c>
      <c r="AD82" s="214"/>
      <c r="AE82" s="192"/>
      <c r="AF82" s="194"/>
      <c r="AG82" s="194"/>
      <c r="AH82" s="194"/>
      <c r="AI82" s="194"/>
    </row>
    <row r="83" hidden="1">
      <c r="A83" s="126"/>
      <c r="B83" s="195"/>
      <c r="C83" s="206"/>
      <c r="D83" s="220" t="s">
        <v>271</v>
      </c>
      <c r="E83" s="207"/>
      <c r="F83" s="207"/>
      <c r="G83" s="207"/>
      <c r="H83" s="206"/>
      <c r="I83" s="206"/>
      <c r="J83" s="206"/>
      <c r="K83" s="206" t="s">
        <v>230</v>
      </c>
      <c r="L83" s="280"/>
      <c r="M83" s="265" t="s">
        <v>237</v>
      </c>
      <c r="N83" s="283"/>
      <c r="O83" s="283">
        <f t="shared" si="31"/>
        <v>45778</v>
      </c>
      <c r="P83" s="368">
        <v>45961.0</v>
      </c>
      <c r="Q83" s="267"/>
      <c r="R83" s="267"/>
      <c r="S83" s="267"/>
      <c r="T83" s="267"/>
      <c r="U83" s="267"/>
      <c r="V83" s="342"/>
      <c r="W83" s="212"/>
      <c r="X83" s="212"/>
      <c r="Y83" s="212"/>
      <c r="Z83" s="212"/>
      <c r="AA83" s="212"/>
      <c r="AB83" s="212"/>
      <c r="AC83" s="213">
        <f t="shared" si="24"/>
        <v>0</v>
      </c>
      <c r="AD83" s="214"/>
      <c r="AE83" s="192"/>
      <c r="AF83" s="194"/>
      <c r="AG83" s="194"/>
      <c r="AH83" s="194"/>
      <c r="AI83" s="194"/>
    </row>
    <row r="84" hidden="1">
      <c r="A84" s="126"/>
      <c r="B84" s="195"/>
      <c r="C84" s="222"/>
      <c r="D84" s="250" t="s">
        <v>272</v>
      </c>
      <c r="E84" s="224"/>
      <c r="F84" s="224"/>
      <c r="G84" s="224"/>
      <c r="H84" s="222"/>
      <c r="I84" s="222"/>
      <c r="J84" s="222"/>
      <c r="K84" s="222" t="s">
        <v>230</v>
      </c>
      <c r="L84" s="225"/>
      <c r="M84" s="236"/>
      <c r="N84" s="285"/>
      <c r="O84" s="285"/>
      <c r="P84" s="285"/>
      <c r="Q84" s="229">
        <v>1.5E9</v>
      </c>
      <c r="R84" s="229">
        <f t="shared" ref="R84:V84" si="32">Q84</f>
        <v>1500000000</v>
      </c>
      <c r="S84" s="229">
        <f t="shared" si="32"/>
        <v>1500000000</v>
      </c>
      <c r="T84" s="229">
        <f t="shared" si="32"/>
        <v>1500000000</v>
      </c>
      <c r="U84" s="229">
        <f t="shared" si="32"/>
        <v>1500000000</v>
      </c>
      <c r="V84" s="253">
        <f t="shared" si="32"/>
        <v>1500000000</v>
      </c>
      <c r="W84" s="230"/>
      <c r="X84" s="230"/>
      <c r="Y84" s="230"/>
      <c r="Z84" s="230"/>
      <c r="AA84" s="230"/>
      <c r="AB84" s="230"/>
      <c r="AC84" s="231">
        <f t="shared" si="24"/>
        <v>9000000000</v>
      </c>
      <c r="AD84" s="214"/>
      <c r="AE84" s="192"/>
      <c r="AF84" s="194"/>
      <c r="AG84" s="194"/>
      <c r="AH84" s="194"/>
      <c r="AI84" s="194"/>
    </row>
    <row r="85" hidden="1">
      <c r="A85" s="126"/>
      <c r="B85" s="195"/>
      <c r="C85" s="196"/>
      <c r="D85" s="286" t="s">
        <v>194</v>
      </c>
      <c r="E85" s="233"/>
      <c r="F85" s="233"/>
      <c r="G85" s="233"/>
      <c r="H85" s="234"/>
      <c r="I85" s="234"/>
      <c r="J85" s="222"/>
      <c r="K85" s="222" t="s">
        <v>230</v>
      </c>
      <c r="L85" s="274"/>
      <c r="M85" s="255"/>
      <c r="N85" s="227"/>
      <c r="O85" s="227"/>
      <c r="P85" s="227"/>
      <c r="Q85" s="238"/>
      <c r="R85" s="238"/>
      <c r="S85" s="238"/>
      <c r="T85" s="238"/>
      <c r="U85" s="238"/>
      <c r="V85" s="238"/>
      <c r="W85" s="238"/>
      <c r="X85" s="238"/>
      <c r="Y85" s="238"/>
      <c r="Z85" s="238"/>
      <c r="AA85" s="238"/>
      <c r="AB85" s="238"/>
      <c r="AC85" s="231">
        <f t="shared" si="24"/>
        <v>0</v>
      </c>
      <c r="AD85" s="214"/>
      <c r="AE85" s="192"/>
      <c r="AF85" s="194"/>
      <c r="AG85" s="194"/>
      <c r="AH85" s="194"/>
      <c r="AI85" s="194"/>
    </row>
    <row r="86" hidden="1">
      <c r="A86" s="126"/>
      <c r="B86" s="195"/>
      <c r="C86" s="196"/>
      <c r="D86" s="286" t="s">
        <v>273</v>
      </c>
      <c r="E86" s="233"/>
      <c r="F86" s="233"/>
      <c r="G86" s="233"/>
      <c r="H86" s="234"/>
      <c r="I86" s="234"/>
      <c r="J86" s="222"/>
      <c r="K86" s="222" t="s">
        <v>230</v>
      </c>
      <c r="L86" s="274"/>
      <c r="M86" s="255"/>
      <c r="N86" s="227"/>
      <c r="O86" s="227"/>
      <c r="P86" s="227"/>
      <c r="Q86" s="238"/>
      <c r="R86" s="238"/>
      <c r="S86" s="238"/>
      <c r="T86" s="238"/>
      <c r="U86" s="238"/>
      <c r="V86" s="238"/>
      <c r="W86" s="238"/>
      <c r="X86" s="238"/>
      <c r="Y86" s="238"/>
      <c r="Z86" s="238"/>
      <c r="AA86" s="238"/>
      <c r="AB86" s="238"/>
      <c r="AC86" s="231">
        <f t="shared" si="24"/>
        <v>0</v>
      </c>
      <c r="AD86" s="214"/>
      <c r="AE86" s="192"/>
      <c r="AF86" s="194"/>
      <c r="AG86" s="194"/>
      <c r="AH86" s="194"/>
      <c r="AI86" s="194"/>
    </row>
    <row r="87">
      <c r="A87" s="126"/>
      <c r="B87" s="195"/>
      <c r="C87" s="196">
        <v>7.0</v>
      </c>
      <c r="D87" s="354" t="s">
        <v>274</v>
      </c>
      <c r="E87" s="198" t="s">
        <v>186</v>
      </c>
      <c r="F87" s="198" t="s">
        <v>103</v>
      </c>
      <c r="G87" s="198" t="s">
        <v>86</v>
      </c>
      <c r="H87" s="198" t="s">
        <v>86</v>
      </c>
      <c r="I87" s="198" t="s">
        <v>253</v>
      </c>
      <c r="J87" s="198" t="s">
        <v>254</v>
      </c>
      <c r="K87" s="199" t="s">
        <v>230</v>
      </c>
      <c r="L87" s="276">
        <f>5550000*12</f>
        <v>66600000</v>
      </c>
      <c r="M87" s="257" t="s">
        <v>275</v>
      </c>
      <c r="N87" s="258"/>
      <c r="O87" s="258">
        <v>45562.0</v>
      </c>
      <c r="P87" s="258">
        <v>45926.0</v>
      </c>
      <c r="Q87" s="204">
        <v>4954955.0</v>
      </c>
      <c r="R87" s="204">
        <v>4954955.0</v>
      </c>
      <c r="S87" s="204">
        <v>4954955.0</v>
      </c>
      <c r="T87" s="204">
        <v>4954955.0</v>
      </c>
      <c r="U87" s="204">
        <v>4954955.0</v>
      </c>
      <c r="V87" s="204">
        <v>4954955.0</v>
      </c>
      <c r="W87" s="204">
        <v>4954955.0</v>
      </c>
      <c r="X87" s="204">
        <v>4954955.0</v>
      </c>
      <c r="Y87" s="204">
        <v>4954955.0</v>
      </c>
      <c r="Z87" s="204">
        <v>4954955.0</v>
      </c>
      <c r="AA87" s="204">
        <v>4954955.0</v>
      </c>
      <c r="AB87" s="204">
        <v>4954955.0</v>
      </c>
      <c r="AC87" s="205">
        <f t="shared" si="24"/>
        <v>59459460</v>
      </c>
      <c r="AD87" s="178">
        <f>SUM(Q87:AB87)-AC87</f>
        <v>0</v>
      </c>
      <c r="AE87" s="192"/>
      <c r="AF87" s="194"/>
      <c r="AG87" s="194"/>
      <c r="AH87" s="194"/>
      <c r="AI87" s="194"/>
    </row>
    <row r="88" hidden="1">
      <c r="A88" s="126"/>
      <c r="B88" s="195"/>
      <c r="C88" s="206"/>
      <c r="D88" s="207"/>
      <c r="E88" s="207"/>
      <c r="F88" s="207"/>
      <c r="G88" s="207"/>
      <c r="H88" s="206"/>
      <c r="I88" s="206"/>
      <c r="J88" s="221"/>
      <c r="K88" s="221" t="s">
        <v>230</v>
      </c>
      <c r="L88" s="351"/>
      <c r="M88" s="370"/>
      <c r="N88" s="341"/>
      <c r="O88" s="341"/>
      <c r="P88" s="341">
        <v>45926.0</v>
      </c>
      <c r="Q88" s="211">
        <v>4954955.0</v>
      </c>
      <c r="R88" s="211">
        <v>4954955.0</v>
      </c>
      <c r="S88" s="211">
        <v>4954955.0</v>
      </c>
      <c r="T88" s="211">
        <v>4954955.0</v>
      </c>
      <c r="U88" s="211">
        <v>4954955.0</v>
      </c>
      <c r="V88" s="211">
        <v>4954955.0</v>
      </c>
      <c r="W88" s="211">
        <v>4954955.0</v>
      </c>
      <c r="X88" s="211">
        <v>4954955.0</v>
      </c>
      <c r="Y88" s="211">
        <v>4954955.0</v>
      </c>
      <c r="Z88" s="212"/>
      <c r="AA88" s="212"/>
      <c r="AB88" s="212"/>
      <c r="AC88" s="213">
        <f t="shared" si="24"/>
        <v>44594595</v>
      </c>
      <c r="AD88" s="264"/>
      <c r="AE88" s="241"/>
      <c r="AF88" s="194"/>
      <c r="AG88" s="194"/>
      <c r="AH88" s="194"/>
      <c r="AI88" s="194"/>
    </row>
    <row r="89" hidden="1">
      <c r="A89" s="126"/>
      <c r="B89" s="195"/>
      <c r="C89" s="206"/>
      <c r="D89" s="207"/>
      <c r="E89" s="207"/>
      <c r="F89" s="207"/>
      <c r="G89" s="207"/>
      <c r="H89" s="206"/>
      <c r="I89" s="206"/>
      <c r="J89" s="221"/>
      <c r="K89" s="221" t="s">
        <v>230</v>
      </c>
      <c r="L89" s="280"/>
      <c r="M89" s="370"/>
      <c r="N89" s="283"/>
      <c r="O89" s="283">
        <f>P88+1</f>
        <v>45927</v>
      </c>
      <c r="P89" s="283"/>
      <c r="Q89" s="208"/>
      <c r="R89" s="208"/>
      <c r="S89" s="208"/>
      <c r="T89" s="211"/>
      <c r="U89" s="211"/>
      <c r="V89" s="272"/>
      <c r="W89" s="272"/>
      <c r="X89" s="272"/>
      <c r="Y89" s="272"/>
      <c r="Z89" s="212"/>
      <c r="AA89" s="212"/>
      <c r="AB89" s="212"/>
      <c r="AC89" s="213">
        <f t="shared" si="24"/>
        <v>0</v>
      </c>
      <c r="AD89" s="214"/>
      <c r="AE89" s="192"/>
      <c r="AF89" s="194"/>
      <c r="AG89" s="194"/>
      <c r="AH89" s="194"/>
      <c r="AI89" s="194"/>
    </row>
    <row r="90" hidden="1">
      <c r="A90" s="126"/>
      <c r="B90" s="195"/>
      <c r="C90" s="222"/>
      <c r="D90" s="250" t="s">
        <v>276</v>
      </c>
      <c r="E90" s="224"/>
      <c r="F90" s="224"/>
      <c r="G90" s="224"/>
      <c r="H90" s="222"/>
      <c r="I90" s="222"/>
      <c r="J90" s="222"/>
      <c r="K90" s="222" t="s">
        <v>230</v>
      </c>
      <c r="L90" s="225"/>
      <c r="M90" s="236"/>
      <c r="N90" s="285"/>
      <c r="O90" s="285"/>
      <c r="P90" s="285"/>
      <c r="Q90" s="251">
        <v>5550000.0</v>
      </c>
      <c r="R90" s="251">
        <v>5550000.0</v>
      </c>
      <c r="S90" s="251">
        <v>5550000.0</v>
      </c>
      <c r="T90" s="371">
        <f t="shared" ref="T90:V90" si="33">S90</f>
        <v>5550000</v>
      </c>
      <c r="U90" s="371">
        <f t="shared" si="33"/>
        <v>5550000</v>
      </c>
      <c r="V90" s="372">
        <f t="shared" si="33"/>
        <v>5550000</v>
      </c>
      <c r="W90" s="373"/>
      <c r="X90" s="373"/>
      <c r="Y90" s="373"/>
      <c r="Z90" s="230"/>
      <c r="AA90" s="230"/>
      <c r="AB90" s="230"/>
      <c r="AC90" s="231">
        <f t="shared" si="24"/>
        <v>33300000</v>
      </c>
      <c r="AD90" s="214"/>
      <c r="AE90" s="192"/>
      <c r="AF90" s="194"/>
      <c r="AG90" s="194"/>
      <c r="AH90" s="194"/>
      <c r="AI90" s="194"/>
    </row>
    <row r="91" hidden="1">
      <c r="A91" s="126"/>
      <c r="B91" s="195"/>
      <c r="C91" s="196"/>
      <c r="D91" s="254" t="s">
        <v>194</v>
      </c>
      <c r="E91" s="233"/>
      <c r="F91" s="233"/>
      <c r="G91" s="233"/>
      <c r="H91" s="234"/>
      <c r="I91" s="234"/>
      <c r="J91" s="222"/>
      <c r="K91" s="222" t="s">
        <v>230</v>
      </c>
      <c r="L91" s="274"/>
      <c r="M91" s="255"/>
      <c r="N91" s="227"/>
      <c r="O91" s="227"/>
      <c r="P91" s="227"/>
      <c r="Q91" s="251">
        <v>5550000.0</v>
      </c>
      <c r="R91" s="251">
        <v>5550000.0</v>
      </c>
      <c r="S91" s="251">
        <v>5550000.0</v>
      </c>
      <c r="T91" s="371">
        <f t="shared" ref="T91:U91" si="34">S91</f>
        <v>5550000</v>
      </c>
      <c r="U91" s="371">
        <f t="shared" si="34"/>
        <v>5550000</v>
      </c>
      <c r="V91" s="238"/>
      <c r="W91" s="238"/>
      <c r="X91" s="238"/>
      <c r="Y91" s="238"/>
      <c r="Z91" s="238"/>
      <c r="AA91" s="238"/>
      <c r="AB91" s="238"/>
      <c r="AC91" s="231">
        <f t="shared" si="24"/>
        <v>27750000</v>
      </c>
      <c r="AD91" s="214"/>
      <c r="AE91" s="192"/>
      <c r="AF91" s="194"/>
      <c r="AG91" s="194"/>
      <c r="AH91" s="194"/>
      <c r="AI91" s="194"/>
    </row>
    <row r="92" hidden="1">
      <c r="A92" s="126"/>
      <c r="B92" s="195"/>
      <c r="C92" s="196"/>
      <c r="D92" s="254" t="s">
        <v>277</v>
      </c>
      <c r="E92" s="233"/>
      <c r="F92" s="233"/>
      <c r="G92" s="233"/>
      <c r="H92" s="234"/>
      <c r="I92" s="234"/>
      <c r="J92" s="222"/>
      <c r="K92" s="222" t="s">
        <v>230</v>
      </c>
      <c r="L92" s="274"/>
      <c r="M92" s="255"/>
      <c r="N92" s="227"/>
      <c r="O92" s="227"/>
      <c r="P92" s="227"/>
      <c r="Q92" s="251">
        <v>5550000.0</v>
      </c>
      <c r="R92" s="251">
        <v>5550000.0</v>
      </c>
      <c r="S92" s="251">
        <v>5550000.0</v>
      </c>
      <c r="T92" s="371">
        <f t="shared" ref="T92:U92" si="35">S92</f>
        <v>5550000</v>
      </c>
      <c r="U92" s="371">
        <f t="shared" si="35"/>
        <v>5550000</v>
      </c>
      <c r="V92" s="238"/>
      <c r="W92" s="238"/>
      <c r="X92" s="238"/>
      <c r="Y92" s="238"/>
      <c r="Z92" s="238"/>
      <c r="AA92" s="238"/>
      <c r="AB92" s="238"/>
      <c r="AC92" s="231">
        <f t="shared" si="24"/>
        <v>27750000</v>
      </c>
      <c r="AD92" s="214"/>
      <c r="AE92" s="192"/>
      <c r="AF92" s="194"/>
      <c r="AG92" s="194"/>
      <c r="AH92" s="194"/>
      <c r="AI92" s="194"/>
    </row>
    <row r="93">
      <c r="A93" s="126"/>
      <c r="B93" s="195"/>
      <c r="C93" s="196">
        <v>8.0</v>
      </c>
      <c r="D93" s="197" t="s">
        <v>278</v>
      </c>
      <c r="E93" s="198" t="s">
        <v>186</v>
      </c>
      <c r="F93" s="198" t="s">
        <v>103</v>
      </c>
      <c r="G93" s="198" t="s">
        <v>86</v>
      </c>
      <c r="H93" s="198" t="s">
        <v>86</v>
      </c>
      <c r="I93" s="198" t="s">
        <v>253</v>
      </c>
      <c r="J93" s="198" t="s">
        <v>254</v>
      </c>
      <c r="K93" s="199" t="s">
        <v>230</v>
      </c>
      <c r="L93" s="276">
        <f>4000000*12</f>
        <v>48000000</v>
      </c>
      <c r="M93" s="374" t="s">
        <v>279</v>
      </c>
      <c r="N93" s="258"/>
      <c r="O93" s="258">
        <v>45505.0</v>
      </c>
      <c r="P93" s="258">
        <v>45869.0</v>
      </c>
      <c r="Q93" s="204">
        <v>3603604.0</v>
      </c>
      <c r="R93" s="204">
        <v>3603604.0</v>
      </c>
      <c r="S93" s="204">
        <v>3603604.0</v>
      </c>
      <c r="T93" s="204">
        <v>3603604.0</v>
      </c>
      <c r="U93" s="204">
        <v>3603604.0</v>
      </c>
      <c r="V93" s="204">
        <v>3603604.0</v>
      </c>
      <c r="W93" s="204">
        <v>3603604.0</v>
      </c>
      <c r="X93" s="204">
        <v>3603604.0</v>
      </c>
      <c r="Y93" s="204">
        <v>3603604.0</v>
      </c>
      <c r="Z93" s="204">
        <v>3603604.0</v>
      </c>
      <c r="AA93" s="204">
        <v>3603604.0</v>
      </c>
      <c r="AB93" s="204">
        <v>3603604.0</v>
      </c>
      <c r="AC93" s="205">
        <f t="shared" si="24"/>
        <v>43243248</v>
      </c>
      <c r="AD93" s="178">
        <f>SUM(Q93:AB93)-AC93</f>
        <v>0</v>
      </c>
      <c r="AE93" s="192"/>
      <c r="AF93" s="194"/>
      <c r="AG93" s="194"/>
      <c r="AH93" s="194"/>
      <c r="AI93" s="194"/>
    </row>
    <row r="94" hidden="1">
      <c r="A94" s="126"/>
      <c r="B94" s="195"/>
      <c r="C94" s="206"/>
      <c r="D94" s="207"/>
      <c r="E94" s="207"/>
      <c r="F94" s="207"/>
      <c r="G94" s="207"/>
      <c r="H94" s="206"/>
      <c r="I94" s="206"/>
      <c r="J94" s="221"/>
      <c r="K94" s="221" t="s">
        <v>230</v>
      </c>
      <c r="L94" s="351"/>
      <c r="M94" s="370"/>
      <c r="N94" s="341"/>
      <c r="O94" s="341"/>
      <c r="P94" s="341">
        <v>45869.0</v>
      </c>
      <c r="Q94" s="211">
        <v>3603604.0</v>
      </c>
      <c r="R94" s="211">
        <v>3603604.0</v>
      </c>
      <c r="S94" s="211">
        <v>3603604.0</v>
      </c>
      <c r="T94" s="211">
        <v>3603604.0</v>
      </c>
      <c r="U94" s="211">
        <v>3603604.0</v>
      </c>
      <c r="V94" s="211">
        <v>3603604.0</v>
      </c>
      <c r="W94" s="211">
        <v>3603604.0</v>
      </c>
      <c r="X94" s="212"/>
      <c r="Y94" s="212"/>
      <c r="Z94" s="212"/>
      <c r="AA94" s="212"/>
      <c r="AB94" s="212"/>
      <c r="AC94" s="213">
        <f t="shared" si="24"/>
        <v>25225228</v>
      </c>
      <c r="AD94" s="214"/>
      <c r="AE94" s="192"/>
      <c r="AF94" s="194"/>
      <c r="AG94" s="194"/>
      <c r="AH94" s="194"/>
      <c r="AI94" s="194"/>
    </row>
    <row r="95" hidden="1">
      <c r="A95" s="126"/>
      <c r="B95" s="195"/>
      <c r="C95" s="206"/>
      <c r="D95" s="207"/>
      <c r="E95" s="207"/>
      <c r="F95" s="207"/>
      <c r="G95" s="207"/>
      <c r="H95" s="206"/>
      <c r="I95" s="206"/>
      <c r="J95" s="221"/>
      <c r="K95" s="221" t="s">
        <v>230</v>
      </c>
      <c r="L95" s="280"/>
      <c r="M95" s="370"/>
      <c r="N95" s="283"/>
      <c r="O95" s="283">
        <f>P94+1</f>
        <v>45870</v>
      </c>
      <c r="P95" s="283"/>
      <c r="Q95" s="211"/>
      <c r="R95" s="211"/>
      <c r="S95" s="211"/>
      <c r="T95" s="211"/>
      <c r="U95" s="375"/>
      <c r="V95" s="272"/>
      <c r="W95" s="272"/>
      <c r="X95" s="212"/>
      <c r="Y95" s="212"/>
      <c r="Z95" s="212"/>
      <c r="AA95" s="212"/>
      <c r="AB95" s="212"/>
      <c r="AC95" s="213">
        <f t="shared" si="24"/>
        <v>0</v>
      </c>
      <c r="AD95" s="271"/>
      <c r="AE95" s="192"/>
      <c r="AF95" s="194"/>
      <c r="AG95" s="194"/>
      <c r="AH95" s="194"/>
      <c r="AI95" s="194"/>
    </row>
    <row r="96" hidden="1">
      <c r="A96" s="126"/>
      <c r="B96" s="195"/>
      <c r="C96" s="222"/>
      <c r="D96" s="250" t="s">
        <v>280</v>
      </c>
      <c r="E96" s="224"/>
      <c r="F96" s="224"/>
      <c r="G96" s="224"/>
      <c r="H96" s="222"/>
      <c r="I96" s="222"/>
      <c r="J96" s="222"/>
      <c r="K96" s="222" t="s">
        <v>230</v>
      </c>
      <c r="L96" s="225"/>
      <c r="M96" s="236"/>
      <c r="N96" s="285"/>
      <c r="O96" s="285"/>
      <c r="P96" s="285"/>
      <c r="Q96" s="376">
        <f t="shared" ref="Q96:T96" si="36">4000000</f>
        <v>4000000</v>
      </c>
      <c r="R96" s="376">
        <f t="shared" si="36"/>
        <v>4000000</v>
      </c>
      <c r="S96" s="376">
        <f t="shared" si="36"/>
        <v>4000000</v>
      </c>
      <c r="T96" s="376">
        <f t="shared" si="36"/>
        <v>4000000</v>
      </c>
      <c r="U96" s="371">
        <v>3603604.0</v>
      </c>
      <c r="V96" s="372">
        <f>U96</f>
        <v>3603604</v>
      </c>
      <c r="W96" s="373"/>
      <c r="X96" s="230"/>
      <c r="Y96" s="230"/>
      <c r="Z96" s="230"/>
      <c r="AA96" s="230"/>
      <c r="AB96" s="230"/>
      <c r="AC96" s="231">
        <f t="shared" si="24"/>
        <v>23207208</v>
      </c>
      <c r="AD96" s="264"/>
      <c r="AE96" s="241"/>
      <c r="AF96" s="194"/>
      <c r="AG96" s="194"/>
      <c r="AH96" s="194"/>
      <c r="AI96" s="194"/>
    </row>
    <row r="97" hidden="1">
      <c r="A97" s="126"/>
      <c r="B97" s="195"/>
      <c r="C97" s="196"/>
      <c r="D97" s="254" t="s">
        <v>194</v>
      </c>
      <c r="E97" s="233"/>
      <c r="F97" s="233"/>
      <c r="G97" s="233"/>
      <c r="H97" s="234"/>
      <c r="I97" s="234"/>
      <c r="J97" s="222"/>
      <c r="K97" s="222" t="s">
        <v>230</v>
      </c>
      <c r="L97" s="274"/>
      <c r="M97" s="255"/>
      <c r="N97" s="237"/>
      <c r="O97" s="237"/>
      <c r="P97" s="237"/>
      <c r="Q97" s="376">
        <f t="shared" ref="Q97:T97" si="37">4000000</f>
        <v>4000000</v>
      </c>
      <c r="R97" s="376">
        <f t="shared" si="37"/>
        <v>4000000</v>
      </c>
      <c r="S97" s="376">
        <f t="shared" si="37"/>
        <v>4000000</v>
      </c>
      <c r="T97" s="376">
        <f t="shared" si="37"/>
        <v>4000000</v>
      </c>
      <c r="U97" s="371">
        <v>3603604.0</v>
      </c>
      <c r="V97" s="238"/>
      <c r="W97" s="238"/>
      <c r="X97" s="238"/>
      <c r="Y97" s="238"/>
      <c r="Z97" s="238"/>
      <c r="AA97" s="238"/>
      <c r="AB97" s="238"/>
      <c r="AC97" s="231">
        <f t="shared" si="24"/>
        <v>19603604</v>
      </c>
      <c r="AD97" s="214"/>
      <c r="AE97" s="192"/>
      <c r="AF97" s="194"/>
      <c r="AG97" s="194"/>
      <c r="AH97" s="194"/>
      <c r="AI97" s="194"/>
    </row>
    <row r="98" hidden="1">
      <c r="A98" s="126"/>
      <c r="B98" s="195"/>
      <c r="C98" s="196"/>
      <c r="D98" s="254" t="s">
        <v>281</v>
      </c>
      <c r="E98" s="233"/>
      <c r="F98" s="233"/>
      <c r="G98" s="233"/>
      <c r="H98" s="234"/>
      <c r="I98" s="234"/>
      <c r="J98" s="222"/>
      <c r="K98" s="222" t="s">
        <v>230</v>
      </c>
      <c r="L98" s="274"/>
      <c r="M98" s="255"/>
      <c r="N98" s="237"/>
      <c r="O98" s="237"/>
      <c r="P98" s="237"/>
      <c r="Q98" s="376">
        <f t="shared" ref="Q98:T98" si="38">4000000</f>
        <v>4000000</v>
      </c>
      <c r="R98" s="376">
        <f t="shared" si="38"/>
        <v>4000000</v>
      </c>
      <c r="S98" s="376">
        <f t="shared" si="38"/>
        <v>4000000</v>
      </c>
      <c r="T98" s="376">
        <f t="shared" si="38"/>
        <v>4000000</v>
      </c>
      <c r="U98" s="371">
        <v>3603604.0</v>
      </c>
      <c r="V98" s="238"/>
      <c r="W98" s="238"/>
      <c r="X98" s="238"/>
      <c r="Y98" s="238"/>
      <c r="Z98" s="238"/>
      <c r="AA98" s="238"/>
      <c r="AB98" s="238"/>
      <c r="AC98" s="231">
        <f t="shared" si="24"/>
        <v>19603604</v>
      </c>
      <c r="AD98" s="214"/>
      <c r="AE98" s="192"/>
      <c r="AF98" s="194"/>
      <c r="AG98" s="194"/>
      <c r="AH98" s="194"/>
      <c r="AI98" s="194"/>
    </row>
    <row r="99">
      <c r="A99" s="126"/>
      <c r="B99" s="195"/>
      <c r="C99" s="196">
        <v>9.0</v>
      </c>
      <c r="D99" s="197" t="s">
        <v>282</v>
      </c>
      <c r="E99" s="198" t="s">
        <v>186</v>
      </c>
      <c r="F99" s="198" t="s">
        <v>103</v>
      </c>
      <c r="G99" s="198" t="s">
        <v>86</v>
      </c>
      <c r="H99" s="198" t="s">
        <v>86</v>
      </c>
      <c r="I99" s="198" t="s">
        <v>253</v>
      </c>
      <c r="J99" s="198" t="s">
        <v>254</v>
      </c>
      <c r="K99" s="199" t="s">
        <v>230</v>
      </c>
      <c r="L99" s="276">
        <v>4.3475631E8</v>
      </c>
      <c r="M99" s="257" t="s">
        <v>283</v>
      </c>
      <c r="N99" s="259"/>
      <c r="O99" s="259">
        <v>45292.0</v>
      </c>
      <c r="P99" s="259">
        <v>45657.0</v>
      </c>
      <c r="Q99" s="204">
        <v>3.2486124E7</v>
      </c>
      <c r="R99" s="204">
        <v>3.2486124E7</v>
      </c>
      <c r="S99" s="204">
        <v>3.2486124E7</v>
      </c>
      <c r="T99" s="204">
        <v>3.2486124E7</v>
      </c>
      <c r="U99" s="204">
        <v>3.2486124E7</v>
      </c>
      <c r="V99" s="204">
        <v>3.2486124E7</v>
      </c>
      <c r="W99" s="204">
        <v>3.2486124E7</v>
      </c>
      <c r="X99" s="204">
        <v>3.2486124E7</v>
      </c>
      <c r="Y99" s="204">
        <v>3.2486124E7</v>
      </c>
      <c r="Z99" s="204">
        <v>3.2486124E7</v>
      </c>
      <c r="AA99" s="204">
        <v>3.2486124E7</v>
      </c>
      <c r="AB99" s="204">
        <v>3.2486124E7</v>
      </c>
      <c r="AC99" s="205">
        <f t="shared" si="24"/>
        <v>389833488</v>
      </c>
      <c r="AD99" s="178">
        <f>SUM(Q99:AB99)-AC99</f>
        <v>0</v>
      </c>
      <c r="AE99" s="192"/>
      <c r="AF99" s="194"/>
      <c r="AG99" s="194"/>
      <c r="AH99" s="194"/>
      <c r="AI99" s="194"/>
    </row>
    <row r="100" hidden="1">
      <c r="A100" s="126"/>
      <c r="B100" s="195"/>
      <c r="C100" s="206"/>
      <c r="D100" s="207"/>
      <c r="E100" s="207"/>
      <c r="F100" s="207"/>
      <c r="G100" s="207"/>
      <c r="H100" s="206"/>
      <c r="I100" s="206"/>
      <c r="J100" s="206"/>
      <c r="K100" s="206" t="s">
        <v>230</v>
      </c>
      <c r="L100" s="351">
        <v>4.3475631E8</v>
      </c>
      <c r="M100" s="265" t="s">
        <v>284</v>
      </c>
      <c r="N100" s="341"/>
      <c r="O100" s="341">
        <v>45658.0</v>
      </c>
      <c r="P100" s="341">
        <v>46022.0</v>
      </c>
      <c r="Q100" s="208">
        <v>3.6059596E7</v>
      </c>
      <c r="R100" s="208">
        <v>3.6059596E7</v>
      </c>
      <c r="S100" s="208">
        <v>3.6059596E7</v>
      </c>
      <c r="T100" s="208">
        <v>3.6059596E7</v>
      </c>
      <c r="U100" s="208">
        <v>3.6059596E7</v>
      </c>
      <c r="V100" s="208">
        <v>3.6059596E7</v>
      </c>
      <c r="W100" s="208">
        <v>3.6059596E7</v>
      </c>
      <c r="X100" s="208">
        <v>3.6059596E7</v>
      </c>
      <c r="Y100" s="208">
        <v>3.6059596E7</v>
      </c>
      <c r="Z100" s="208">
        <v>3.6059596E7</v>
      </c>
      <c r="AA100" s="208">
        <v>3.6059596E7</v>
      </c>
      <c r="AB100" s="208">
        <v>3.6059596E7</v>
      </c>
      <c r="AC100" s="213">
        <f t="shared" si="24"/>
        <v>432715152</v>
      </c>
      <c r="AD100" s="214"/>
      <c r="AE100" s="192"/>
      <c r="AF100" s="194"/>
      <c r="AG100" s="194"/>
      <c r="AH100" s="194"/>
      <c r="AI100" s="194"/>
    </row>
    <row r="101" hidden="1">
      <c r="A101" s="126"/>
      <c r="B101" s="195"/>
      <c r="C101" s="222"/>
      <c r="D101" s="250" t="s">
        <v>285</v>
      </c>
      <c r="E101" s="224"/>
      <c r="F101" s="224"/>
      <c r="G101" s="224"/>
      <c r="H101" s="222"/>
      <c r="I101" s="222"/>
      <c r="J101" s="222"/>
      <c r="K101" s="222" t="s">
        <v>230</v>
      </c>
      <c r="L101" s="225"/>
      <c r="M101" s="236"/>
      <c r="N101" s="285"/>
      <c r="O101" s="285"/>
      <c r="P101" s="285"/>
      <c r="Q101" s="251">
        <v>3.6229693E7</v>
      </c>
      <c r="R101" s="251">
        <v>3.6229693E7</v>
      </c>
      <c r="S101" s="251">
        <v>3.6229693E7</v>
      </c>
      <c r="T101" s="251">
        <v>3.6229693E7</v>
      </c>
      <c r="U101" s="253">
        <v>3.2639363E7</v>
      </c>
      <c r="V101" s="372">
        <f>U101</f>
        <v>32639363</v>
      </c>
      <c r="W101" s="373"/>
      <c r="X101" s="373"/>
      <c r="Y101" s="373"/>
      <c r="Z101" s="230"/>
      <c r="AA101" s="230"/>
      <c r="AB101" s="230"/>
      <c r="AC101" s="231">
        <f t="shared" si="24"/>
        <v>210197498</v>
      </c>
      <c r="AD101" s="214"/>
      <c r="AE101" s="192"/>
      <c r="AF101" s="194"/>
      <c r="AG101" s="194"/>
      <c r="AH101" s="194"/>
      <c r="AI101" s="194"/>
    </row>
    <row r="102" hidden="1">
      <c r="A102" s="126"/>
      <c r="B102" s="195"/>
      <c r="C102" s="196"/>
      <c r="D102" s="254" t="s">
        <v>194</v>
      </c>
      <c r="E102" s="233"/>
      <c r="F102" s="233"/>
      <c r="G102" s="233"/>
      <c r="H102" s="377"/>
      <c r="I102" s="377"/>
      <c r="J102" s="222"/>
      <c r="K102" s="222" t="s">
        <v>230</v>
      </c>
      <c r="L102" s="274"/>
      <c r="M102" s="255"/>
      <c r="N102" s="237"/>
      <c r="O102" s="237"/>
      <c r="P102" s="237"/>
      <c r="Q102" s="251">
        <v>3.6229693E7</v>
      </c>
      <c r="R102" s="251">
        <v>3.6229693E7</v>
      </c>
      <c r="S102" s="251">
        <v>3.6229693E7</v>
      </c>
      <c r="T102" s="251">
        <v>3.6229693E7</v>
      </c>
      <c r="U102" s="253">
        <v>3.2639363E7</v>
      </c>
      <c r="V102" s="238"/>
      <c r="W102" s="238"/>
      <c r="X102" s="238"/>
      <c r="Y102" s="238"/>
      <c r="Z102" s="238"/>
      <c r="AA102" s="238"/>
      <c r="AB102" s="238"/>
      <c r="AC102" s="378">
        <f t="shared" si="24"/>
        <v>177558135</v>
      </c>
      <c r="AD102" s="214"/>
      <c r="AE102" s="192"/>
      <c r="AF102" s="194"/>
      <c r="AG102" s="194"/>
      <c r="AH102" s="194"/>
      <c r="AI102" s="194"/>
    </row>
    <row r="103" hidden="1">
      <c r="A103" s="126"/>
      <c r="B103" s="195"/>
      <c r="C103" s="196"/>
      <c r="D103" s="254" t="s">
        <v>286</v>
      </c>
      <c r="E103" s="233"/>
      <c r="F103" s="233"/>
      <c r="G103" s="233"/>
      <c r="H103" s="377"/>
      <c r="I103" s="377"/>
      <c r="J103" s="222"/>
      <c r="K103" s="222" t="s">
        <v>230</v>
      </c>
      <c r="L103" s="274"/>
      <c r="M103" s="255"/>
      <c r="N103" s="237"/>
      <c r="O103" s="237"/>
      <c r="P103" s="237"/>
      <c r="Q103" s="251">
        <v>3.6229693E7</v>
      </c>
      <c r="R103" s="251">
        <v>3.6229693E7</v>
      </c>
      <c r="S103" s="251">
        <v>3.6229693E7</v>
      </c>
      <c r="T103" s="251">
        <v>3.6229693E7</v>
      </c>
      <c r="U103" s="238"/>
      <c r="V103" s="238"/>
      <c r="W103" s="238"/>
      <c r="X103" s="238"/>
      <c r="Y103" s="238"/>
      <c r="Z103" s="238"/>
      <c r="AA103" s="238"/>
      <c r="AB103" s="238"/>
      <c r="AC103" s="378">
        <f t="shared" si="24"/>
        <v>144918772</v>
      </c>
      <c r="AD103" s="214"/>
      <c r="AE103" s="192"/>
      <c r="AF103" s="194"/>
      <c r="AG103" s="194"/>
      <c r="AH103" s="194"/>
      <c r="AI103" s="194"/>
    </row>
    <row r="104">
      <c r="A104" s="379"/>
      <c r="B104" s="195"/>
      <c r="C104" s="196">
        <v>10.0</v>
      </c>
      <c r="D104" s="380" t="s">
        <v>287</v>
      </c>
      <c r="E104" s="198" t="s">
        <v>186</v>
      </c>
      <c r="F104" s="198" t="s">
        <v>135</v>
      </c>
      <c r="G104" s="198" t="s">
        <v>135</v>
      </c>
      <c r="H104" s="198" t="s">
        <v>203</v>
      </c>
      <c r="I104" s="198" t="s">
        <v>187</v>
      </c>
      <c r="J104" s="198" t="s">
        <v>188</v>
      </c>
      <c r="K104" s="199" t="s">
        <v>230</v>
      </c>
      <c r="L104" s="276">
        <f>3899733838/1.11</f>
        <v>3513273728</v>
      </c>
      <c r="M104" s="257" t="s">
        <v>288</v>
      </c>
      <c r="N104" s="259"/>
      <c r="O104" s="259">
        <v>45200.0</v>
      </c>
      <c r="P104" s="259">
        <v>45565.0</v>
      </c>
      <c r="Q104" s="204">
        <v>3.19442525E8</v>
      </c>
      <c r="R104" s="204">
        <v>3.19442525E8</v>
      </c>
      <c r="S104" s="204">
        <v>3.19442525E8</v>
      </c>
      <c r="T104" s="204">
        <v>3.19442525E8</v>
      </c>
      <c r="U104" s="204">
        <v>3.19442525E8</v>
      </c>
      <c r="V104" s="204">
        <v>3.19442525E8</v>
      </c>
      <c r="W104" s="204">
        <v>3.19442525E8</v>
      </c>
      <c r="X104" s="204">
        <v>3.19442525E8</v>
      </c>
      <c r="Y104" s="204">
        <v>3.19442525E8</v>
      </c>
      <c r="Z104" s="204">
        <v>3.19442525E8</v>
      </c>
      <c r="AA104" s="204">
        <v>3.19442525E8</v>
      </c>
      <c r="AB104" s="204">
        <v>3.19442525E8</v>
      </c>
      <c r="AC104" s="205">
        <f t="shared" si="24"/>
        <v>3833310300</v>
      </c>
      <c r="AD104" s="178">
        <f>SUM(Q104:AB104)-AC104</f>
        <v>0</v>
      </c>
      <c r="AE104" s="241"/>
      <c r="AF104" s="194"/>
      <c r="AG104" s="194"/>
      <c r="AH104" s="194"/>
      <c r="AI104" s="194"/>
    </row>
    <row r="105" hidden="1">
      <c r="A105" s="126"/>
      <c r="B105" s="195"/>
      <c r="C105" s="206"/>
      <c r="D105" s="381" t="s">
        <v>289</v>
      </c>
      <c r="E105" s="207"/>
      <c r="F105" s="207"/>
      <c r="G105" s="207"/>
      <c r="H105" s="206"/>
      <c r="I105" s="206"/>
      <c r="J105" s="206"/>
      <c r="K105" s="206" t="s">
        <v>230</v>
      </c>
      <c r="L105" s="245">
        <v>4.978976845E9</v>
      </c>
      <c r="M105" s="246" t="s">
        <v>290</v>
      </c>
      <c r="N105" s="367"/>
      <c r="O105" s="367">
        <v>45200.0</v>
      </c>
      <c r="P105" s="382">
        <v>45657.0</v>
      </c>
      <c r="Q105" s="249"/>
      <c r="R105" s="249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213">
        <f t="shared" si="24"/>
        <v>0</v>
      </c>
      <c r="AD105" s="214"/>
      <c r="AE105" s="192"/>
      <c r="AF105" s="194"/>
      <c r="AG105" s="194"/>
      <c r="AH105" s="194"/>
      <c r="AI105" s="194"/>
    </row>
    <row r="106" hidden="1">
      <c r="A106" s="126"/>
      <c r="B106" s="195"/>
      <c r="C106" s="206"/>
      <c r="D106" s="220" t="s">
        <v>291</v>
      </c>
      <c r="E106" s="207"/>
      <c r="F106" s="207"/>
      <c r="G106" s="207"/>
      <c r="H106" s="206"/>
      <c r="I106" s="206"/>
      <c r="J106" s="221"/>
      <c r="K106" s="221" t="s">
        <v>230</v>
      </c>
      <c r="L106" s="282">
        <v>5.295171156E9</v>
      </c>
      <c r="M106" s="265" t="s">
        <v>235</v>
      </c>
      <c r="N106" s="368"/>
      <c r="O106" s="368">
        <f>P105+1</f>
        <v>45658</v>
      </c>
      <c r="P106" s="368">
        <f>O106+30</f>
        <v>45688</v>
      </c>
      <c r="Q106" s="249">
        <v>3.03611247E8</v>
      </c>
      <c r="R106" s="249"/>
      <c r="S106" s="212"/>
      <c r="T106" s="212"/>
      <c r="U106" s="212"/>
      <c r="V106" s="212"/>
      <c r="W106" s="212"/>
      <c r="X106" s="212"/>
      <c r="Y106" s="212"/>
      <c r="Z106" s="212"/>
      <c r="AA106" s="212"/>
      <c r="AB106" s="212"/>
      <c r="AC106" s="213">
        <f t="shared" si="24"/>
        <v>303611247</v>
      </c>
      <c r="AD106" s="214"/>
      <c r="AE106" s="192"/>
      <c r="AF106" s="194"/>
      <c r="AG106" s="194"/>
      <c r="AH106" s="194"/>
      <c r="AI106" s="194"/>
    </row>
    <row r="107" hidden="1">
      <c r="A107" s="126"/>
      <c r="B107" s="195"/>
      <c r="C107" s="222"/>
      <c r="D107" s="250" t="s">
        <v>292</v>
      </c>
      <c r="E107" s="224"/>
      <c r="F107" s="224"/>
      <c r="G107" s="224"/>
      <c r="H107" s="222"/>
      <c r="I107" s="222"/>
      <c r="J107" s="222"/>
      <c r="K107" s="222" t="s">
        <v>230</v>
      </c>
      <c r="L107" s="225"/>
      <c r="M107" s="383"/>
      <c r="N107" s="285"/>
      <c r="O107" s="285"/>
      <c r="P107" s="285"/>
      <c r="Q107" s="229">
        <v>3.03611247E8</v>
      </c>
      <c r="R107" s="228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1">
        <f t="shared" si="24"/>
        <v>303611247</v>
      </c>
      <c r="AD107" s="214"/>
      <c r="AE107" s="241"/>
      <c r="AF107" s="194"/>
      <c r="AG107" s="194"/>
      <c r="AH107" s="194"/>
      <c r="AI107" s="194"/>
    </row>
    <row r="108" hidden="1">
      <c r="A108" s="126"/>
      <c r="B108" s="195"/>
      <c r="C108" s="196"/>
      <c r="D108" s="286" t="s">
        <v>194</v>
      </c>
      <c r="E108" s="233"/>
      <c r="F108" s="233"/>
      <c r="G108" s="233"/>
      <c r="H108" s="377"/>
      <c r="I108" s="377"/>
      <c r="J108" s="222"/>
      <c r="K108" s="222" t="s">
        <v>230</v>
      </c>
      <c r="L108" s="274"/>
      <c r="M108" s="255"/>
      <c r="N108" s="237"/>
      <c r="O108" s="237"/>
      <c r="P108" s="227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  <c r="AA108" s="238"/>
      <c r="AB108" s="238"/>
      <c r="AC108" s="378">
        <f t="shared" si="24"/>
        <v>0</v>
      </c>
      <c r="AD108" s="214"/>
      <c r="AE108" s="241"/>
      <c r="AF108" s="194"/>
      <c r="AG108" s="194"/>
      <c r="AH108" s="194"/>
      <c r="AI108" s="194"/>
    </row>
    <row r="109" hidden="1">
      <c r="A109" s="126"/>
      <c r="B109" s="195"/>
      <c r="C109" s="196"/>
      <c r="D109" s="286" t="s">
        <v>293</v>
      </c>
      <c r="E109" s="233"/>
      <c r="F109" s="233"/>
      <c r="G109" s="233"/>
      <c r="H109" s="377"/>
      <c r="I109" s="377"/>
      <c r="J109" s="222"/>
      <c r="K109" s="222" t="s">
        <v>230</v>
      </c>
      <c r="L109" s="274"/>
      <c r="M109" s="255"/>
      <c r="N109" s="237"/>
      <c r="O109" s="237"/>
      <c r="P109" s="227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  <c r="AA109" s="238"/>
      <c r="AB109" s="238"/>
      <c r="AC109" s="378">
        <f t="shared" si="24"/>
        <v>0</v>
      </c>
      <c r="AD109" s="214"/>
      <c r="AE109" s="241"/>
      <c r="AF109" s="194"/>
      <c r="AG109" s="194"/>
      <c r="AH109" s="194"/>
      <c r="AI109" s="194"/>
    </row>
    <row r="110">
      <c r="A110" s="126"/>
      <c r="B110" s="195"/>
      <c r="C110" s="196">
        <v>11.0</v>
      </c>
      <c r="D110" s="354" t="s">
        <v>294</v>
      </c>
      <c r="E110" s="198" t="s">
        <v>186</v>
      </c>
      <c r="F110" s="198" t="s">
        <v>88</v>
      </c>
      <c r="G110" s="198" t="s">
        <v>88</v>
      </c>
      <c r="H110" s="198" t="s">
        <v>218</v>
      </c>
      <c r="I110" s="198" t="s">
        <v>187</v>
      </c>
      <c r="J110" s="198" t="s">
        <v>188</v>
      </c>
      <c r="K110" s="199" t="s">
        <v>230</v>
      </c>
      <c r="L110" s="276">
        <f>26120186504</f>
        <v>26120186504</v>
      </c>
      <c r="M110" s="257" t="s">
        <v>295</v>
      </c>
      <c r="N110" s="259"/>
      <c r="O110" s="259">
        <v>45231.0</v>
      </c>
      <c r="P110" s="258">
        <v>45596.0</v>
      </c>
      <c r="Q110" s="204">
        <v>2.374111525E9</v>
      </c>
      <c r="R110" s="204">
        <v>2.374111525E9</v>
      </c>
      <c r="S110" s="204">
        <v>2.374111525E9</v>
      </c>
      <c r="T110" s="204">
        <v>2.374111525E9</v>
      </c>
      <c r="U110" s="204">
        <v>2.374111525E9</v>
      </c>
      <c r="V110" s="204">
        <v>2.374111525E9</v>
      </c>
      <c r="W110" s="204">
        <v>2.374111525E9</v>
      </c>
      <c r="X110" s="204">
        <v>2.374111525E9</v>
      </c>
      <c r="Y110" s="204">
        <v>2.374111525E9</v>
      </c>
      <c r="Z110" s="204">
        <v>2.374111525E9</v>
      </c>
      <c r="AA110" s="204">
        <v>2.374111525E9</v>
      </c>
      <c r="AB110" s="204">
        <v>2.374111525E9</v>
      </c>
      <c r="AC110" s="205">
        <f t="shared" si="24"/>
        <v>28489338300</v>
      </c>
      <c r="AD110" s="178">
        <f>SUM(Q110:AB110)-AC110</f>
        <v>0</v>
      </c>
      <c r="AE110" s="241"/>
      <c r="AF110" s="194"/>
      <c r="AG110" s="194"/>
      <c r="AH110" s="194"/>
      <c r="AI110" s="194"/>
    </row>
    <row r="111" hidden="1">
      <c r="A111" s="126"/>
      <c r="B111" s="195"/>
      <c r="C111" s="206"/>
      <c r="D111" s="207"/>
      <c r="E111" s="207"/>
      <c r="F111" s="207"/>
      <c r="G111" s="207"/>
      <c r="H111" s="206"/>
      <c r="I111" s="206"/>
      <c r="J111" s="206"/>
      <c r="K111" s="206" t="s">
        <v>230</v>
      </c>
      <c r="L111" s="277">
        <f>(36844208773/1.11)-(29855802066/1.11)</f>
        <v>6295861898</v>
      </c>
      <c r="M111" s="209" t="s">
        <v>296</v>
      </c>
      <c r="N111" s="367"/>
      <c r="O111" s="367">
        <v>45597.0</v>
      </c>
      <c r="P111" s="382">
        <v>45688.0</v>
      </c>
      <c r="Q111" s="267">
        <v>2.441557148E9</v>
      </c>
      <c r="R111" s="268"/>
      <c r="S111" s="268"/>
      <c r="T111" s="268"/>
      <c r="U111" s="268"/>
      <c r="V111" s="212"/>
      <c r="W111" s="212"/>
      <c r="X111" s="212"/>
      <c r="Y111" s="212"/>
      <c r="Z111" s="212"/>
      <c r="AA111" s="212"/>
      <c r="AB111" s="212"/>
      <c r="AC111" s="213">
        <f t="shared" si="24"/>
        <v>2441557148</v>
      </c>
      <c r="AD111" s="214"/>
      <c r="AE111" s="192"/>
      <c r="AF111" s="194"/>
      <c r="AG111" s="194"/>
      <c r="AH111" s="194"/>
      <c r="AI111" s="194"/>
    </row>
    <row r="112" hidden="1">
      <c r="A112" s="126"/>
      <c r="B112" s="195"/>
      <c r="C112" s="206"/>
      <c r="D112" s="220"/>
      <c r="E112" s="207"/>
      <c r="F112" s="207"/>
      <c r="G112" s="207"/>
      <c r="H112" s="206"/>
      <c r="I112" s="206"/>
      <c r="J112" s="221"/>
      <c r="K112" s="221" t="s">
        <v>230</v>
      </c>
      <c r="L112" s="282">
        <v>2.441557148E9</v>
      </c>
      <c r="M112" s="265" t="s">
        <v>297</v>
      </c>
      <c r="N112" s="368"/>
      <c r="O112" s="368">
        <v>45689.0</v>
      </c>
      <c r="P112" s="368">
        <v>45716.0</v>
      </c>
      <c r="Q112" s="208"/>
      <c r="R112" s="208">
        <v>2.441557148E9</v>
      </c>
      <c r="S112" s="384"/>
      <c r="T112" s="385"/>
      <c r="U112" s="212"/>
      <c r="V112" s="212"/>
      <c r="W112" s="212"/>
      <c r="X112" s="212"/>
      <c r="Y112" s="212"/>
      <c r="Z112" s="212"/>
      <c r="AA112" s="212"/>
      <c r="AB112" s="212"/>
      <c r="AC112" s="213">
        <f t="shared" si="24"/>
        <v>2441557148</v>
      </c>
      <c r="AD112" s="214"/>
      <c r="AE112" s="192"/>
      <c r="AF112" s="194"/>
      <c r="AG112" s="194"/>
      <c r="AH112" s="194"/>
      <c r="AI112" s="194"/>
    </row>
    <row r="113" hidden="1">
      <c r="A113" s="126"/>
      <c r="B113" s="195"/>
      <c r="C113" s="206"/>
      <c r="D113" s="220" t="s">
        <v>298</v>
      </c>
      <c r="E113" s="207"/>
      <c r="F113" s="207"/>
      <c r="G113" s="207"/>
      <c r="H113" s="206"/>
      <c r="I113" s="206"/>
      <c r="J113" s="221"/>
      <c r="K113" s="221" t="s">
        <v>230</v>
      </c>
      <c r="L113" s="282">
        <v>4.883114296E9</v>
      </c>
      <c r="M113" s="265" t="s">
        <v>299</v>
      </c>
      <c r="N113" s="368"/>
      <c r="O113" s="368">
        <v>45717.0</v>
      </c>
      <c r="P113" s="368">
        <v>45777.0</v>
      </c>
      <c r="Q113" s="384"/>
      <c r="R113" s="384"/>
      <c r="S113" s="208">
        <v>2.441557148E9</v>
      </c>
      <c r="T113" s="208">
        <f>S113</f>
        <v>2441557148</v>
      </c>
      <c r="U113" s="212"/>
      <c r="V113" s="212"/>
      <c r="W113" s="212"/>
      <c r="X113" s="212"/>
      <c r="Y113" s="212"/>
      <c r="Z113" s="212"/>
      <c r="AA113" s="212"/>
      <c r="AB113" s="212"/>
      <c r="AC113" s="213">
        <f t="shared" si="24"/>
        <v>4883114296</v>
      </c>
      <c r="AD113" s="214"/>
      <c r="AE113" s="386"/>
      <c r="AF113" s="311"/>
      <c r="AG113" s="311"/>
      <c r="AH113" s="311"/>
      <c r="AI113" s="311"/>
    </row>
    <row r="114" hidden="1">
      <c r="A114" s="126"/>
      <c r="B114" s="195"/>
      <c r="C114" s="206"/>
      <c r="D114" s="220" t="s">
        <v>298</v>
      </c>
      <c r="E114" s="207"/>
      <c r="F114" s="207"/>
      <c r="G114" s="207"/>
      <c r="H114" s="206"/>
      <c r="I114" s="206"/>
      <c r="J114" s="221"/>
      <c r="K114" s="221" t="s">
        <v>230</v>
      </c>
      <c r="L114" s="282">
        <v>2.441557148E9</v>
      </c>
      <c r="M114" s="265" t="s">
        <v>300</v>
      </c>
      <c r="N114" s="283"/>
      <c r="O114" s="283">
        <f t="shared" ref="O114:O115" si="39">P113+1</f>
        <v>45778</v>
      </c>
      <c r="P114" s="283">
        <f>O114+30</f>
        <v>45808</v>
      </c>
      <c r="Q114" s="267"/>
      <c r="R114" s="267"/>
      <c r="S114" s="267"/>
      <c r="T114" s="267"/>
      <c r="U114" s="212">
        <f>T113</f>
        <v>2441557148</v>
      </c>
      <c r="V114" s="212"/>
      <c r="W114" s="212"/>
      <c r="X114" s="212"/>
      <c r="Y114" s="212"/>
      <c r="Z114" s="212"/>
      <c r="AA114" s="212"/>
      <c r="AB114" s="212"/>
      <c r="AC114" s="213">
        <f t="shared" si="24"/>
        <v>2441557148</v>
      </c>
      <c r="AD114" s="271"/>
      <c r="AE114" s="241"/>
      <c r="AF114" s="194"/>
      <c r="AG114" s="194"/>
      <c r="AH114" s="194"/>
      <c r="AI114" s="194"/>
    </row>
    <row r="115" hidden="1">
      <c r="A115" s="126"/>
      <c r="B115" s="195"/>
      <c r="C115" s="206"/>
      <c r="D115" s="220" t="s">
        <v>298</v>
      </c>
      <c r="E115" s="207"/>
      <c r="F115" s="207"/>
      <c r="G115" s="207"/>
      <c r="H115" s="206"/>
      <c r="I115" s="206"/>
      <c r="J115" s="221"/>
      <c r="K115" s="221" t="s">
        <v>230</v>
      </c>
      <c r="L115" s="282">
        <v>4.883114295E9</v>
      </c>
      <c r="M115" s="265" t="s">
        <v>301</v>
      </c>
      <c r="N115" s="283"/>
      <c r="O115" s="283">
        <f t="shared" si="39"/>
        <v>45809</v>
      </c>
      <c r="P115" s="283">
        <f>O115+60</f>
        <v>45869</v>
      </c>
      <c r="Q115" s="267"/>
      <c r="R115" s="267"/>
      <c r="S115" s="267"/>
      <c r="T115" s="267"/>
      <c r="U115" s="212"/>
      <c r="V115" s="212">
        <f>U114</f>
        <v>2441557148</v>
      </c>
      <c r="W115" s="212">
        <f>V115</f>
        <v>2441557148</v>
      </c>
      <c r="X115" s="212"/>
      <c r="Y115" s="212"/>
      <c r="Z115" s="212"/>
      <c r="AA115" s="212"/>
      <c r="AB115" s="212"/>
      <c r="AC115" s="213">
        <f t="shared" si="24"/>
        <v>4883114296</v>
      </c>
      <c r="AD115" s="271"/>
      <c r="AE115" s="241"/>
      <c r="AF115" s="194"/>
      <c r="AG115" s="194"/>
      <c r="AH115" s="194"/>
      <c r="AI115" s="194"/>
    </row>
    <row r="116" hidden="1">
      <c r="A116" s="126"/>
      <c r="B116" s="195"/>
      <c r="C116" s="222"/>
      <c r="D116" s="250" t="s">
        <v>302</v>
      </c>
      <c r="E116" s="224"/>
      <c r="F116" s="224"/>
      <c r="G116" s="224"/>
      <c r="H116" s="222"/>
      <c r="I116" s="222"/>
      <c r="J116" s="222"/>
      <c r="K116" s="222" t="s">
        <v>230</v>
      </c>
      <c r="L116" s="225"/>
      <c r="M116" s="383"/>
      <c r="N116" s="285"/>
      <c r="O116" s="285"/>
      <c r="P116" s="285"/>
      <c r="Q116" s="229">
        <v>2.116899594E9</v>
      </c>
      <c r="R116" s="229">
        <v>2.199601034234234E9</v>
      </c>
      <c r="S116" s="229">
        <v>2.199601034234234E9</v>
      </c>
      <c r="T116" s="229">
        <v>2.199601034234234E9</v>
      </c>
      <c r="U116" s="229">
        <v>2.199601034234234E9</v>
      </c>
      <c r="V116" s="229">
        <v>2.199601034234234E9</v>
      </c>
      <c r="W116" s="230"/>
      <c r="X116" s="230"/>
      <c r="Y116" s="230"/>
      <c r="Z116" s="230"/>
      <c r="AA116" s="230"/>
      <c r="AB116" s="230"/>
      <c r="AC116" s="231">
        <f t="shared" si="24"/>
        <v>13114904765</v>
      </c>
      <c r="AD116" s="264"/>
      <c r="AE116" s="241"/>
      <c r="AF116" s="194"/>
      <c r="AG116" s="194"/>
      <c r="AH116" s="194"/>
      <c r="AI116" s="194"/>
    </row>
    <row r="117" hidden="1">
      <c r="A117" s="126"/>
      <c r="B117" s="195"/>
      <c r="C117" s="196"/>
      <c r="D117" s="254" t="s">
        <v>194</v>
      </c>
      <c r="E117" s="233"/>
      <c r="F117" s="233"/>
      <c r="G117" s="233"/>
      <c r="H117" s="234"/>
      <c r="I117" s="234"/>
      <c r="J117" s="222"/>
      <c r="K117" s="222" t="s">
        <v>230</v>
      </c>
      <c r="L117" s="225"/>
      <c r="M117" s="383"/>
      <c r="N117" s="285"/>
      <c r="O117" s="285"/>
      <c r="P117" s="237"/>
      <c r="Q117" s="229">
        <v>2.116899594E9</v>
      </c>
      <c r="R117" s="238"/>
      <c r="S117" s="238"/>
      <c r="T117" s="238"/>
      <c r="U117" s="238"/>
      <c r="V117" s="238"/>
      <c r="W117" s="238"/>
      <c r="X117" s="238"/>
      <c r="Y117" s="238"/>
      <c r="Z117" s="238"/>
      <c r="AA117" s="238"/>
      <c r="AB117" s="238"/>
      <c r="AC117" s="378">
        <f t="shared" si="24"/>
        <v>2116899594</v>
      </c>
      <c r="AD117" s="214"/>
      <c r="AE117" s="192"/>
      <c r="AF117" s="194"/>
      <c r="AG117" s="194"/>
      <c r="AH117" s="194"/>
      <c r="AI117" s="194"/>
    </row>
    <row r="118" hidden="1">
      <c r="A118" s="126"/>
      <c r="B118" s="195"/>
      <c r="C118" s="196"/>
      <c r="D118" s="254" t="s">
        <v>303</v>
      </c>
      <c r="E118" s="233"/>
      <c r="F118" s="233"/>
      <c r="G118" s="233"/>
      <c r="H118" s="234"/>
      <c r="I118" s="234"/>
      <c r="J118" s="222"/>
      <c r="K118" s="222" t="s">
        <v>230</v>
      </c>
      <c r="L118" s="225"/>
      <c r="M118" s="383"/>
      <c r="N118" s="285"/>
      <c r="O118" s="285"/>
      <c r="P118" s="237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  <c r="AA118" s="238"/>
      <c r="AB118" s="238"/>
      <c r="AC118" s="378">
        <f t="shared" si="24"/>
        <v>0</v>
      </c>
      <c r="AD118" s="214"/>
      <c r="AE118" s="192"/>
      <c r="AF118" s="194"/>
      <c r="AG118" s="194"/>
      <c r="AH118" s="194"/>
      <c r="AI118" s="194"/>
    </row>
    <row r="119">
      <c r="A119" s="379"/>
      <c r="B119" s="195"/>
      <c r="C119" s="196">
        <v>12.0</v>
      </c>
      <c r="D119" s="380" t="s">
        <v>304</v>
      </c>
      <c r="E119" s="198" t="s">
        <v>186</v>
      </c>
      <c r="F119" s="198" t="s">
        <v>305</v>
      </c>
      <c r="G119" s="198" t="s">
        <v>92</v>
      </c>
      <c r="H119" s="198" t="s">
        <v>306</v>
      </c>
      <c r="I119" s="198" t="s">
        <v>187</v>
      </c>
      <c r="J119" s="198" t="s">
        <v>188</v>
      </c>
      <c r="K119" s="199" t="s">
        <v>230</v>
      </c>
      <c r="L119" s="355"/>
      <c r="M119" s="387"/>
      <c r="N119" s="388"/>
      <c r="O119" s="388"/>
      <c r="P119" s="259">
        <v>45595.0</v>
      </c>
      <c r="Q119" s="204">
        <v>4.700833333333332E7</v>
      </c>
      <c r="R119" s="204">
        <v>4.700833333333332E7</v>
      </c>
      <c r="S119" s="204">
        <v>4.700833333333332E7</v>
      </c>
      <c r="T119" s="204">
        <v>4.700833333333332E7</v>
      </c>
      <c r="U119" s="204">
        <v>4.700833333333332E7</v>
      </c>
      <c r="V119" s="204">
        <v>4.700833333333332E7</v>
      </c>
      <c r="W119" s="204">
        <v>4.700833333333332E7</v>
      </c>
      <c r="X119" s="204">
        <v>4.700833333333332E7</v>
      </c>
      <c r="Y119" s="204">
        <v>4.700833333333332E7</v>
      </c>
      <c r="Z119" s="204">
        <v>4.700833333333332E7</v>
      </c>
      <c r="AA119" s="204">
        <v>4.700833333333332E7</v>
      </c>
      <c r="AB119" s="204">
        <v>4.700833333333332E7</v>
      </c>
      <c r="AC119" s="205">
        <f t="shared" si="24"/>
        <v>564100000</v>
      </c>
      <c r="AD119" s="178">
        <f>SUM(Q119:AB119)-AC119</f>
        <v>0</v>
      </c>
      <c r="AE119" s="192"/>
      <c r="AF119" s="194"/>
      <c r="AG119" s="194"/>
      <c r="AH119" s="194"/>
      <c r="AI119" s="194"/>
    </row>
    <row r="120" hidden="1">
      <c r="A120" s="126"/>
      <c r="B120" s="195"/>
      <c r="C120" s="206"/>
      <c r="D120" s="220" t="s">
        <v>307</v>
      </c>
      <c r="E120" s="207"/>
      <c r="F120" s="207"/>
      <c r="G120" s="207"/>
      <c r="H120" s="206"/>
      <c r="I120" s="206"/>
      <c r="J120" s="206"/>
      <c r="K120" s="206" t="s">
        <v>230</v>
      </c>
      <c r="L120" s="277"/>
      <c r="M120" s="265"/>
      <c r="N120" s="389"/>
      <c r="O120" s="389"/>
      <c r="P120" s="367" t="s">
        <v>308</v>
      </c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213">
        <f t="shared" si="24"/>
        <v>0</v>
      </c>
      <c r="AD120" s="214"/>
      <c r="AE120" s="386"/>
      <c r="AF120" s="311"/>
      <c r="AG120" s="311"/>
      <c r="AH120" s="311"/>
      <c r="AI120" s="311"/>
    </row>
    <row r="121" hidden="1">
      <c r="A121" s="126"/>
      <c r="B121" s="195"/>
      <c r="C121" s="222"/>
      <c r="D121" s="250" t="s">
        <v>309</v>
      </c>
      <c r="E121" s="224"/>
      <c r="F121" s="224"/>
      <c r="G121" s="224"/>
      <c r="H121" s="222"/>
      <c r="I121" s="222"/>
      <c r="J121" s="222"/>
      <c r="K121" s="222" t="s">
        <v>230</v>
      </c>
      <c r="L121" s="225"/>
      <c r="M121" s="236"/>
      <c r="N121" s="285"/>
      <c r="O121" s="285"/>
      <c r="P121" s="285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1">
        <f t="shared" si="24"/>
        <v>0</v>
      </c>
      <c r="AD121" s="264"/>
      <c r="AE121" s="241"/>
      <c r="AF121" s="194"/>
      <c r="AG121" s="194"/>
      <c r="AH121" s="194"/>
      <c r="AI121" s="194"/>
    </row>
    <row r="122" hidden="1">
      <c r="A122" s="126"/>
      <c r="B122" s="195"/>
      <c r="C122" s="196"/>
      <c r="D122" s="254" t="s">
        <v>194</v>
      </c>
      <c r="E122" s="233"/>
      <c r="F122" s="233"/>
      <c r="G122" s="233"/>
      <c r="H122" s="234"/>
      <c r="I122" s="234"/>
      <c r="J122" s="222"/>
      <c r="K122" s="222" t="s">
        <v>230</v>
      </c>
      <c r="L122" s="346"/>
      <c r="M122" s="255"/>
      <c r="N122" s="227"/>
      <c r="O122" s="227"/>
      <c r="P122" s="227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  <c r="AA122" s="238"/>
      <c r="AB122" s="238"/>
      <c r="AC122" s="378">
        <f t="shared" si="24"/>
        <v>0</v>
      </c>
      <c r="AD122" s="214"/>
      <c r="AE122" s="192"/>
      <c r="AF122" s="194"/>
      <c r="AG122" s="194"/>
      <c r="AH122" s="194"/>
      <c r="AI122" s="194"/>
    </row>
    <row r="123" hidden="1">
      <c r="A123" s="126"/>
      <c r="B123" s="195"/>
      <c r="C123" s="196"/>
      <c r="D123" s="254" t="s">
        <v>310</v>
      </c>
      <c r="E123" s="233"/>
      <c r="F123" s="233"/>
      <c r="G123" s="233"/>
      <c r="H123" s="234"/>
      <c r="I123" s="234"/>
      <c r="J123" s="222"/>
      <c r="K123" s="222" t="s">
        <v>230</v>
      </c>
      <c r="L123" s="346"/>
      <c r="M123" s="255"/>
      <c r="N123" s="227"/>
      <c r="O123" s="227"/>
      <c r="P123" s="227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  <c r="AA123" s="238"/>
      <c r="AB123" s="238"/>
      <c r="AC123" s="378">
        <f t="shared" si="24"/>
        <v>0</v>
      </c>
      <c r="AD123" s="214"/>
      <c r="AE123" s="192"/>
      <c r="AF123" s="194"/>
      <c r="AG123" s="194"/>
      <c r="AH123" s="194"/>
      <c r="AI123" s="194"/>
    </row>
    <row r="124">
      <c r="A124" s="126"/>
      <c r="B124" s="195"/>
      <c r="C124" s="196">
        <v>13.0</v>
      </c>
      <c r="D124" s="197" t="s">
        <v>311</v>
      </c>
      <c r="E124" s="198" t="s">
        <v>186</v>
      </c>
      <c r="F124" s="198" t="s">
        <v>305</v>
      </c>
      <c r="G124" s="198" t="s">
        <v>92</v>
      </c>
      <c r="H124" s="198" t="s">
        <v>306</v>
      </c>
      <c r="I124" s="198" t="s">
        <v>187</v>
      </c>
      <c r="J124" s="198" t="s">
        <v>188</v>
      </c>
      <c r="K124" s="199" t="s">
        <v>230</v>
      </c>
      <c r="L124" s="347">
        <v>7.75E9</v>
      </c>
      <c r="M124" s="257" t="s">
        <v>312</v>
      </c>
      <c r="N124" s="258"/>
      <c r="O124" s="258">
        <v>45252.0</v>
      </c>
      <c r="P124" s="258">
        <v>45981.0</v>
      </c>
      <c r="Q124" s="204">
        <v>2.4646044128800008E8</v>
      </c>
      <c r="R124" s="204">
        <v>2.4646044128800008E8</v>
      </c>
      <c r="S124" s="204">
        <v>2.4646044128800008E8</v>
      </c>
      <c r="T124" s="204">
        <v>2.4646044128800008E8</v>
      </c>
      <c r="U124" s="204">
        <v>2.4646044128800008E8</v>
      </c>
      <c r="V124" s="204">
        <v>2.4646044128800008E8</v>
      </c>
      <c r="W124" s="204">
        <v>2.4646044128800008E8</v>
      </c>
      <c r="X124" s="204">
        <v>2.4646044128800008E8</v>
      </c>
      <c r="Y124" s="204">
        <v>2.4646044128800008E8</v>
      </c>
      <c r="Z124" s="204">
        <v>2.4646044128800008E8</v>
      </c>
      <c r="AA124" s="204">
        <v>2.4646044128800008E8</v>
      </c>
      <c r="AB124" s="204">
        <v>2.4646044128800008E8</v>
      </c>
      <c r="AC124" s="205">
        <f t="shared" si="24"/>
        <v>2957525295</v>
      </c>
      <c r="AD124" s="178">
        <f>SUM(Q124:AB124)-AC124</f>
        <v>0</v>
      </c>
      <c r="AE124" s="192"/>
      <c r="AF124" s="194"/>
      <c r="AG124" s="194"/>
      <c r="AH124" s="194"/>
      <c r="AI124" s="194"/>
    </row>
    <row r="125" hidden="1">
      <c r="A125" s="126"/>
      <c r="B125" s="195"/>
      <c r="C125" s="206"/>
      <c r="D125" s="207"/>
      <c r="E125" s="207"/>
      <c r="F125" s="207"/>
      <c r="G125" s="207"/>
      <c r="H125" s="206"/>
      <c r="I125" s="206"/>
      <c r="J125" s="206"/>
      <c r="K125" s="206" t="s">
        <v>230</v>
      </c>
      <c r="L125" s="245"/>
      <c r="M125" s="244"/>
      <c r="N125" s="210"/>
      <c r="O125" s="210"/>
      <c r="P125" s="210">
        <f>P124</f>
        <v>45981</v>
      </c>
      <c r="Q125" s="208">
        <v>2.51E8</v>
      </c>
      <c r="R125" s="208">
        <v>2.51E8</v>
      </c>
      <c r="S125" s="208">
        <v>2.51E8</v>
      </c>
      <c r="T125" s="208">
        <v>2.51E8</v>
      </c>
      <c r="U125" s="208">
        <v>2.51E8</v>
      </c>
      <c r="V125" s="208">
        <v>2.51E8</v>
      </c>
      <c r="W125" s="208">
        <v>2.51E8</v>
      </c>
      <c r="X125" s="208">
        <v>2.51E8</v>
      </c>
      <c r="Y125" s="208">
        <v>2.51E8</v>
      </c>
      <c r="Z125" s="208">
        <v>2.51E8</v>
      </c>
      <c r="AA125" s="208">
        <v>2.51E8</v>
      </c>
      <c r="AB125" s="212"/>
      <c r="AC125" s="213">
        <f t="shared" si="24"/>
        <v>2761000000</v>
      </c>
      <c r="AD125" s="214"/>
      <c r="AE125" s="386"/>
      <c r="AF125" s="311"/>
      <c r="AG125" s="311"/>
      <c r="AH125" s="311"/>
      <c r="AI125" s="311"/>
    </row>
    <row r="126" hidden="1">
      <c r="A126" s="126"/>
      <c r="B126" s="195"/>
      <c r="C126" s="206"/>
      <c r="D126" s="207"/>
      <c r="E126" s="207"/>
      <c r="F126" s="207"/>
      <c r="G126" s="207"/>
      <c r="H126" s="206"/>
      <c r="I126" s="206"/>
      <c r="J126" s="206"/>
      <c r="K126" s="206" t="s">
        <v>230</v>
      </c>
      <c r="L126" s="277"/>
      <c r="M126" s="244"/>
      <c r="N126" s="389"/>
      <c r="O126" s="389">
        <f>P125+1</f>
        <v>45982</v>
      </c>
      <c r="P126" s="389"/>
      <c r="Q126" s="208"/>
      <c r="R126" s="208"/>
      <c r="S126" s="208"/>
      <c r="T126" s="208"/>
      <c r="U126" s="208"/>
      <c r="V126" s="272"/>
      <c r="W126" s="272"/>
      <c r="X126" s="272"/>
      <c r="Y126" s="272"/>
      <c r="Z126" s="272"/>
      <c r="AA126" s="272"/>
      <c r="AB126" s="212"/>
      <c r="AC126" s="213">
        <f t="shared" si="24"/>
        <v>0</v>
      </c>
      <c r="AD126" s="271"/>
      <c r="AE126" s="241"/>
      <c r="AF126" s="194"/>
      <c r="AG126" s="194"/>
      <c r="AH126" s="194"/>
      <c r="AI126" s="194"/>
    </row>
    <row r="127" hidden="1">
      <c r="A127" s="126"/>
      <c r="B127" s="195"/>
      <c r="C127" s="222"/>
      <c r="D127" s="250" t="s">
        <v>313</v>
      </c>
      <c r="E127" s="224"/>
      <c r="F127" s="224"/>
      <c r="G127" s="224"/>
      <c r="H127" s="222"/>
      <c r="I127" s="222"/>
      <c r="J127" s="222"/>
      <c r="K127" s="222" t="s">
        <v>230</v>
      </c>
      <c r="L127" s="225"/>
      <c r="M127" s="236"/>
      <c r="N127" s="285"/>
      <c r="O127" s="285"/>
      <c r="P127" s="285"/>
      <c r="Q127" s="253">
        <v>2.516925E8</v>
      </c>
      <c r="R127" s="253">
        <v>2.30301E8</v>
      </c>
      <c r="S127" s="253">
        <v>3.06581E8</v>
      </c>
      <c r="T127" s="253">
        <v>3.90799177E8</v>
      </c>
      <c r="U127" s="253">
        <v>3.90799177E8</v>
      </c>
      <c r="V127" s="372">
        <f>U127</f>
        <v>390799177</v>
      </c>
      <c r="W127" s="373"/>
      <c r="X127" s="373"/>
      <c r="Y127" s="373"/>
      <c r="Z127" s="373"/>
      <c r="AA127" s="373"/>
      <c r="AB127" s="230"/>
      <c r="AC127" s="231">
        <f t="shared" si="24"/>
        <v>1960972031</v>
      </c>
      <c r="AD127" s="264"/>
      <c r="AE127" s="241"/>
      <c r="AF127" s="194"/>
      <c r="AG127" s="194"/>
      <c r="AH127" s="194"/>
      <c r="AI127" s="194"/>
    </row>
    <row r="128" hidden="1">
      <c r="A128" s="126"/>
      <c r="B128" s="195"/>
      <c r="C128" s="196"/>
      <c r="D128" s="254" t="s">
        <v>194</v>
      </c>
      <c r="E128" s="233"/>
      <c r="F128" s="233"/>
      <c r="G128" s="233"/>
      <c r="H128" s="234"/>
      <c r="I128" s="234"/>
      <c r="J128" s="222"/>
      <c r="K128" s="222" t="s">
        <v>230</v>
      </c>
      <c r="L128" s="235"/>
      <c r="M128" s="255"/>
      <c r="N128" s="227"/>
      <c r="O128" s="227"/>
      <c r="P128" s="237"/>
      <c r="Q128" s="253">
        <v>2.516925E8</v>
      </c>
      <c r="R128" s="253">
        <v>2.30301E8</v>
      </c>
      <c r="S128" s="253">
        <v>3.06581E8</v>
      </c>
      <c r="T128" s="238"/>
      <c r="U128" s="238"/>
      <c r="V128" s="238"/>
      <c r="W128" s="238"/>
      <c r="X128" s="238"/>
      <c r="Y128" s="238"/>
      <c r="Z128" s="238"/>
      <c r="AA128" s="238"/>
      <c r="AB128" s="238"/>
      <c r="AC128" s="378">
        <f t="shared" si="24"/>
        <v>788574500</v>
      </c>
      <c r="AD128" s="214"/>
      <c r="AE128" s="192"/>
      <c r="AF128" s="194"/>
      <c r="AG128" s="194"/>
      <c r="AH128" s="194"/>
      <c r="AI128" s="194"/>
    </row>
    <row r="129" hidden="1">
      <c r="A129" s="126"/>
      <c r="B129" s="195"/>
      <c r="C129" s="196"/>
      <c r="D129" s="254" t="s">
        <v>314</v>
      </c>
      <c r="E129" s="233"/>
      <c r="F129" s="233"/>
      <c r="G129" s="233"/>
      <c r="H129" s="234"/>
      <c r="I129" s="234"/>
      <c r="J129" s="222"/>
      <c r="K129" s="222" t="s">
        <v>230</v>
      </c>
      <c r="L129" s="235"/>
      <c r="M129" s="255"/>
      <c r="N129" s="227"/>
      <c r="O129" s="227"/>
      <c r="P129" s="237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  <c r="AA129" s="238"/>
      <c r="AB129" s="238"/>
      <c r="AC129" s="378">
        <f t="shared" si="24"/>
        <v>0</v>
      </c>
      <c r="AD129" s="214"/>
      <c r="AE129" s="192"/>
      <c r="AF129" s="194"/>
      <c r="AG129" s="194"/>
      <c r="AH129" s="194"/>
      <c r="AI129" s="194"/>
    </row>
    <row r="130">
      <c r="A130" s="126"/>
      <c r="B130" s="195"/>
      <c r="C130" s="196">
        <v>14.0</v>
      </c>
      <c r="D130" s="197" t="s">
        <v>315</v>
      </c>
      <c r="E130" s="198" t="s">
        <v>186</v>
      </c>
      <c r="F130" s="198" t="s">
        <v>305</v>
      </c>
      <c r="G130" s="198" t="s">
        <v>92</v>
      </c>
      <c r="H130" s="198" t="s">
        <v>306</v>
      </c>
      <c r="I130" s="198" t="s">
        <v>187</v>
      </c>
      <c r="J130" s="198" t="s">
        <v>188</v>
      </c>
      <c r="K130" s="199" t="s">
        <v>230</v>
      </c>
      <c r="L130" s="256">
        <v>9.6E9</v>
      </c>
      <c r="M130" s="257" t="s">
        <v>316</v>
      </c>
      <c r="N130" s="258"/>
      <c r="O130" s="258">
        <v>45232.0</v>
      </c>
      <c r="P130" s="259">
        <v>45961.0</v>
      </c>
      <c r="Q130" s="204">
        <v>3.2182660152E8</v>
      </c>
      <c r="R130" s="204">
        <v>3.2182660152E8</v>
      </c>
      <c r="S130" s="204">
        <v>3.2182660152E8</v>
      </c>
      <c r="T130" s="204">
        <v>3.2182660152E8</v>
      </c>
      <c r="U130" s="204">
        <v>3.2182660152E8</v>
      </c>
      <c r="V130" s="204">
        <v>3.2182660152E8</v>
      </c>
      <c r="W130" s="204">
        <v>3.2182660152E8</v>
      </c>
      <c r="X130" s="204">
        <v>3.2182660152E8</v>
      </c>
      <c r="Y130" s="204">
        <v>3.2182660152E8</v>
      </c>
      <c r="Z130" s="204">
        <v>3.2182660152E8</v>
      </c>
      <c r="AA130" s="204">
        <v>3.2182660152E8</v>
      </c>
      <c r="AB130" s="204">
        <v>3.2182660152E8</v>
      </c>
      <c r="AC130" s="205">
        <f t="shared" si="24"/>
        <v>3861919218</v>
      </c>
      <c r="AD130" s="178">
        <f>SUM(Q130:AB130)-AC130</f>
        <v>0</v>
      </c>
      <c r="AE130" s="192"/>
      <c r="AF130" s="194"/>
      <c r="AG130" s="194"/>
      <c r="AH130" s="194"/>
      <c r="AI130" s="194"/>
    </row>
    <row r="131" hidden="1">
      <c r="A131" s="126"/>
      <c r="B131" s="195"/>
      <c r="C131" s="206"/>
      <c r="D131" s="390"/>
      <c r="E131" s="207"/>
      <c r="F131" s="207"/>
      <c r="G131" s="207"/>
      <c r="H131" s="206"/>
      <c r="I131" s="206"/>
      <c r="J131" s="206"/>
      <c r="K131" s="206" t="s">
        <v>230</v>
      </c>
      <c r="L131" s="243"/>
      <c r="M131" s="244"/>
      <c r="N131" s="210"/>
      <c r="O131" s="210"/>
      <c r="P131" s="210">
        <f>P130</f>
        <v>45961</v>
      </c>
      <c r="Q131" s="211">
        <v>3.2182660152E8</v>
      </c>
      <c r="R131" s="211">
        <v>3.2182660152E8</v>
      </c>
      <c r="S131" s="211">
        <v>3.2182660152E8</v>
      </c>
      <c r="T131" s="211">
        <v>3.2182660152E8</v>
      </c>
      <c r="U131" s="211">
        <v>3.2182660152E8</v>
      </c>
      <c r="V131" s="211">
        <v>3.2182660152E8</v>
      </c>
      <c r="W131" s="211">
        <v>3.2182660152E8</v>
      </c>
      <c r="X131" s="211">
        <v>3.2182660152E8</v>
      </c>
      <c r="Y131" s="211">
        <v>3.2182660152E8</v>
      </c>
      <c r="Z131" s="211">
        <v>3.2182660152E8</v>
      </c>
      <c r="AA131" s="212"/>
      <c r="AB131" s="212"/>
      <c r="AC131" s="213">
        <f t="shared" si="24"/>
        <v>3218266015</v>
      </c>
      <c r="AD131" s="214"/>
      <c r="AE131" s="386"/>
      <c r="AF131" s="311"/>
      <c r="AG131" s="311"/>
      <c r="AH131" s="311"/>
      <c r="AI131" s="311"/>
    </row>
    <row r="132" hidden="1">
      <c r="A132" s="126"/>
      <c r="B132" s="195"/>
      <c r="C132" s="206"/>
      <c r="D132" s="207"/>
      <c r="E132" s="207"/>
      <c r="F132" s="207"/>
      <c r="G132" s="207"/>
      <c r="H132" s="206"/>
      <c r="I132" s="206"/>
      <c r="J132" s="206"/>
      <c r="K132" s="206" t="s">
        <v>230</v>
      </c>
      <c r="L132" s="277"/>
      <c r="M132" s="244"/>
      <c r="N132" s="389"/>
      <c r="O132" s="389">
        <f>P131+1</f>
        <v>45962</v>
      </c>
      <c r="P132" s="389"/>
      <c r="Q132" s="211"/>
      <c r="R132" s="208"/>
      <c r="S132" s="208"/>
      <c r="T132" s="211"/>
      <c r="U132" s="211"/>
      <c r="V132" s="272"/>
      <c r="W132" s="272"/>
      <c r="X132" s="272"/>
      <c r="Y132" s="272"/>
      <c r="Z132" s="272"/>
      <c r="AA132" s="212"/>
      <c r="AB132" s="212"/>
      <c r="AC132" s="213">
        <f t="shared" si="24"/>
        <v>0</v>
      </c>
      <c r="AD132" s="271"/>
      <c r="AE132" s="241"/>
      <c r="AF132" s="194"/>
      <c r="AG132" s="194"/>
      <c r="AH132" s="194"/>
      <c r="AI132" s="194"/>
    </row>
    <row r="133" hidden="1">
      <c r="A133" s="126"/>
      <c r="B133" s="195"/>
      <c r="C133" s="222"/>
      <c r="D133" s="250" t="s">
        <v>317</v>
      </c>
      <c r="E133" s="224"/>
      <c r="F133" s="224"/>
      <c r="G133" s="224"/>
      <c r="H133" s="222"/>
      <c r="I133" s="222"/>
      <c r="J133" s="222"/>
      <c r="K133" s="222" t="s">
        <v>230</v>
      </c>
      <c r="L133" s="225"/>
      <c r="M133" s="236"/>
      <c r="N133" s="285"/>
      <c r="O133" s="285"/>
      <c r="P133" s="285"/>
      <c r="Q133" s="253">
        <v>3.9243234E8</v>
      </c>
      <c r="R133" s="251">
        <v>3.99048014E8</v>
      </c>
      <c r="S133" s="251">
        <v>2.84514659E8</v>
      </c>
      <c r="T133" s="372">
        <v>3.94834705E8</v>
      </c>
      <c r="U133" s="253">
        <v>3.59336235E8</v>
      </c>
      <c r="V133" s="253">
        <v>3.94834705E8</v>
      </c>
      <c r="W133" s="373"/>
      <c r="X133" s="373"/>
      <c r="Y133" s="373"/>
      <c r="Z133" s="373"/>
      <c r="AA133" s="230"/>
      <c r="AB133" s="230"/>
      <c r="AC133" s="231">
        <f t="shared" si="24"/>
        <v>2225000658</v>
      </c>
      <c r="AD133" s="264"/>
      <c r="AE133" s="241"/>
      <c r="AF133" s="194"/>
      <c r="AG133" s="194"/>
      <c r="AH133" s="194"/>
      <c r="AI133" s="194"/>
    </row>
    <row r="134" hidden="1">
      <c r="A134" s="391"/>
      <c r="B134" s="392"/>
      <c r="C134" s="196"/>
      <c r="D134" s="254" t="s">
        <v>194</v>
      </c>
      <c r="E134" s="233"/>
      <c r="F134" s="233"/>
      <c r="G134" s="233"/>
      <c r="H134" s="234"/>
      <c r="I134" s="234"/>
      <c r="J134" s="222"/>
      <c r="K134" s="222" t="s">
        <v>230</v>
      </c>
      <c r="L134" s="235"/>
      <c r="M134" s="255"/>
      <c r="N134" s="237"/>
      <c r="O134" s="237"/>
      <c r="P134" s="359"/>
      <c r="Q134" s="253">
        <v>3.9243234E8</v>
      </c>
      <c r="R134" s="251">
        <v>3.99048014E8</v>
      </c>
      <c r="S134" s="251">
        <v>2.84514659E8</v>
      </c>
      <c r="T134" s="372">
        <v>3.94834705E8</v>
      </c>
      <c r="U134" s="253">
        <v>3.59336235E8</v>
      </c>
      <c r="V134" s="238"/>
      <c r="W134" s="238"/>
      <c r="X134" s="238"/>
      <c r="Y134" s="238"/>
      <c r="Z134" s="238"/>
      <c r="AA134" s="238"/>
      <c r="AB134" s="238"/>
      <c r="AC134" s="378">
        <f t="shared" si="24"/>
        <v>1830165953</v>
      </c>
      <c r="AD134" s="214"/>
      <c r="AE134" s="192"/>
      <c r="AF134" s="194"/>
      <c r="AG134" s="194"/>
      <c r="AH134" s="194"/>
      <c r="AI134" s="194"/>
    </row>
    <row r="135" hidden="1">
      <c r="A135" s="391"/>
      <c r="B135" s="392"/>
      <c r="C135" s="196"/>
      <c r="D135" s="254" t="s">
        <v>318</v>
      </c>
      <c r="E135" s="233"/>
      <c r="F135" s="233"/>
      <c r="G135" s="233"/>
      <c r="H135" s="234"/>
      <c r="I135" s="234"/>
      <c r="J135" s="222"/>
      <c r="K135" s="222" t="s">
        <v>230</v>
      </c>
      <c r="L135" s="235"/>
      <c r="M135" s="255"/>
      <c r="N135" s="237"/>
      <c r="O135" s="237"/>
      <c r="P135" s="359"/>
      <c r="Q135" s="238"/>
      <c r="R135" s="251">
        <v>3.99048014E8</v>
      </c>
      <c r="S135" s="251">
        <v>2.84514659E8</v>
      </c>
      <c r="T135" s="238"/>
      <c r="U135" s="238"/>
      <c r="V135" s="238"/>
      <c r="W135" s="238"/>
      <c r="X135" s="238"/>
      <c r="Y135" s="238"/>
      <c r="Z135" s="238"/>
      <c r="AA135" s="238"/>
      <c r="AB135" s="238"/>
      <c r="AC135" s="378">
        <f t="shared" si="24"/>
        <v>683562673</v>
      </c>
      <c r="AD135" s="214"/>
      <c r="AE135" s="192"/>
      <c r="AF135" s="194"/>
      <c r="AG135" s="194"/>
      <c r="AH135" s="194"/>
      <c r="AI135" s="194"/>
    </row>
    <row r="136">
      <c r="A136" s="391"/>
      <c r="B136" s="393"/>
      <c r="C136" s="394">
        <v>15.0</v>
      </c>
      <c r="D136" s="395" t="s">
        <v>319</v>
      </c>
      <c r="E136" s="198" t="s">
        <v>186</v>
      </c>
      <c r="F136" s="198" t="s">
        <v>98</v>
      </c>
      <c r="G136" s="198" t="s">
        <v>320</v>
      </c>
      <c r="H136" s="198" t="s">
        <v>320</v>
      </c>
      <c r="I136" s="198" t="s">
        <v>253</v>
      </c>
      <c r="J136" s="198" t="s">
        <v>254</v>
      </c>
      <c r="K136" s="396" t="s">
        <v>230</v>
      </c>
      <c r="L136" s="397" t="s">
        <v>321</v>
      </c>
      <c r="M136" s="398" t="s">
        <v>322</v>
      </c>
      <c r="N136" s="399"/>
      <c r="O136" s="399">
        <v>45049.0</v>
      </c>
      <c r="P136" s="399">
        <v>46875.0</v>
      </c>
      <c r="Q136" s="400">
        <v>1.5338969167E9</v>
      </c>
      <c r="R136" s="400">
        <v>1.3854552796E9</v>
      </c>
      <c r="S136" s="400">
        <v>1.5338969167E9</v>
      </c>
      <c r="T136" s="401"/>
      <c r="U136" s="401"/>
      <c r="V136" s="401"/>
      <c r="W136" s="401"/>
      <c r="X136" s="401"/>
      <c r="Y136" s="401"/>
      <c r="Z136" s="401"/>
      <c r="AA136" s="401"/>
      <c r="AB136" s="401"/>
      <c r="AC136" s="205">
        <f t="shared" si="24"/>
        <v>4453249113</v>
      </c>
      <c r="AD136" s="178">
        <f>SUM(Q136:AB136)-AC136</f>
        <v>0</v>
      </c>
      <c r="AE136" s="241"/>
      <c r="AF136" s="194"/>
      <c r="AG136" s="194"/>
      <c r="AH136" s="194"/>
      <c r="AI136" s="194"/>
    </row>
    <row r="137" hidden="1">
      <c r="A137" s="391"/>
      <c r="B137" s="393"/>
      <c r="C137" s="402"/>
      <c r="D137" s="403"/>
      <c r="E137" s="403"/>
      <c r="F137" s="403"/>
      <c r="G137" s="403"/>
      <c r="H137" s="404"/>
      <c r="I137" s="404"/>
      <c r="J137" s="405"/>
      <c r="K137" s="406" t="s">
        <v>230</v>
      </c>
      <c r="L137" s="407"/>
      <c r="M137" s="408"/>
      <c r="N137" s="409"/>
      <c r="O137" s="409"/>
      <c r="P137" s="409"/>
      <c r="Q137" s="249">
        <f t="shared" ref="Q137:S137" si="40">Q136</f>
        <v>1533896917</v>
      </c>
      <c r="R137" s="249">
        <f t="shared" si="40"/>
        <v>1385455280</v>
      </c>
      <c r="S137" s="249">
        <f t="shared" si="40"/>
        <v>1533896917</v>
      </c>
      <c r="T137" s="212"/>
      <c r="U137" s="212"/>
      <c r="V137" s="212"/>
      <c r="W137" s="212"/>
      <c r="X137" s="212"/>
      <c r="Y137" s="212"/>
      <c r="Z137" s="212"/>
      <c r="AA137" s="212"/>
      <c r="AB137" s="212"/>
      <c r="AC137" s="213">
        <f t="shared" si="24"/>
        <v>4453249113</v>
      </c>
      <c r="AD137" s="410"/>
      <c r="AE137" s="411"/>
      <c r="AF137" s="412"/>
      <c r="AG137" s="412"/>
      <c r="AH137" s="412"/>
      <c r="AI137" s="412"/>
    </row>
    <row r="138" hidden="1">
      <c r="A138" s="391"/>
      <c r="B138" s="393"/>
      <c r="C138" s="413"/>
      <c r="D138" s="250" t="s">
        <v>323</v>
      </c>
      <c r="E138" s="414"/>
      <c r="F138" s="414"/>
      <c r="G138" s="414"/>
      <c r="H138" s="415"/>
      <c r="I138" s="415"/>
      <c r="J138" s="416"/>
      <c r="K138" s="196" t="s">
        <v>230</v>
      </c>
      <c r="L138" s="417"/>
      <c r="M138" s="418"/>
      <c r="N138" s="419"/>
      <c r="O138" s="419"/>
      <c r="P138" s="419"/>
      <c r="Q138" s="228">
        <v>1.69100395841E9</v>
      </c>
      <c r="R138" s="228">
        <v>1.54461933962E9</v>
      </c>
      <c r="S138" s="228">
        <v>1.22384376731E9</v>
      </c>
      <c r="T138" s="228">
        <v>1.653749187E9</v>
      </c>
      <c r="U138" s="228">
        <v>1.43587097704E9</v>
      </c>
      <c r="V138" s="228">
        <v>1.61004709517E9</v>
      </c>
      <c r="W138" s="230"/>
      <c r="X138" s="230"/>
      <c r="Y138" s="230"/>
      <c r="Z138" s="230"/>
      <c r="AA138" s="230"/>
      <c r="AB138" s="230"/>
      <c r="AC138" s="231">
        <f t="shared" si="24"/>
        <v>9159134325</v>
      </c>
      <c r="AD138" s="420"/>
      <c r="AE138" s="353"/>
      <c r="AF138" s="273"/>
      <c r="AG138" s="273"/>
      <c r="AH138" s="273"/>
      <c r="AI138" s="273"/>
    </row>
    <row r="139" hidden="1">
      <c r="A139" s="126"/>
      <c r="B139" s="421"/>
      <c r="C139" s="422"/>
      <c r="D139" s="286" t="s">
        <v>194</v>
      </c>
      <c r="E139" s="423"/>
      <c r="F139" s="424"/>
      <c r="G139" s="423"/>
      <c r="H139" s="425"/>
      <c r="I139" s="425"/>
      <c r="J139" s="416"/>
      <c r="K139" s="196" t="s">
        <v>230</v>
      </c>
      <c r="L139" s="426"/>
      <c r="M139" s="427"/>
      <c r="N139" s="428"/>
      <c r="O139" s="428"/>
      <c r="P139" s="428"/>
      <c r="Q139" s="228">
        <v>1.69100395841E9</v>
      </c>
      <c r="R139" s="228">
        <v>1.54461933962E9</v>
      </c>
      <c r="S139" s="228">
        <v>1.22384376731E9</v>
      </c>
      <c r="T139" s="228">
        <v>1.653749187E9</v>
      </c>
      <c r="U139" s="228">
        <v>1.43587097704E9</v>
      </c>
      <c r="V139" s="228">
        <v>1.61004709517E9</v>
      </c>
      <c r="W139" s="429"/>
      <c r="X139" s="429"/>
      <c r="Y139" s="429"/>
      <c r="Z139" s="429"/>
      <c r="AA139" s="429"/>
      <c r="AB139" s="429"/>
      <c r="AC139" s="378">
        <f t="shared" si="24"/>
        <v>9159134325</v>
      </c>
      <c r="AD139" s="420"/>
      <c r="AE139" s="430"/>
      <c r="AF139" s="194"/>
      <c r="AG139" s="431"/>
      <c r="AH139" s="431"/>
      <c r="AI139" s="431"/>
    </row>
    <row r="140" hidden="1">
      <c r="A140" s="126"/>
      <c r="B140" s="421"/>
      <c r="C140" s="422"/>
      <c r="D140" s="286" t="s">
        <v>324</v>
      </c>
      <c r="E140" s="423"/>
      <c r="F140" s="424"/>
      <c r="G140" s="423"/>
      <c r="H140" s="425"/>
      <c r="I140" s="425"/>
      <c r="J140" s="416"/>
      <c r="K140" s="196" t="s">
        <v>230</v>
      </c>
      <c r="L140" s="426"/>
      <c r="M140" s="427"/>
      <c r="N140" s="428"/>
      <c r="O140" s="428"/>
      <c r="P140" s="428"/>
      <c r="Q140" s="228">
        <v>1.69100395841E9</v>
      </c>
      <c r="R140" s="228">
        <v>1.54461933962E9</v>
      </c>
      <c r="S140" s="228">
        <v>1.22384376731E9</v>
      </c>
      <c r="T140" s="228">
        <v>1.653749187E9</v>
      </c>
      <c r="U140" s="228">
        <v>1.43587097704E9</v>
      </c>
      <c r="V140" s="228">
        <v>1.61004709517E9</v>
      </c>
      <c r="W140" s="429"/>
      <c r="X140" s="429"/>
      <c r="Y140" s="429"/>
      <c r="Z140" s="429"/>
      <c r="AA140" s="429"/>
      <c r="AB140" s="429"/>
      <c r="AC140" s="378">
        <f t="shared" si="24"/>
        <v>9159134325</v>
      </c>
      <c r="AD140" s="420"/>
      <c r="AE140" s="430"/>
      <c r="AF140" s="194"/>
      <c r="AG140" s="431"/>
      <c r="AH140" s="431"/>
      <c r="AI140" s="431"/>
    </row>
    <row r="141">
      <c r="A141" s="126"/>
      <c r="B141" s="432"/>
      <c r="C141" s="433">
        <v>16.0</v>
      </c>
      <c r="D141" s="434" t="s">
        <v>325</v>
      </c>
      <c r="E141" s="198" t="s">
        <v>326</v>
      </c>
      <c r="F141" s="198" t="s">
        <v>305</v>
      </c>
      <c r="G141" s="198" t="s">
        <v>327</v>
      </c>
      <c r="H141" s="198" t="s">
        <v>328</v>
      </c>
      <c r="I141" s="198" t="s">
        <v>187</v>
      </c>
      <c r="J141" s="198" t="s">
        <v>188</v>
      </c>
      <c r="K141" s="435" t="s">
        <v>230</v>
      </c>
      <c r="L141" s="436">
        <v>1.75E8</v>
      </c>
      <c r="M141" s="437" t="s">
        <v>329</v>
      </c>
      <c r="N141" s="438"/>
      <c r="O141" s="438">
        <v>45531.0</v>
      </c>
      <c r="P141" s="438">
        <f>O141+149</f>
        <v>45680</v>
      </c>
      <c r="Q141" s="439"/>
      <c r="R141" s="439"/>
      <c r="S141" s="439"/>
      <c r="T141" s="439"/>
      <c r="U141" s="439"/>
      <c r="V141" s="439"/>
      <c r="W141" s="439"/>
      <c r="X141" s="439"/>
      <c r="Y141" s="439"/>
      <c r="Z141" s="439"/>
      <c r="AA141" s="439"/>
      <c r="AB141" s="439"/>
      <c r="AC141" s="440">
        <f t="shared" si="24"/>
        <v>0</v>
      </c>
      <c r="AD141" s="420"/>
      <c r="AE141" s="430"/>
      <c r="AF141" s="431"/>
      <c r="AG141" s="431"/>
      <c r="AH141" s="431"/>
      <c r="AI141" s="431"/>
    </row>
    <row r="142" hidden="1">
      <c r="A142" s="126"/>
      <c r="B142" s="432"/>
      <c r="C142" s="441"/>
      <c r="D142" s="207"/>
      <c r="E142" s="207"/>
      <c r="F142" s="442"/>
      <c r="G142" s="207"/>
      <c r="H142" s="206"/>
      <c r="I142" s="206"/>
      <c r="J142" s="443"/>
      <c r="K142" s="443" t="s">
        <v>230</v>
      </c>
      <c r="L142" s="444"/>
      <c r="M142" s="445"/>
      <c r="N142" s="446"/>
      <c r="O142" s="446"/>
      <c r="P142" s="446"/>
      <c r="Q142" s="447">
        <f>L141*0.95</f>
        <v>166250000</v>
      </c>
      <c r="R142" s="447"/>
      <c r="S142" s="447"/>
      <c r="T142" s="447"/>
      <c r="U142" s="448"/>
      <c r="V142" s="447"/>
      <c r="W142" s="447">
        <f>L141*0.05</f>
        <v>8750000</v>
      </c>
      <c r="X142" s="447"/>
      <c r="Y142" s="447"/>
      <c r="Z142" s="447"/>
      <c r="AA142" s="447"/>
      <c r="AB142" s="447"/>
      <c r="AC142" s="449">
        <f t="shared" si="24"/>
        <v>175000000</v>
      </c>
      <c r="AD142" s="420"/>
      <c r="AE142" s="430"/>
      <c r="AF142" s="431"/>
      <c r="AG142" s="431"/>
      <c r="AH142" s="431"/>
      <c r="AI142" s="431"/>
    </row>
    <row r="143" hidden="1">
      <c r="A143" s="126"/>
      <c r="B143" s="432"/>
      <c r="C143" s="222"/>
      <c r="D143" s="250" t="s">
        <v>330</v>
      </c>
      <c r="E143" s="224"/>
      <c r="F143" s="450"/>
      <c r="G143" s="224"/>
      <c r="H143" s="222"/>
      <c r="I143" s="222"/>
      <c r="J143" s="222"/>
      <c r="K143" s="222" t="s">
        <v>230</v>
      </c>
      <c r="L143" s="346"/>
      <c r="M143" s="451"/>
      <c r="N143" s="365"/>
      <c r="O143" s="365"/>
      <c r="P143" s="365"/>
      <c r="Q143" s="452"/>
      <c r="R143" s="452"/>
      <c r="S143" s="452"/>
      <c r="T143" s="452"/>
      <c r="U143" s="452">
        <f>Q142</f>
        <v>166250000</v>
      </c>
      <c r="V143" s="452"/>
      <c r="W143" s="452"/>
      <c r="X143" s="452"/>
      <c r="Y143" s="452"/>
      <c r="Z143" s="452"/>
      <c r="AA143" s="452"/>
      <c r="AB143" s="452"/>
      <c r="AC143" s="231">
        <f t="shared" si="24"/>
        <v>166250000</v>
      </c>
      <c r="AD143" s="420"/>
      <c r="AE143" s="241"/>
      <c r="AF143" s="194"/>
      <c r="AG143" s="194"/>
      <c r="AH143" s="194"/>
      <c r="AI143" s="194"/>
    </row>
    <row r="144" hidden="1">
      <c r="A144" s="126"/>
      <c r="B144" s="432"/>
      <c r="C144" s="453"/>
      <c r="D144" s="286" t="s">
        <v>194</v>
      </c>
      <c r="E144" s="454"/>
      <c r="F144" s="454"/>
      <c r="G144" s="454"/>
      <c r="H144" s="455"/>
      <c r="I144" s="456"/>
      <c r="J144" s="222"/>
      <c r="K144" s="222" t="s">
        <v>230</v>
      </c>
      <c r="L144" s="457"/>
      <c r="M144" s="458"/>
      <c r="N144" s="459"/>
      <c r="O144" s="459"/>
      <c r="P144" s="459"/>
      <c r="Q144" s="452"/>
      <c r="R144" s="452"/>
      <c r="S144" s="452"/>
      <c r="T144" s="452"/>
      <c r="U144" s="452"/>
      <c r="V144" s="452"/>
      <c r="W144" s="452"/>
      <c r="X144" s="452"/>
      <c r="Y144" s="452"/>
      <c r="Z144" s="452"/>
      <c r="AA144" s="452"/>
      <c r="AB144" s="452"/>
      <c r="AC144" s="378">
        <f t="shared" si="24"/>
        <v>0</v>
      </c>
      <c r="AD144" s="284"/>
      <c r="AE144" s="241"/>
      <c r="AF144" s="194"/>
      <c r="AG144" s="194"/>
      <c r="AH144" s="194"/>
      <c r="AI144" s="194"/>
    </row>
    <row r="145" hidden="1">
      <c r="A145" s="126"/>
      <c r="B145" s="432"/>
      <c r="C145" s="453"/>
      <c r="D145" s="286" t="s">
        <v>331</v>
      </c>
      <c r="E145" s="454"/>
      <c r="F145" s="454"/>
      <c r="G145" s="454"/>
      <c r="H145" s="455"/>
      <c r="I145" s="456"/>
      <c r="J145" s="222"/>
      <c r="K145" s="222" t="s">
        <v>230</v>
      </c>
      <c r="L145" s="457"/>
      <c r="M145" s="458"/>
      <c r="N145" s="459"/>
      <c r="O145" s="459"/>
      <c r="P145" s="459"/>
      <c r="Q145" s="452"/>
      <c r="R145" s="452"/>
      <c r="S145" s="452"/>
      <c r="T145" s="452"/>
      <c r="U145" s="452"/>
      <c r="V145" s="452"/>
      <c r="W145" s="452"/>
      <c r="X145" s="452"/>
      <c r="Y145" s="452"/>
      <c r="Z145" s="452"/>
      <c r="AA145" s="452"/>
      <c r="AB145" s="452"/>
      <c r="AC145" s="378">
        <f t="shared" si="24"/>
        <v>0</v>
      </c>
      <c r="AD145" s="284"/>
      <c r="AE145" s="241"/>
      <c r="AF145" s="194"/>
      <c r="AG145" s="194"/>
      <c r="AH145" s="194"/>
      <c r="AI145" s="194"/>
    </row>
    <row r="146">
      <c r="A146" s="126"/>
      <c r="B146" s="432"/>
      <c r="C146" s="433">
        <v>17.0</v>
      </c>
      <c r="D146" s="434" t="s">
        <v>332</v>
      </c>
      <c r="E146" s="198" t="s">
        <v>326</v>
      </c>
      <c r="F146" s="198" t="s">
        <v>305</v>
      </c>
      <c r="G146" s="198" t="s">
        <v>327</v>
      </c>
      <c r="H146" s="198" t="s">
        <v>328</v>
      </c>
      <c r="I146" s="198" t="s">
        <v>187</v>
      </c>
      <c r="J146" s="198" t="s">
        <v>188</v>
      </c>
      <c r="K146" s="435" t="s">
        <v>230</v>
      </c>
      <c r="L146" s="436">
        <f>103811284</f>
        <v>103811284</v>
      </c>
      <c r="M146" s="437" t="s">
        <v>333</v>
      </c>
      <c r="N146" s="438"/>
      <c r="O146" s="438">
        <v>45737.0</v>
      </c>
      <c r="P146" s="438">
        <f>O146+44</f>
        <v>45781</v>
      </c>
      <c r="Q146" s="439"/>
      <c r="R146" s="439"/>
      <c r="S146" s="439"/>
      <c r="T146" s="439"/>
      <c r="U146" s="439"/>
      <c r="V146" s="439"/>
      <c r="W146" s="439"/>
      <c r="X146" s="439"/>
      <c r="Y146" s="439"/>
      <c r="Z146" s="439"/>
      <c r="AA146" s="439"/>
      <c r="AB146" s="439"/>
      <c r="AC146" s="440">
        <f t="shared" si="24"/>
        <v>0</v>
      </c>
      <c r="AD146" s="284"/>
      <c r="AE146" s="241"/>
      <c r="AF146" s="194"/>
      <c r="AG146" s="194"/>
      <c r="AH146" s="194"/>
      <c r="AI146" s="194"/>
    </row>
    <row r="147" hidden="1">
      <c r="A147" s="126"/>
      <c r="B147" s="432"/>
      <c r="C147" s="441"/>
      <c r="D147" s="460"/>
      <c r="E147" s="461"/>
      <c r="F147" s="461"/>
      <c r="G147" s="461"/>
      <c r="H147" s="462"/>
      <c r="I147" s="462"/>
      <c r="J147" s="443"/>
      <c r="K147" s="443" t="s">
        <v>230</v>
      </c>
      <c r="L147" s="463"/>
      <c r="M147" s="445"/>
      <c r="N147" s="464"/>
      <c r="O147" s="464"/>
      <c r="P147" s="464"/>
      <c r="Q147" s="447"/>
      <c r="R147" s="447"/>
      <c r="S147" s="447"/>
      <c r="T147" s="447"/>
      <c r="U147" s="447">
        <f>L146</f>
        <v>103811284</v>
      </c>
      <c r="V147" s="447"/>
      <c r="W147" s="447"/>
      <c r="X147" s="447"/>
      <c r="Y147" s="447"/>
      <c r="Z147" s="447"/>
      <c r="AA147" s="447"/>
      <c r="AB147" s="447"/>
      <c r="AC147" s="449">
        <f t="shared" si="24"/>
        <v>103811284</v>
      </c>
      <c r="AD147" s="284"/>
      <c r="AE147" s="241"/>
      <c r="AF147" s="194"/>
      <c r="AG147" s="194"/>
      <c r="AH147" s="194"/>
      <c r="AI147" s="194"/>
    </row>
    <row r="148" hidden="1">
      <c r="A148" s="126"/>
      <c r="B148" s="432"/>
      <c r="C148" s="222"/>
      <c r="D148" s="465" t="s">
        <v>334</v>
      </c>
      <c r="E148" s="466"/>
      <c r="F148" s="466"/>
      <c r="G148" s="466"/>
      <c r="H148" s="467"/>
      <c r="I148" s="467"/>
      <c r="J148" s="222"/>
      <c r="K148" s="222" t="s">
        <v>230</v>
      </c>
      <c r="L148" s="346"/>
      <c r="M148" s="468"/>
      <c r="N148" s="285"/>
      <c r="O148" s="285"/>
      <c r="P148" s="285"/>
      <c r="Q148" s="452"/>
      <c r="R148" s="452"/>
      <c r="S148" s="452"/>
      <c r="T148" s="452"/>
      <c r="U148" s="452">
        <f>U147</f>
        <v>103811284</v>
      </c>
      <c r="V148" s="452"/>
      <c r="W148" s="452"/>
      <c r="X148" s="452"/>
      <c r="Y148" s="452"/>
      <c r="Z148" s="452"/>
      <c r="AA148" s="452"/>
      <c r="AB148" s="452"/>
      <c r="AC148" s="231">
        <f t="shared" si="24"/>
        <v>103811284</v>
      </c>
      <c r="AD148" s="284"/>
      <c r="AE148" s="241"/>
      <c r="AF148" s="194"/>
      <c r="AG148" s="194"/>
      <c r="AH148" s="194"/>
      <c r="AI148" s="194"/>
    </row>
    <row r="149" hidden="1">
      <c r="A149" s="126"/>
      <c r="B149" s="432"/>
      <c r="C149" s="469"/>
      <c r="D149" s="286" t="s">
        <v>194</v>
      </c>
      <c r="E149" s="470"/>
      <c r="F149" s="470"/>
      <c r="G149" s="470"/>
      <c r="H149" s="471"/>
      <c r="I149" s="471"/>
      <c r="J149" s="222"/>
      <c r="K149" s="222" t="s">
        <v>230</v>
      </c>
      <c r="L149" s="472"/>
      <c r="M149" s="473"/>
      <c r="N149" s="459"/>
      <c r="O149" s="459"/>
      <c r="P149" s="459"/>
      <c r="Q149" s="474"/>
      <c r="R149" s="474"/>
      <c r="S149" s="474"/>
      <c r="T149" s="474"/>
      <c r="U149" s="474"/>
      <c r="V149" s="474"/>
      <c r="W149" s="474"/>
      <c r="X149" s="474"/>
      <c r="Y149" s="474"/>
      <c r="Z149" s="474"/>
      <c r="AA149" s="474"/>
      <c r="AB149" s="474"/>
      <c r="AC149" s="378">
        <f t="shared" si="24"/>
        <v>0</v>
      </c>
      <c r="AD149" s="284"/>
      <c r="AE149" s="241"/>
      <c r="AF149" s="194"/>
      <c r="AG149" s="194"/>
      <c r="AH149" s="194"/>
      <c r="AI149" s="194"/>
    </row>
    <row r="150" hidden="1">
      <c r="A150" s="126"/>
      <c r="B150" s="432"/>
      <c r="C150" s="469"/>
      <c r="D150" s="286" t="s">
        <v>335</v>
      </c>
      <c r="E150" s="470"/>
      <c r="F150" s="470"/>
      <c r="G150" s="470"/>
      <c r="H150" s="471"/>
      <c r="I150" s="471"/>
      <c r="J150" s="222"/>
      <c r="K150" s="222" t="s">
        <v>230</v>
      </c>
      <c r="L150" s="472"/>
      <c r="M150" s="473"/>
      <c r="N150" s="459"/>
      <c r="O150" s="459"/>
      <c r="P150" s="459"/>
      <c r="Q150" s="474"/>
      <c r="R150" s="474"/>
      <c r="S150" s="474"/>
      <c r="T150" s="474"/>
      <c r="U150" s="474"/>
      <c r="V150" s="474"/>
      <c r="W150" s="474"/>
      <c r="X150" s="474"/>
      <c r="Y150" s="474"/>
      <c r="Z150" s="474"/>
      <c r="AA150" s="474"/>
      <c r="AB150" s="474"/>
      <c r="AC150" s="378">
        <f t="shared" si="24"/>
        <v>0</v>
      </c>
      <c r="AD150" s="284"/>
      <c r="AE150" s="241"/>
      <c r="AF150" s="194"/>
      <c r="AG150" s="194"/>
      <c r="AH150" s="194"/>
      <c r="AI150" s="194"/>
    </row>
    <row r="151">
      <c r="A151" s="126"/>
      <c r="B151" s="432"/>
      <c r="C151" s="475">
        <v>18.0</v>
      </c>
      <c r="D151" s="476" t="s">
        <v>336</v>
      </c>
      <c r="E151" s="198" t="s">
        <v>186</v>
      </c>
      <c r="F151" s="198" t="s">
        <v>135</v>
      </c>
      <c r="G151" s="198" t="s">
        <v>135</v>
      </c>
      <c r="H151" s="198" t="s">
        <v>203</v>
      </c>
      <c r="I151" s="198" t="s">
        <v>253</v>
      </c>
      <c r="J151" s="198" t="s">
        <v>254</v>
      </c>
      <c r="K151" s="477" t="s">
        <v>230</v>
      </c>
      <c r="L151" s="478">
        <f>4643381179</f>
        <v>4643381179</v>
      </c>
      <c r="M151" s="479" t="s">
        <v>337</v>
      </c>
      <c r="N151" s="438"/>
      <c r="O151" s="438">
        <v>45413.0</v>
      </c>
      <c r="P151" s="438">
        <v>45777.0</v>
      </c>
      <c r="Q151" s="480"/>
      <c r="R151" s="480"/>
      <c r="S151" s="480"/>
      <c r="T151" s="480"/>
      <c r="U151" s="480"/>
      <c r="V151" s="480"/>
      <c r="W151" s="480"/>
      <c r="X151" s="480"/>
      <c r="Y151" s="480"/>
      <c r="Z151" s="480"/>
      <c r="AA151" s="480"/>
      <c r="AB151" s="480"/>
      <c r="AC151" s="440">
        <f t="shared" si="24"/>
        <v>0</v>
      </c>
      <c r="AD151" s="284"/>
      <c r="AE151" s="241"/>
      <c r="AF151" s="194"/>
      <c r="AG151" s="194"/>
      <c r="AH151" s="194"/>
      <c r="AI151" s="194"/>
    </row>
    <row r="152" hidden="1">
      <c r="A152" s="126"/>
      <c r="B152" s="432"/>
      <c r="C152" s="441"/>
      <c r="D152" s="481" t="s">
        <v>338</v>
      </c>
      <c r="E152" s="461"/>
      <c r="F152" s="461"/>
      <c r="G152" s="461"/>
      <c r="H152" s="462"/>
      <c r="I152" s="462"/>
      <c r="J152" s="443"/>
      <c r="K152" s="443" t="s">
        <v>230</v>
      </c>
      <c r="L152" s="444">
        <v>4.734749026E9</v>
      </c>
      <c r="M152" s="445"/>
      <c r="N152" s="464"/>
      <c r="O152" s="464"/>
      <c r="P152" s="446">
        <v>45777.0</v>
      </c>
      <c r="Q152" s="447">
        <f>L151/12</f>
        <v>386948431.6</v>
      </c>
      <c r="R152" s="447">
        <f t="shared" ref="R152:T152" si="41">Q152</f>
        <v>386948431.6</v>
      </c>
      <c r="S152" s="447">
        <f t="shared" si="41"/>
        <v>386948431.6</v>
      </c>
      <c r="T152" s="447">
        <f t="shared" si="41"/>
        <v>386948431.6</v>
      </c>
      <c r="U152" s="482"/>
      <c r="V152" s="482"/>
      <c r="W152" s="482"/>
      <c r="X152" s="482"/>
      <c r="Y152" s="482"/>
      <c r="Z152" s="482"/>
      <c r="AA152" s="482"/>
      <c r="AB152" s="482"/>
      <c r="AC152" s="449">
        <f t="shared" si="24"/>
        <v>1547793726</v>
      </c>
      <c r="AD152" s="284"/>
      <c r="AE152" s="241"/>
      <c r="AF152" s="194"/>
      <c r="AG152" s="194"/>
      <c r="AH152" s="194"/>
      <c r="AI152" s="194"/>
    </row>
    <row r="153" hidden="1">
      <c r="A153" s="126"/>
      <c r="B153" s="432"/>
      <c r="C153" s="206"/>
      <c r="D153" s="481" t="s">
        <v>339</v>
      </c>
      <c r="E153" s="483"/>
      <c r="F153" s="483"/>
      <c r="G153" s="483"/>
      <c r="H153" s="462"/>
      <c r="I153" s="462"/>
      <c r="J153" s="484"/>
      <c r="K153" s="443" t="s">
        <v>230</v>
      </c>
      <c r="L153" s="444"/>
      <c r="M153" s="485" t="s">
        <v>237</v>
      </c>
      <c r="N153" s="464"/>
      <c r="O153" s="464">
        <f>P152+1</f>
        <v>45778</v>
      </c>
      <c r="P153" s="464">
        <f>O153+91</f>
        <v>45869</v>
      </c>
      <c r="Q153" s="482"/>
      <c r="R153" s="482"/>
      <c r="S153" s="482"/>
      <c r="T153" s="482"/>
      <c r="U153" s="482"/>
      <c r="V153" s="482"/>
      <c r="W153" s="482"/>
      <c r="X153" s="482"/>
      <c r="Y153" s="482"/>
      <c r="Z153" s="482"/>
      <c r="AA153" s="482"/>
      <c r="AB153" s="482"/>
      <c r="AC153" s="449">
        <f t="shared" si="24"/>
        <v>0</v>
      </c>
      <c r="AD153" s="284"/>
      <c r="AE153" s="241"/>
      <c r="AF153" s="194"/>
      <c r="AG153" s="194"/>
      <c r="AH153" s="194"/>
      <c r="AI153" s="194"/>
    </row>
    <row r="154" hidden="1">
      <c r="A154" s="126"/>
      <c r="B154" s="432"/>
      <c r="C154" s="206"/>
      <c r="D154" s="481" t="s">
        <v>340</v>
      </c>
      <c r="E154" s="483"/>
      <c r="F154" s="483"/>
      <c r="G154" s="483"/>
      <c r="H154" s="462"/>
      <c r="I154" s="462"/>
      <c r="J154" s="484"/>
      <c r="K154" s="443" t="s">
        <v>230</v>
      </c>
      <c r="L154" s="444"/>
      <c r="M154" s="486"/>
      <c r="N154" s="464"/>
      <c r="O154" s="464">
        <f>P153</f>
        <v>45869</v>
      </c>
      <c r="P154" s="464"/>
      <c r="Q154" s="482"/>
      <c r="R154" s="482"/>
      <c r="S154" s="482"/>
      <c r="T154" s="482"/>
      <c r="U154" s="482"/>
      <c r="V154" s="482"/>
      <c r="W154" s="482"/>
      <c r="X154" s="482"/>
      <c r="Y154" s="482"/>
      <c r="Z154" s="482"/>
      <c r="AA154" s="482"/>
      <c r="AB154" s="482"/>
      <c r="AC154" s="449">
        <f t="shared" si="24"/>
        <v>0</v>
      </c>
      <c r="AD154" s="284"/>
      <c r="AE154" s="241"/>
      <c r="AF154" s="194"/>
      <c r="AG154" s="194"/>
      <c r="AH154" s="194"/>
      <c r="AI154" s="194"/>
    </row>
    <row r="155" hidden="1">
      <c r="A155" s="126"/>
      <c r="B155" s="432"/>
      <c r="C155" s="222"/>
      <c r="D155" s="465" t="s">
        <v>341</v>
      </c>
      <c r="E155" s="466"/>
      <c r="F155" s="466"/>
      <c r="G155" s="466"/>
      <c r="H155" s="467"/>
      <c r="I155" s="467"/>
      <c r="J155" s="222"/>
      <c r="K155" s="222" t="s">
        <v>230</v>
      </c>
      <c r="L155" s="346"/>
      <c r="M155" s="468"/>
      <c r="N155" s="285"/>
      <c r="O155" s="285"/>
      <c r="P155" s="285"/>
      <c r="Q155" s="229">
        <v>4.09790393E8</v>
      </c>
      <c r="R155" s="238">
        <f t="shared" ref="R155:V155" si="42">Q155</f>
        <v>409790393</v>
      </c>
      <c r="S155" s="238">
        <f t="shared" si="42"/>
        <v>409790393</v>
      </c>
      <c r="T155" s="238">
        <f t="shared" si="42"/>
        <v>409790393</v>
      </c>
      <c r="U155" s="238">
        <f t="shared" si="42"/>
        <v>409790393</v>
      </c>
      <c r="V155" s="238">
        <f t="shared" si="42"/>
        <v>409790393</v>
      </c>
      <c r="W155" s="474"/>
      <c r="X155" s="474"/>
      <c r="Y155" s="474"/>
      <c r="Z155" s="474"/>
      <c r="AA155" s="474"/>
      <c r="AB155" s="474"/>
      <c r="AC155" s="231">
        <f t="shared" si="24"/>
        <v>2458742358</v>
      </c>
      <c r="AD155" s="284"/>
      <c r="AE155" s="241"/>
      <c r="AF155" s="194"/>
      <c r="AG155" s="194"/>
      <c r="AH155" s="194"/>
      <c r="AI155" s="194"/>
    </row>
    <row r="156" hidden="1">
      <c r="A156" s="126"/>
      <c r="B156" s="432"/>
      <c r="C156" s="222"/>
      <c r="D156" s="286" t="s">
        <v>194</v>
      </c>
      <c r="E156" s="233"/>
      <c r="F156" s="233"/>
      <c r="G156" s="233"/>
      <c r="H156" s="234"/>
      <c r="I156" s="234"/>
      <c r="J156" s="222"/>
      <c r="K156" s="222" t="s">
        <v>230</v>
      </c>
      <c r="L156" s="287"/>
      <c r="M156" s="236"/>
      <c r="N156" s="285"/>
      <c r="O156" s="285"/>
      <c r="P156" s="285"/>
      <c r="Q156" s="288"/>
      <c r="R156" s="288"/>
      <c r="S156" s="288"/>
      <c r="T156" s="288"/>
      <c r="U156" s="288"/>
      <c r="V156" s="288"/>
      <c r="W156" s="288"/>
      <c r="X156" s="288"/>
      <c r="Y156" s="288"/>
      <c r="Z156" s="288"/>
      <c r="AA156" s="288"/>
      <c r="AB156" s="288"/>
      <c r="AC156" s="378">
        <f t="shared" si="24"/>
        <v>0</v>
      </c>
      <c r="AD156" s="284"/>
      <c r="AE156" s="241"/>
      <c r="AF156" s="194"/>
      <c r="AG156" s="194"/>
      <c r="AH156" s="194"/>
      <c r="AI156" s="194"/>
    </row>
    <row r="157" hidden="1">
      <c r="A157" s="126"/>
      <c r="B157" s="432"/>
      <c r="C157" s="222"/>
      <c r="D157" s="286" t="s">
        <v>342</v>
      </c>
      <c r="E157" s="233"/>
      <c r="F157" s="233"/>
      <c r="G157" s="233"/>
      <c r="H157" s="234"/>
      <c r="I157" s="234"/>
      <c r="J157" s="222"/>
      <c r="K157" s="222" t="s">
        <v>230</v>
      </c>
      <c r="L157" s="287"/>
      <c r="M157" s="236"/>
      <c r="N157" s="285"/>
      <c r="O157" s="285"/>
      <c r="P157" s="285"/>
      <c r="Q157" s="288"/>
      <c r="R157" s="288"/>
      <c r="S157" s="288"/>
      <c r="T157" s="288"/>
      <c r="U157" s="288"/>
      <c r="V157" s="288"/>
      <c r="W157" s="288"/>
      <c r="X157" s="288"/>
      <c r="Y157" s="288"/>
      <c r="Z157" s="288"/>
      <c r="AA157" s="288"/>
      <c r="AB157" s="288"/>
      <c r="AC157" s="378">
        <f t="shared" si="24"/>
        <v>0</v>
      </c>
      <c r="AD157" s="284"/>
      <c r="AE157" s="241"/>
      <c r="AF157" s="194"/>
      <c r="AG157" s="194"/>
      <c r="AH157" s="194"/>
      <c r="AI157" s="194"/>
    </row>
    <row r="158" hidden="1">
      <c r="A158" s="126"/>
      <c r="B158" s="181"/>
      <c r="C158" s="289"/>
      <c r="D158" s="290" t="s">
        <v>343</v>
      </c>
      <c r="E158" s="487"/>
      <c r="F158" s="487"/>
      <c r="G158" s="487"/>
      <c r="H158" s="291"/>
      <c r="I158" s="291"/>
      <c r="J158" s="292"/>
      <c r="K158" s="292" t="s">
        <v>230</v>
      </c>
      <c r="L158" s="293"/>
      <c r="M158" s="294"/>
      <c r="N158" s="295"/>
      <c r="O158" s="295"/>
      <c r="P158" s="295"/>
      <c r="Q158" s="296">
        <f t="shared" ref="Q158:AC158" si="43">Q51+Q52+Q57+Q58+Q63+Q64+Q65+Q70+Q75+Q76+Q81+Q82+Q83+Q88+Q89+Q94+Q95+Q100+Q105+Q106+Q111+Q112+Q113+Q114+Q115+Q120+Q125+Q126+Q131+Q132+Q137</f>
        <v>7506687578</v>
      </c>
      <c r="R158" s="296">
        <f t="shared" si="43"/>
        <v>7054634694</v>
      </c>
      <c r="S158" s="296">
        <f t="shared" si="43"/>
        <v>7203076331</v>
      </c>
      <c r="T158" s="296">
        <f t="shared" si="43"/>
        <v>5669179415</v>
      </c>
      <c r="U158" s="296">
        <f t="shared" si="43"/>
        <v>3768968699</v>
      </c>
      <c r="V158" s="296">
        <f t="shared" si="43"/>
        <v>3768968699</v>
      </c>
      <c r="W158" s="296">
        <f t="shared" si="43"/>
        <v>3467782055</v>
      </c>
      <c r="X158" s="296">
        <f t="shared" si="43"/>
        <v>613841152.5</v>
      </c>
      <c r="Y158" s="296">
        <f t="shared" si="43"/>
        <v>613841152.5</v>
      </c>
      <c r="Z158" s="296">
        <f t="shared" si="43"/>
        <v>608886197.5</v>
      </c>
      <c r="AA158" s="296">
        <f t="shared" si="43"/>
        <v>287059596</v>
      </c>
      <c r="AB158" s="296">
        <f t="shared" si="43"/>
        <v>36059596</v>
      </c>
      <c r="AC158" s="297">
        <f t="shared" si="43"/>
        <v>40598985164</v>
      </c>
      <c r="AD158" s="284"/>
      <c r="AE158" s="241"/>
      <c r="AF158" s="194"/>
      <c r="AG158" s="194"/>
      <c r="AH158" s="194"/>
      <c r="AI158" s="194"/>
    </row>
    <row r="159" hidden="1">
      <c r="A159" s="126"/>
      <c r="B159" s="298"/>
      <c r="C159" s="299"/>
      <c r="D159" s="300" t="s">
        <v>344</v>
      </c>
      <c r="E159" s="488"/>
      <c r="F159" s="488"/>
      <c r="G159" s="488"/>
      <c r="H159" s="301"/>
      <c r="I159" s="301"/>
      <c r="J159" s="489"/>
      <c r="K159" s="489" t="s">
        <v>230</v>
      </c>
      <c r="L159" s="304"/>
      <c r="M159" s="305"/>
      <c r="N159" s="306"/>
      <c r="O159" s="306"/>
      <c r="P159" s="306"/>
      <c r="Q159" s="490">
        <f t="shared" ref="Q159:AB159" si="44">Q53+Q59+Q66+Q71+Q77+Q84+Q90+Q96+Q101+Q107+Q116+Q121+Q127+Q133+Q138+Q143+Q148+Q155</f>
        <v>7458358200</v>
      </c>
      <c r="R159" s="490">
        <f t="shared" si="44"/>
        <v>7076287949</v>
      </c>
      <c r="S159" s="490">
        <f t="shared" si="44"/>
        <v>6717259022</v>
      </c>
      <c r="T159" s="490">
        <f t="shared" si="44"/>
        <v>7342123364</v>
      </c>
      <c r="U159" s="490">
        <f t="shared" si="44"/>
        <v>7354821242</v>
      </c>
      <c r="V159" s="490">
        <f t="shared" si="44"/>
        <v>7302218681</v>
      </c>
      <c r="W159" s="490">
        <f t="shared" si="44"/>
        <v>0</v>
      </c>
      <c r="X159" s="490">
        <f t="shared" si="44"/>
        <v>0</v>
      </c>
      <c r="Y159" s="490">
        <f t="shared" si="44"/>
        <v>0</v>
      </c>
      <c r="Z159" s="490">
        <f t="shared" si="44"/>
        <v>0</v>
      </c>
      <c r="AA159" s="490">
        <f t="shared" si="44"/>
        <v>0</v>
      </c>
      <c r="AB159" s="490">
        <f t="shared" si="44"/>
        <v>0</v>
      </c>
      <c r="AC159" s="491">
        <f t="shared" ref="AC159:AC161" si="46">SUM(Q159:AB159)</f>
        <v>43251068459</v>
      </c>
      <c r="AD159" s="284"/>
      <c r="AE159" s="241"/>
      <c r="AF159" s="310">
        <f t="shared" ref="AF159:AF160" si="47">AC159-AC160</f>
        <v>26202789562</v>
      </c>
      <c r="AG159" s="311" t="s">
        <v>226</v>
      </c>
      <c r="AH159" s="194"/>
      <c r="AI159" s="194"/>
    </row>
    <row r="160" hidden="1">
      <c r="A160" s="126"/>
      <c r="B160" s="298"/>
      <c r="C160" s="312"/>
      <c r="D160" s="313" t="s">
        <v>345</v>
      </c>
      <c r="E160" s="331"/>
      <c r="F160" s="331"/>
      <c r="G160" s="331"/>
      <c r="H160" s="199"/>
      <c r="I160" s="199"/>
      <c r="J160" s="222"/>
      <c r="K160" s="222" t="s">
        <v>230</v>
      </c>
      <c r="L160" s="287"/>
      <c r="M160" s="236"/>
      <c r="N160" s="285"/>
      <c r="O160" s="285"/>
      <c r="P160" s="285"/>
      <c r="Q160" s="314">
        <f t="shared" ref="Q160:AB160" si="45">Q54+Q60+Q67+Q72+Q78+Q85+Q91+Q97+Q102+Q108+Q117+Q122+Q128+Q134+Q139+Q144+Q149+Q156</f>
        <v>5174191696</v>
      </c>
      <c r="R160" s="314">
        <f t="shared" si="45"/>
        <v>2896131658</v>
      </c>
      <c r="S160" s="314">
        <f t="shared" si="45"/>
        <v>2537102730</v>
      </c>
      <c r="T160" s="314">
        <f t="shared" si="45"/>
        <v>2771167895</v>
      </c>
      <c r="U160" s="314">
        <f t="shared" si="45"/>
        <v>2059637823</v>
      </c>
      <c r="V160" s="314">
        <f t="shared" si="45"/>
        <v>1610047095</v>
      </c>
      <c r="W160" s="314">
        <f t="shared" si="45"/>
        <v>0</v>
      </c>
      <c r="X160" s="314">
        <f t="shared" si="45"/>
        <v>0</v>
      </c>
      <c r="Y160" s="314">
        <f t="shared" si="45"/>
        <v>0</v>
      </c>
      <c r="Z160" s="314">
        <f t="shared" si="45"/>
        <v>0</v>
      </c>
      <c r="AA160" s="314">
        <f t="shared" si="45"/>
        <v>0</v>
      </c>
      <c r="AB160" s="314">
        <f t="shared" si="45"/>
        <v>0</v>
      </c>
      <c r="AC160" s="492">
        <f t="shared" si="46"/>
        <v>17048278898</v>
      </c>
      <c r="AD160" s="214"/>
      <c r="AE160" s="241"/>
      <c r="AF160" s="316">
        <f t="shared" si="47"/>
        <v>5197904957</v>
      </c>
      <c r="AG160" s="311" t="s">
        <v>228</v>
      </c>
      <c r="AH160" s="194"/>
      <c r="AI160" s="194"/>
    </row>
    <row r="161" hidden="1">
      <c r="A161" s="126"/>
      <c r="B161" s="298"/>
      <c r="C161" s="317"/>
      <c r="D161" s="318" t="s">
        <v>346</v>
      </c>
      <c r="E161" s="493"/>
      <c r="F161" s="493"/>
      <c r="G161" s="493"/>
      <c r="H161" s="494"/>
      <c r="I161" s="494"/>
      <c r="J161" s="320"/>
      <c r="K161" s="320" t="s">
        <v>230</v>
      </c>
      <c r="L161" s="321"/>
      <c r="M161" s="322"/>
      <c r="N161" s="323"/>
      <c r="O161" s="323"/>
      <c r="P161" s="323"/>
      <c r="Q161" s="325">
        <f t="shared" ref="Q161:AB161" si="48">Q55+Q61+Q68+Q73+Q79+Q86+Q92+Q98+Q103+Q109+Q118+Q123+Q129+Q135+Q140+Q145+Q150+Q157</f>
        <v>2190529618</v>
      </c>
      <c r="R161" s="325">
        <f t="shared" si="48"/>
        <v>2443193014</v>
      </c>
      <c r="S161" s="325">
        <f t="shared" si="48"/>
        <v>2007884086</v>
      </c>
      <c r="T161" s="325">
        <f t="shared" si="48"/>
        <v>2153695546</v>
      </c>
      <c r="U161" s="325">
        <f t="shared" si="48"/>
        <v>1445024581</v>
      </c>
      <c r="V161" s="325">
        <f t="shared" si="48"/>
        <v>1610047095</v>
      </c>
      <c r="W161" s="325">
        <f t="shared" si="48"/>
        <v>0</v>
      </c>
      <c r="X161" s="325">
        <f t="shared" si="48"/>
        <v>0</v>
      </c>
      <c r="Y161" s="325">
        <f t="shared" si="48"/>
        <v>0</v>
      </c>
      <c r="Z161" s="325">
        <f t="shared" si="48"/>
        <v>0</v>
      </c>
      <c r="AA161" s="325">
        <f t="shared" si="48"/>
        <v>0</v>
      </c>
      <c r="AB161" s="325">
        <f t="shared" si="48"/>
        <v>0</v>
      </c>
      <c r="AC161" s="495">
        <f t="shared" si="46"/>
        <v>11850373941</v>
      </c>
      <c r="AD161" s="214"/>
      <c r="AE161" s="241"/>
      <c r="AF161" s="328">
        <f>AC161</f>
        <v>11850373941</v>
      </c>
      <c r="AG161" s="311" t="s">
        <v>148</v>
      </c>
      <c r="AH161" s="194"/>
      <c r="AI161" s="194"/>
    </row>
    <row r="162">
      <c r="A162" s="126"/>
      <c r="B162" s="181">
        <v>3.0</v>
      </c>
      <c r="C162" s="329" t="s">
        <v>31</v>
      </c>
      <c r="D162" s="330"/>
      <c r="E162" s="496"/>
      <c r="F162" s="496"/>
      <c r="G162" s="496"/>
      <c r="H162" s="332"/>
      <c r="I162" s="332"/>
      <c r="J162" s="333"/>
      <c r="K162" s="333" t="s">
        <v>347</v>
      </c>
      <c r="L162" s="334">
        <f>L163+L170+L177+L182+L189+L196+L203+L210+L216+L222+L228+L234</f>
        <v>15330261343</v>
      </c>
      <c r="M162" s="335"/>
      <c r="N162" s="336"/>
      <c r="O162" s="336"/>
      <c r="P162" s="336"/>
      <c r="Q162" s="337">
        <f t="shared" ref="Q162:AC162" si="49">Q163+Q170+Q177+Q182+Q189+Q196+Q203+Q210+Q216+Q222+Q228+Q234+Q239+Q244</f>
        <v>1329517609</v>
      </c>
      <c r="R162" s="337">
        <f t="shared" si="49"/>
        <v>1329517609</v>
      </c>
      <c r="S162" s="337">
        <f t="shared" si="49"/>
        <v>6743395645</v>
      </c>
      <c r="T162" s="337">
        <f t="shared" si="49"/>
        <v>1329517609</v>
      </c>
      <c r="U162" s="337">
        <f t="shared" si="49"/>
        <v>1329517609</v>
      </c>
      <c r="V162" s="337">
        <f t="shared" si="49"/>
        <v>1329517609</v>
      </c>
      <c r="W162" s="337">
        <f t="shared" si="49"/>
        <v>1329517609</v>
      </c>
      <c r="X162" s="337">
        <f t="shared" si="49"/>
        <v>1329517609</v>
      </c>
      <c r="Y162" s="337">
        <f t="shared" si="49"/>
        <v>1329517609</v>
      </c>
      <c r="Z162" s="337">
        <f t="shared" si="49"/>
        <v>1329517609</v>
      </c>
      <c r="AA162" s="337">
        <f t="shared" si="49"/>
        <v>1329517609</v>
      </c>
      <c r="AB162" s="337">
        <f t="shared" si="49"/>
        <v>1329517609</v>
      </c>
      <c r="AC162" s="338">
        <f t="shared" si="49"/>
        <v>21368089345</v>
      </c>
      <c r="AD162" s="178">
        <f>AC162-AE162</f>
        <v>0.09387207031</v>
      </c>
      <c r="AE162" s="241">
        <f>'Proker New'!Y31</f>
        <v>21368089345</v>
      </c>
      <c r="AF162" s="193" t="str">
        <f>C162</f>
        <v>Sumatra Selatan - Palembang (PLM)</v>
      </c>
      <c r="AG162" s="194"/>
      <c r="AH162" s="194"/>
      <c r="AI162" s="194"/>
    </row>
    <row r="163">
      <c r="A163" s="126"/>
      <c r="B163" s="195"/>
      <c r="C163" s="196">
        <v>1.0</v>
      </c>
      <c r="D163" s="197" t="s">
        <v>348</v>
      </c>
      <c r="E163" s="198" t="s">
        <v>186</v>
      </c>
      <c r="F163" s="198" t="s">
        <v>103</v>
      </c>
      <c r="G163" s="198" t="s">
        <v>86</v>
      </c>
      <c r="H163" s="198" t="s">
        <v>86</v>
      </c>
      <c r="I163" s="198" t="s">
        <v>187</v>
      </c>
      <c r="J163" s="198" t="s">
        <v>188</v>
      </c>
      <c r="K163" s="199" t="s">
        <v>347</v>
      </c>
      <c r="L163" s="347">
        <v>4.64E9</v>
      </c>
      <c r="M163" s="257" t="s">
        <v>349</v>
      </c>
      <c r="N163" s="366"/>
      <c r="O163" s="366">
        <v>45342.0</v>
      </c>
      <c r="P163" s="366">
        <v>45645.0</v>
      </c>
      <c r="Q163" s="204">
        <v>3.26125987525988E8</v>
      </c>
      <c r="R163" s="204">
        <v>3.26125987525988E8</v>
      </c>
      <c r="S163" s="204">
        <v>3.26125987525988E8</v>
      </c>
      <c r="T163" s="204">
        <v>3.26125987525988E8</v>
      </c>
      <c r="U163" s="204">
        <v>3.26125987525988E8</v>
      </c>
      <c r="V163" s="204">
        <v>3.26125987525988E8</v>
      </c>
      <c r="W163" s="204">
        <v>3.26125987525988E8</v>
      </c>
      <c r="X163" s="204">
        <v>3.26125987525988E8</v>
      </c>
      <c r="Y163" s="204">
        <v>3.26125987525988E8</v>
      </c>
      <c r="Z163" s="204">
        <v>3.26125987525988E8</v>
      </c>
      <c r="AA163" s="204">
        <v>3.26125987525988E8</v>
      </c>
      <c r="AB163" s="204">
        <v>3.26125987525988E8</v>
      </c>
      <c r="AC163" s="205">
        <f t="shared" ref="AC163:AC238" si="50">SUM(Q163:AB163)</f>
        <v>3913511850</v>
      </c>
      <c r="AD163" s="178">
        <f>SUM(Q163:AB163)-AC163</f>
        <v>0</v>
      </c>
      <c r="AE163" s="241"/>
      <c r="AF163" s="194"/>
      <c r="AG163" s="194"/>
      <c r="AH163" s="194"/>
      <c r="AI163" s="194"/>
    </row>
    <row r="164" hidden="1">
      <c r="A164" s="126"/>
      <c r="B164" s="195"/>
      <c r="C164" s="206"/>
      <c r="D164" s="215" t="s">
        <v>350</v>
      </c>
      <c r="E164" s="207"/>
      <c r="F164" s="207"/>
      <c r="G164" s="207"/>
      <c r="H164" s="206"/>
      <c r="I164" s="206"/>
      <c r="J164" s="206"/>
      <c r="K164" s="206" t="s">
        <v>347</v>
      </c>
      <c r="L164" s="277">
        <f>6053590000-L163</f>
        <v>1413590000</v>
      </c>
      <c r="M164" s="209" t="s">
        <v>351</v>
      </c>
      <c r="N164" s="367"/>
      <c r="O164" s="367">
        <v>45646.0</v>
      </c>
      <c r="P164" s="367">
        <v>45735.0</v>
      </c>
      <c r="Q164" s="249">
        <v>4.24501733E8</v>
      </c>
      <c r="R164" s="249">
        <v>4.24501733E8</v>
      </c>
      <c r="S164" s="249">
        <v>4.24501733E8</v>
      </c>
      <c r="T164" s="212"/>
      <c r="U164" s="212"/>
      <c r="V164" s="212"/>
      <c r="W164" s="212"/>
      <c r="X164" s="212"/>
      <c r="Y164" s="212"/>
      <c r="Z164" s="212"/>
      <c r="AA164" s="212"/>
      <c r="AB164" s="212"/>
      <c r="AC164" s="213">
        <f t="shared" si="50"/>
        <v>1273505199</v>
      </c>
      <c r="AD164" s="264"/>
      <c r="AE164" s="241"/>
      <c r="AF164" s="194"/>
      <c r="AG164" s="194"/>
      <c r="AH164" s="194"/>
      <c r="AI164" s="194"/>
    </row>
    <row r="165" hidden="1">
      <c r="A165" s="126"/>
      <c r="B165" s="195"/>
      <c r="C165" s="206"/>
      <c r="D165" s="207"/>
      <c r="E165" s="207"/>
      <c r="F165" s="207"/>
      <c r="G165" s="207"/>
      <c r="H165" s="206"/>
      <c r="I165" s="206"/>
      <c r="J165" s="206"/>
      <c r="K165" s="206" t="s">
        <v>347</v>
      </c>
      <c r="L165" s="277">
        <f>7495709000-L164-L163</f>
        <v>1442119000</v>
      </c>
      <c r="M165" s="209" t="s">
        <v>352</v>
      </c>
      <c r="N165" s="367"/>
      <c r="O165" s="367">
        <v>45736.0</v>
      </c>
      <c r="P165" s="367">
        <v>45827.0</v>
      </c>
      <c r="Q165" s="212"/>
      <c r="R165" s="212"/>
      <c r="S165" s="212"/>
      <c r="T165" s="249">
        <v>4.24501733E8</v>
      </c>
      <c r="U165" s="249">
        <v>4.24501733E8</v>
      </c>
      <c r="V165" s="249">
        <v>4.24501733E8</v>
      </c>
      <c r="W165" s="212"/>
      <c r="X165" s="212"/>
      <c r="Y165" s="212"/>
      <c r="Z165" s="212"/>
      <c r="AA165" s="212"/>
      <c r="AB165" s="212"/>
      <c r="AC165" s="213">
        <f t="shared" si="50"/>
        <v>1273505199</v>
      </c>
      <c r="AD165" s="214"/>
      <c r="AE165" s="192"/>
      <c r="AF165" s="194"/>
      <c r="AG165" s="194"/>
      <c r="AH165" s="194"/>
      <c r="AI165" s="194"/>
    </row>
    <row r="166" hidden="1">
      <c r="A166" s="126"/>
      <c r="B166" s="195"/>
      <c r="C166" s="206"/>
      <c r="D166" s="220" t="s">
        <v>353</v>
      </c>
      <c r="E166" s="207"/>
      <c r="F166" s="207"/>
      <c r="G166" s="207"/>
      <c r="H166" s="206"/>
      <c r="I166" s="206"/>
      <c r="J166" s="206"/>
      <c r="K166" s="206" t="s">
        <v>347</v>
      </c>
      <c r="L166" s="245">
        <v>9.5681E8</v>
      </c>
      <c r="M166" s="265" t="s">
        <v>354</v>
      </c>
      <c r="N166" s="283"/>
      <c r="O166" s="283">
        <f>P165+1</f>
        <v>45828</v>
      </c>
      <c r="P166" s="497" t="s">
        <v>355</v>
      </c>
      <c r="Q166" s="249"/>
      <c r="R166" s="249"/>
      <c r="S166" s="249"/>
      <c r="T166" s="249"/>
      <c r="U166" s="212"/>
      <c r="V166" s="212"/>
      <c r="W166" s="212"/>
      <c r="X166" s="212"/>
      <c r="Y166" s="212"/>
      <c r="Z166" s="212"/>
      <c r="AA166" s="212"/>
      <c r="AB166" s="212"/>
      <c r="AC166" s="213">
        <f t="shared" si="50"/>
        <v>0</v>
      </c>
      <c r="AD166" s="214"/>
      <c r="AE166" s="192"/>
      <c r="AF166" s="194"/>
      <c r="AG166" s="194"/>
      <c r="AH166" s="194"/>
      <c r="AI166" s="194"/>
    </row>
    <row r="167" hidden="1">
      <c r="A167" s="126"/>
      <c r="B167" s="195"/>
      <c r="C167" s="222"/>
      <c r="D167" s="250" t="s">
        <v>356</v>
      </c>
      <c r="E167" s="224"/>
      <c r="F167" s="224"/>
      <c r="G167" s="224"/>
      <c r="H167" s="222"/>
      <c r="I167" s="222"/>
      <c r="J167" s="222"/>
      <c r="K167" s="222" t="s">
        <v>347</v>
      </c>
      <c r="L167" s="225"/>
      <c r="M167" s="236"/>
      <c r="N167" s="285"/>
      <c r="O167" s="285"/>
      <c r="P167" s="285"/>
      <c r="Q167" s="228">
        <v>4.64E8</v>
      </c>
      <c r="R167" s="228">
        <v>4.64E8</v>
      </c>
      <c r="S167" s="228">
        <v>4.64E8</v>
      </c>
      <c r="T167" s="229">
        <v>4.80706333E8</v>
      </c>
      <c r="U167" s="229">
        <v>4.80706333E8</v>
      </c>
      <c r="V167" s="229">
        <v>4.80706333E8</v>
      </c>
      <c r="W167" s="230"/>
      <c r="X167" s="230"/>
      <c r="Y167" s="230"/>
      <c r="Z167" s="230"/>
      <c r="AA167" s="230"/>
      <c r="AB167" s="230"/>
      <c r="AC167" s="231">
        <f t="shared" si="50"/>
        <v>2834118999</v>
      </c>
      <c r="AD167" s="214"/>
      <c r="AE167" s="241"/>
      <c r="AF167" s="194"/>
      <c r="AG167" s="194"/>
      <c r="AH167" s="194"/>
      <c r="AI167" s="194"/>
    </row>
    <row r="168" hidden="1">
      <c r="A168" s="126"/>
      <c r="B168" s="195"/>
      <c r="C168" s="196"/>
      <c r="D168" s="254" t="s">
        <v>194</v>
      </c>
      <c r="E168" s="233"/>
      <c r="F168" s="233"/>
      <c r="G168" s="233"/>
      <c r="H168" s="234"/>
      <c r="I168" s="234"/>
      <c r="J168" s="222"/>
      <c r="K168" s="222" t="s">
        <v>347</v>
      </c>
      <c r="L168" s="346"/>
      <c r="M168" s="255"/>
      <c r="N168" s="365"/>
      <c r="O168" s="365"/>
      <c r="P168" s="365"/>
      <c r="Q168" s="228">
        <v>4.64E8</v>
      </c>
      <c r="R168" s="228">
        <v>4.64E8</v>
      </c>
      <c r="S168" s="228">
        <v>4.64E8</v>
      </c>
      <c r="T168" s="238"/>
      <c r="U168" s="238"/>
      <c r="V168" s="238"/>
      <c r="W168" s="238"/>
      <c r="X168" s="238"/>
      <c r="Y168" s="238"/>
      <c r="Z168" s="238"/>
      <c r="AA168" s="238"/>
      <c r="AB168" s="238"/>
      <c r="AC168" s="378">
        <f t="shared" si="50"/>
        <v>1392000000</v>
      </c>
      <c r="AD168" s="214"/>
      <c r="AE168" s="241"/>
      <c r="AF168" s="194"/>
      <c r="AG168" s="194"/>
      <c r="AH168" s="194"/>
      <c r="AI168" s="194"/>
    </row>
    <row r="169" hidden="1">
      <c r="A169" s="126"/>
      <c r="B169" s="195"/>
      <c r="C169" s="196"/>
      <c r="D169" s="254" t="s">
        <v>357</v>
      </c>
      <c r="E169" s="233"/>
      <c r="F169" s="233"/>
      <c r="G169" s="233"/>
      <c r="H169" s="234"/>
      <c r="I169" s="234"/>
      <c r="J169" s="222"/>
      <c r="K169" s="222" t="s">
        <v>347</v>
      </c>
      <c r="L169" s="346"/>
      <c r="M169" s="255"/>
      <c r="N169" s="365"/>
      <c r="O169" s="365"/>
      <c r="P169" s="365"/>
      <c r="Q169" s="228">
        <v>4.64E8</v>
      </c>
      <c r="R169" s="228">
        <v>4.64E8</v>
      </c>
      <c r="S169" s="228">
        <v>4.64E8</v>
      </c>
      <c r="T169" s="238"/>
      <c r="U169" s="238"/>
      <c r="V169" s="238"/>
      <c r="W169" s="238"/>
      <c r="X169" s="238"/>
      <c r="Y169" s="238"/>
      <c r="Z169" s="238"/>
      <c r="AA169" s="238"/>
      <c r="AB169" s="238"/>
      <c r="AC169" s="378">
        <f t="shared" si="50"/>
        <v>1392000000</v>
      </c>
      <c r="AD169" s="214"/>
      <c r="AE169" s="241"/>
      <c r="AF169" s="194"/>
      <c r="AG169" s="194"/>
      <c r="AH169" s="194"/>
      <c r="AI169" s="194"/>
    </row>
    <row r="170">
      <c r="A170" s="126"/>
      <c r="B170" s="195"/>
      <c r="C170" s="196">
        <v>2.0</v>
      </c>
      <c r="D170" s="197" t="s">
        <v>358</v>
      </c>
      <c r="E170" s="198" t="s">
        <v>186</v>
      </c>
      <c r="F170" s="198" t="s">
        <v>103</v>
      </c>
      <c r="G170" s="198" t="s">
        <v>86</v>
      </c>
      <c r="H170" s="198" t="s">
        <v>86</v>
      </c>
      <c r="I170" s="198" t="s">
        <v>187</v>
      </c>
      <c r="J170" s="198" t="s">
        <v>188</v>
      </c>
      <c r="K170" s="199" t="s">
        <v>347</v>
      </c>
      <c r="L170" s="347">
        <v>4.99326733E8</v>
      </c>
      <c r="M170" s="257" t="s">
        <v>359</v>
      </c>
      <c r="N170" s="366"/>
      <c r="O170" s="366">
        <v>45383.0</v>
      </c>
      <c r="P170" s="366">
        <v>45657.0</v>
      </c>
      <c r="Q170" s="204">
        <v>4.08949003276003E7</v>
      </c>
      <c r="R170" s="204">
        <v>4.08949003276003E7</v>
      </c>
      <c r="S170" s="204">
        <v>4.08949003276003E7</v>
      </c>
      <c r="T170" s="204">
        <v>4.08949003276003E7</v>
      </c>
      <c r="U170" s="204">
        <v>4.08949003276003E7</v>
      </c>
      <c r="V170" s="204">
        <v>4.08949003276003E7</v>
      </c>
      <c r="W170" s="204">
        <v>4.08949003276003E7</v>
      </c>
      <c r="X170" s="204">
        <v>4.08949003276003E7</v>
      </c>
      <c r="Y170" s="204">
        <v>4.08949003276003E7</v>
      </c>
      <c r="Z170" s="204">
        <v>4.08949003276003E7</v>
      </c>
      <c r="AA170" s="204">
        <v>4.08949003276003E7</v>
      </c>
      <c r="AB170" s="204">
        <v>4.08949003276003E7</v>
      </c>
      <c r="AC170" s="205">
        <f t="shared" si="50"/>
        <v>490738803.9</v>
      </c>
      <c r="AD170" s="178">
        <f>SUM(Q170:AB170)-AC170</f>
        <v>0</v>
      </c>
      <c r="AE170" s="241"/>
      <c r="AF170" s="194"/>
      <c r="AG170" s="194"/>
      <c r="AH170" s="194"/>
      <c r="AI170" s="194"/>
    </row>
    <row r="171" hidden="1">
      <c r="A171" s="126"/>
      <c r="B171" s="195"/>
      <c r="C171" s="242"/>
      <c r="D171" s="215"/>
      <c r="E171" s="207"/>
      <c r="F171" s="207"/>
      <c r="G171" s="207"/>
      <c r="H171" s="206"/>
      <c r="I171" s="206"/>
      <c r="J171" s="206"/>
      <c r="K171" s="206" t="s">
        <v>347</v>
      </c>
      <c r="L171" s="277">
        <f>678780569-L170</f>
        <v>179453836</v>
      </c>
      <c r="M171" s="246" t="s">
        <v>360</v>
      </c>
      <c r="N171" s="367"/>
      <c r="O171" s="367">
        <v>45658.0</v>
      </c>
      <c r="P171" s="367">
        <v>45747.0</v>
      </c>
      <c r="Q171" s="212">
        <f>L171/3</f>
        <v>59817945.33</v>
      </c>
      <c r="R171" s="212">
        <f t="shared" ref="R171:S171" si="51">Q171</f>
        <v>59817945.33</v>
      </c>
      <c r="S171" s="212">
        <f t="shared" si="51"/>
        <v>59817945.33</v>
      </c>
      <c r="T171" s="212"/>
      <c r="U171" s="212"/>
      <c r="V171" s="212"/>
      <c r="W171" s="212"/>
      <c r="X171" s="212"/>
      <c r="Y171" s="212"/>
      <c r="Z171" s="212"/>
      <c r="AA171" s="212"/>
      <c r="AB171" s="212"/>
      <c r="AC171" s="213">
        <f t="shared" si="50"/>
        <v>179453836</v>
      </c>
      <c r="AD171" s="214"/>
      <c r="AE171" s="192"/>
      <c r="AF171" s="194"/>
      <c r="AG171" s="194"/>
      <c r="AH171" s="194"/>
      <c r="AI171" s="194"/>
    </row>
    <row r="172" hidden="1">
      <c r="A172" s="126"/>
      <c r="B172" s="195"/>
      <c r="C172" s="206"/>
      <c r="D172" s="215"/>
      <c r="E172" s="207"/>
      <c r="F172" s="207"/>
      <c r="G172" s="207"/>
      <c r="H172" s="206"/>
      <c r="I172" s="206"/>
      <c r="J172" s="206"/>
      <c r="K172" s="206" t="s">
        <v>347</v>
      </c>
      <c r="L172" s="348">
        <f>173005231</f>
        <v>173005231</v>
      </c>
      <c r="M172" s="246" t="s">
        <v>361</v>
      </c>
      <c r="N172" s="382"/>
      <c r="O172" s="382">
        <v>45748.0</v>
      </c>
      <c r="P172" s="382">
        <v>45838.0</v>
      </c>
      <c r="Q172" s="212"/>
      <c r="R172" s="212"/>
      <c r="S172" s="212"/>
      <c r="T172" s="212">
        <f>L172/3</f>
        <v>57668410.33</v>
      </c>
      <c r="U172" s="212">
        <f t="shared" ref="U172:V172" si="52">T172</f>
        <v>57668410.33</v>
      </c>
      <c r="V172" s="212">
        <f t="shared" si="52"/>
        <v>57668410.33</v>
      </c>
      <c r="W172" s="212"/>
      <c r="X172" s="212"/>
      <c r="Y172" s="212"/>
      <c r="Z172" s="212"/>
      <c r="AA172" s="212"/>
      <c r="AB172" s="212"/>
      <c r="AC172" s="213">
        <f t="shared" si="50"/>
        <v>173005231</v>
      </c>
      <c r="AD172" s="214"/>
      <c r="AE172" s="241"/>
      <c r="AF172" s="194"/>
      <c r="AG172" s="194"/>
      <c r="AH172" s="194"/>
      <c r="AI172" s="194"/>
    </row>
    <row r="173" hidden="1">
      <c r="A173" s="126"/>
      <c r="B173" s="195"/>
      <c r="C173" s="206"/>
      <c r="D173" s="220" t="s">
        <v>362</v>
      </c>
      <c r="E173" s="207"/>
      <c r="F173" s="207"/>
      <c r="G173" s="207"/>
      <c r="H173" s="206"/>
      <c r="I173" s="206"/>
      <c r="J173" s="206"/>
      <c r="K173" s="206" t="s">
        <v>347</v>
      </c>
      <c r="L173" s="280"/>
      <c r="M173" s="265" t="s">
        <v>354</v>
      </c>
      <c r="N173" s="283"/>
      <c r="O173" s="283">
        <f>P172+1</f>
        <v>45839</v>
      </c>
      <c r="P173" s="283"/>
      <c r="Q173" s="212"/>
      <c r="R173" s="212"/>
      <c r="S173" s="212"/>
      <c r="T173" s="212"/>
      <c r="U173" s="212"/>
      <c r="V173" s="212"/>
      <c r="W173" s="212"/>
      <c r="X173" s="212"/>
      <c r="Y173" s="212"/>
      <c r="Z173" s="212"/>
      <c r="AA173" s="212"/>
      <c r="AB173" s="212"/>
      <c r="AC173" s="213">
        <f t="shared" si="50"/>
        <v>0</v>
      </c>
      <c r="AD173" s="271"/>
      <c r="AE173" s="241"/>
      <c r="AF173" s="194"/>
      <c r="AG173" s="194"/>
      <c r="AH173" s="194"/>
      <c r="AI173" s="194"/>
    </row>
    <row r="174" hidden="1">
      <c r="A174" s="126"/>
      <c r="B174" s="195"/>
      <c r="C174" s="222"/>
      <c r="D174" s="250" t="s">
        <v>363</v>
      </c>
      <c r="E174" s="224"/>
      <c r="F174" s="224"/>
      <c r="G174" s="224"/>
      <c r="H174" s="222"/>
      <c r="I174" s="222"/>
      <c r="J174" s="222"/>
      <c r="K174" s="222" t="s">
        <v>347</v>
      </c>
      <c r="L174" s="225"/>
      <c r="M174" s="383"/>
      <c r="N174" s="285"/>
      <c r="O174" s="285"/>
      <c r="P174" s="285"/>
      <c r="Q174" s="230">
        <f t="shared" ref="Q174:Q176" si="54">179453863/3</f>
        <v>59817954.33</v>
      </c>
      <c r="R174" s="230">
        <f t="shared" ref="R174:S174" si="53">Q174</f>
        <v>59817954.33</v>
      </c>
      <c r="S174" s="230">
        <f t="shared" si="53"/>
        <v>59817954.33</v>
      </c>
      <c r="T174" s="229">
        <v>5.1158295E7</v>
      </c>
      <c r="U174" s="229">
        <v>5.1158295E7</v>
      </c>
      <c r="V174" s="229">
        <v>5.1158295E7</v>
      </c>
      <c r="W174" s="230"/>
      <c r="X174" s="230"/>
      <c r="Y174" s="230"/>
      <c r="Z174" s="230"/>
      <c r="AA174" s="230"/>
      <c r="AB174" s="230"/>
      <c r="AC174" s="231">
        <f t="shared" si="50"/>
        <v>332928748</v>
      </c>
      <c r="AD174" s="264"/>
      <c r="AE174" s="241"/>
      <c r="AF174" s="194"/>
      <c r="AG174" s="194"/>
      <c r="AH174" s="194"/>
      <c r="AI174" s="194"/>
    </row>
    <row r="175" hidden="1">
      <c r="A175" s="126"/>
      <c r="B175" s="195"/>
      <c r="C175" s="196"/>
      <c r="D175" s="254" t="s">
        <v>194</v>
      </c>
      <c r="E175" s="233"/>
      <c r="F175" s="233"/>
      <c r="G175" s="233"/>
      <c r="H175" s="234"/>
      <c r="I175" s="234"/>
      <c r="J175" s="222"/>
      <c r="K175" s="222" t="s">
        <v>347</v>
      </c>
      <c r="L175" s="346"/>
      <c r="M175" s="255"/>
      <c r="N175" s="365"/>
      <c r="O175" s="365"/>
      <c r="P175" s="365"/>
      <c r="Q175" s="230">
        <f t="shared" si="54"/>
        <v>59817954.33</v>
      </c>
      <c r="R175" s="230">
        <f t="shared" ref="R175:S175" si="55">Q175</f>
        <v>59817954.33</v>
      </c>
      <c r="S175" s="230">
        <f t="shared" si="55"/>
        <v>59817954.33</v>
      </c>
      <c r="T175" s="238"/>
      <c r="U175" s="238"/>
      <c r="V175" s="238"/>
      <c r="W175" s="238"/>
      <c r="X175" s="238"/>
      <c r="Y175" s="238"/>
      <c r="Z175" s="238"/>
      <c r="AA175" s="238"/>
      <c r="AB175" s="238"/>
      <c r="AC175" s="378">
        <f t="shared" si="50"/>
        <v>179453863</v>
      </c>
      <c r="AD175" s="214"/>
      <c r="AE175" s="192"/>
      <c r="AF175" s="194"/>
      <c r="AG175" s="194"/>
      <c r="AH175" s="194"/>
      <c r="AI175" s="194"/>
    </row>
    <row r="176" hidden="1">
      <c r="A176" s="126"/>
      <c r="B176" s="195"/>
      <c r="C176" s="196"/>
      <c r="D176" s="254" t="s">
        <v>364</v>
      </c>
      <c r="E176" s="233"/>
      <c r="F176" s="233"/>
      <c r="G176" s="233"/>
      <c r="H176" s="234"/>
      <c r="I176" s="234"/>
      <c r="J176" s="222"/>
      <c r="K176" s="222" t="s">
        <v>347</v>
      </c>
      <c r="L176" s="346"/>
      <c r="M176" s="255"/>
      <c r="N176" s="365"/>
      <c r="O176" s="365"/>
      <c r="P176" s="365"/>
      <c r="Q176" s="230">
        <f t="shared" si="54"/>
        <v>59817954.33</v>
      </c>
      <c r="R176" s="230">
        <f t="shared" ref="R176:S176" si="56">Q176</f>
        <v>59817954.33</v>
      </c>
      <c r="S176" s="230">
        <f t="shared" si="56"/>
        <v>59817954.33</v>
      </c>
      <c r="T176" s="238"/>
      <c r="U176" s="238"/>
      <c r="V176" s="238"/>
      <c r="W176" s="238"/>
      <c r="X176" s="238"/>
      <c r="Y176" s="238"/>
      <c r="Z176" s="238"/>
      <c r="AA176" s="238"/>
      <c r="AB176" s="238"/>
      <c r="AC176" s="378">
        <f t="shared" si="50"/>
        <v>179453863</v>
      </c>
      <c r="AD176" s="214"/>
      <c r="AE176" s="192"/>
      <c r="AF176" s="194"/>
      <c r="AG176" s="194"/>
      <c r="AH176" s="194"/>
      <c r="AI176" s="194"/>
    </row>
    <row r="177">
      <c r="A177" s="126"/>
      <c r="B177" s="195"/>
      <c r="C177" s="196">
        <v>3.0</v>
      </c>
      <c r="D177" s="184" t="s">
        <v>365</v>
      </c>
      <c r="E177" s="198" t="s">
        <v>186</v>
      </c>
      <c r="F177" s="198" t="s">
        <v>103</v>
      </c>
      <c r="G177" s="198" t="s">
        <v>86</v>
      </c>
      <c r="H177" s="198" t="s">
        <v>86</v>
      </c>
      <c r="I177" s="198" t="s">
        <v>366</v>
      </c>
      <c r="J177" s="198" t="s">
        <v>367</v>
      </c>
      <c r="K177" s="199" t="s">
        <v>347</v>
      </c>
      <c r="L177" s="347">
        <v>2.20756986E8</v>
      </c>
      <c r="M177" s="257" t="s">
        <v>368</v>
      </c>
      <c r="N177" s="366"/>
      <c r="O177" s="366">
        <v>45658.0</v>
      </c>
      <c r="P177" s="366">
        <v>46022.0</v>
      </c>
      <c r="Q177" s="204">
        <v>1.8290364E7</v>
      </c>
      <c r="R177" s="204">
        <v>1.8290364E7</v>
      </c>
      <c r="S177" s="204">
        <v>1.8290364E7</v>
      </c>
      <c r="T177" s="204">
        <v>1.8290364E7</v>
      </c>
      <c r="U177" s="204">
        <v>1.8290364E7</v>
      </c>
      <c r="V177" s="204">
        <v>1.8290364E7</v>
      </c>
      <c r="W177" s="204">
        <v>1.8290364E7</v>
      </c>
      <c r="X177" s="204">
        <v>1.8290364E7</v>
      </c>
      <c r="Y177" s="204">
        <v>1.8290364E7</v>
      </c>
      <c r="Z177" s="204">
        <v>1.8290364E7</v>
      </c>
      <c r="AA177" s="204">
        <v>1.8290364E7</v>
      </c>
      <c r="AB177" s="204">
        <v>1.8290364E7</v>
      </c>
      <c r="AC177" s="205">
        <f t="shared" si="50"/>
        <v>219484368</v>
      </c>
      <c r="AD177" s="178">
        <f>SUM(Q177:AB177)-AC177</f>
        <v>0</v>
      </c>
      <c r="AE177" s="192"/>
      <c r="AF177" s="194"/>
      <c r="AG177" s="194"/>
      <c r="AH177" s="194"/>
      <c r="AI177" s="194"/>
    </row>
    <row r="178" hidden="1">
      <c r="A178" s="126"/>
      <c r="B178" s="195"/>
      <c r="C178" s="206"/>
      <c r="D178" s="207"/>
      <c r="E178" s="207"/>
      <c r="F178" s="207"/>
      <c r="G178" s="207"/>
      <c r="H178" s="206"/>
      <c r="I178" s="206"/>
      <c r="J178" s="206"/>
      <c r="K178" s="206" t="s">
        <v>347</v>
      </c>
      <c r="L178" s="245"/>
      <c r="M178" s="209"/>
      <c r="N178" s="367"/>
      <c r="O178" s="367"/>
      <c r="P178" s="367">
        <v>46022.0</v>
      </c>
      <c r="Q178" s="212">
        <v>1.83964155E7</v>
      </c>
      <c r="R178" s="212">
        <v>1.83964155E7</v>
      </c>
      <c r="S178" s="212">
        <v>1.83964155E7</v>
      </c>
      <c r="T178" s="212">
        <v>1.83964155E7</v>
      </c>
      <c r="U178" s="212">
        <v>1.83964155E7</v>
      </c>
      <c r="V178" s="212">
        <v>1.83964155E7</v>
      </c>
      <c r="W178" s="212">
        <v>1.83964155E7</v>
      </c>
      <c r="X178" s="212">
        <v>1.83964155E7</v>
      </c>
      <c r="Y178" s="212">
        <v>1.83964155E7</v>
      </c>
      <c r="Z178" s="212">
        <v>1.83964155E7</v>
      </c>
      <c r="AA178" s="212">
        <v>1.83964155E7</v>
      </c>
      <c r="AB178" s="212">
        <v>1.83964155E7</v>
      </c>
      <c r="AC178" s="213">
        <f t="shared" si="50"/>
        <v>220756986</v>
      </c>
      <c r="AD178" s="214"/>
      <c r="AE178" s="241"/>
      <c r="AF178" s="194"/>
      <c r="AG178" s="194"/>
      <c r="AH178" s="194"/>
      <c r="AI178" s="194"/>
    </row>
    <row r="179" hidden="1">
      <c r="A179" s="126"/>
      <c r="B179" s="195"/>
      <c r="C179" s="222"/>
      <c r="D179" s="250" t="s">
        <v>369</v>
      </c>
      <c r="E179" s="224"/>
      <c r="F179" s="224"/>
      <c r="G179" s="224"/>
      <c r="H179" s="222"/>
      <c r="I179" s="222"/>
      <c r="J179" s="222"/>
      <c r="K179" s="222" t="s">
        <v>347</v>
      </c>
      <c r="L179" s="225"/>
      <c r="M179" s="383"/>
      <c r="N179" s="285"/>
      <c r="O179" s="285"/>
      <c r="P179" s="285"/>
      <c r="Q179" s="229">
        <v>1.8396415E7</v>
      </c>
      <c r="R179" s="229">
        <v>1.8396415E7</v>
      </c>
      <c r="S179" s="229">
        <v>1.8396415E7</v>
      </c>
      <c r="T179" s="229">
        <v>1.8396415E7</v>
      </c>
      <c r="U179" s="229">
        <v>1.8396415E7</v>
      </c>
      <c r="V179" s="229">
        <v>1.8396415E7</v>
      </c>
      <c r="W179" s="230"/>
      <c r="X179" s="230"/>
      <c r="Y179" s="230"/>
      <c r="Z179" s="230"/>
      <c r="AA179" s="230"/>
      <c r="AB179" s="230"/>
      <c r="AC179" s="231">
        <f t="shared" si="50"/>
        <v>110378490</v>
      </c>
      <c r="AD179" s="264"/>
      <c r="AE179" s="241"/>
      <c r="AF179" s="194"/>
      <c r="AG179" s="194"/>
      <c r="AH179" s="194"/>
      <c r="AI179" s="194"/>
    </row>
    <row r="180" hidden="1">
      <c r="A180" s="126"/>
      <c r="B180" s="195"/>
      <c r="C180" s="196"/>
      <c r="D180" s="286" t="s">
        <v>194</v>
      </c>
      <c r="E180" s="233"/>
      <c r="F180" s="233"/>
      <c r="G180" s="233"/>
      <c r="H180" s="234"/>
      <c r="I180" s="234"/>
      <c r="J180" s="222"/>
      <c r="K180" s="222" t="s">
        <v>347</v>
      </c>
      <c r="L180" s="225"/>
      <c r="M180" s="255"/>
      <c r="N180" s="365"/>
      <c r="O180" s="365"/>
      <c r="P180" s="365"/>
      <c r="Q180" s="238"/>
      <c r="R180" s="238"/>
      <c r="S180" s="238"/>
      <c r="T180" s="238"/>
      <c r="U180" s="238"/>
      <c r="V180" s="238"/>
      <c r="W180" s="238"/>
      <c r="X180" s="238"/>
      <c r="Y180" s="238"/>
      <c r="Z180" s="238"/>
      <c r="AA180" s="238"/>
      <c r="AB180" s="238"/>
      <c r="AC180" s="378">
        <f t="shared" si="50"/>
        <v>0</v>
      </c>
      <c r="AD180" s="214"/>
      <c r="AE180" s="192"/>
      <c r="AF180" s="194"/>
      <c r="AG180" s="194"/>
      <c r="AH180" s="194"/>
      <c r="AI180" s="194"/>
    </row>
    <row r="181" hidden="1">
      <c r="A181" s="126"/>
      <c r="B181" s="195"/>
      <c r="C181" s="196"/>
      <c r="D181" s="286" t="s">
        <v>370</v>
      </c>
      <c r="E181" s="233"/>
      <c r="F181" s="233"/>
      <c r="G181" s="233"/>
      <c r="H181" s="234"/>
      <c r="I181" s="234"/>
      <c r="J181" s="222"/>
      <c r="K181" s="222" t="s">
        <v>347</v>
      </c>
      <c r="L181" s="225"/>
      <c r="M181" s="255"/>
      <c r="N181" s="365"/>
      <c r="O181" s="365"/>
      <c r="P181" s="365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  <c r="AA181" s="238"/>
      <c r="AB181" s="238"/>
      <c r="AC181" s="378">
        <f t="shared" si="50"/>
        <v>0</v>
      </c>
      <c r="AD181" s="214"/>
      <c r="AE181" s="192"/>
      <c r="AF181" s="194"/>
      <c r="AG181" s="194"/>
      <c r="AH181" s="194"/>
      <c r="AI181" s="194"/>
    </row>
    <row r="182">
      <c r="A182" s="126"/>
      <c r="B182" s="195"/>
      <c r="C182" s="196">
        <v>4.0</v>
      </c>
      <c r="D182" s="354" t="s">
        <v>371</v>
      </c>
      <c r="E182" s="198" t="s">
        <v>186</v>
      </c>
      <c r="F182" s="198" t="s">
        <v>135</v>
      </c>
      <c r="G182" s="198" t="s">
        <v>135</v>
      </c>
      <c r="H182" s="198" t="s">
        <v>203</v>
      </c>
      <c r="I182" s="198" t="s">
        <v>187</v>
      </c>
      <c r="J182" s="198" t="s">
        <v>188</v>
      </c>
      <c r="K182" s="199" t="s">
        <v>347</v>
      </c>
      <c r="L182" s="355">
        <f>1684491307</f>
        <v>1684491307</v>
      </c>
      <c r="M182" s="257" t="s">
        <v>372</v>
      </c>
      <c r="N182" s="366"/>
      <c r="O182" s="366">
        <v>45352.0</v>
      </c>
      <c r="P182" s="366">
        <v>45657.0</v>
      </c>
      <c r="Q182" s="204">
        <v>1.5764261E8</v>
      </c>
      <c r="R182" s="204">
        <v>1.5764261E8</v>
      </c>
      <c r="S182" s="204">
        <v>1.5764261E8</v>
      </c>
      <c r="T182" s="204">
        <v>1.5764261E8</v>
      </c>
      <c r="U182" s="204">
        <v>1.5764261E8</v>
      </c>
      <c r="V182" s="204">
        <v>1.5764261E8</v>
      </c>
      <c r="W182" s="204">
        <v>1.5764261E8</v>
      </c>
      <c r="X182" s="204">
        <v>1.5764261E8</v>
      </c>
      <c r="Y182" s="204">
        <v>1.5764261E8</v>
      </c>
      <c r="Z182" s="204">
        <v>1.5764261E8</v>
      </c>
      <c r="AA182" s="204">
        <v>1.5764261E8</v>
      </c>
      <c r="AB182" s="204">
        <v>1.5764261E8</v>
      </c>
      <c r="AC182" s="205">
        <f t="shared" si="50"/>
        <v>1891711320</v>
      </c>
      <c r="AD182" s="178">
        <f>SUM(Q182:AB182)-AC182</f>
        <v>0</v>
      </c>
      <c r="AE182" s="192"/>
      <c r="AF182" s="194"/>
      <c r="AG182" s="194"/>
      <c r="AH182" s="194"/>
      <c r="AI182" s="194"/>
    </row>
    <row r="183" hidden="1">
      <c r="A183" s="126"/>
      <c r="B183" s="195"/>
      <c r="C183" s="206"/>
      <c r="D183" s="215"/>
      <c r="E183" s="207"/>
      <c r="F183" s="207"/>
      <c r="G183" s="207"/>
      <c r="H183" s="206"/>
      <c r="I183" s="206"/>
      <c r="J183" s="206"/>
      <c r="K183" s="206" t="s">
        <v>347</v>
      </c>
      <c r="L183" s="277">
        <f>2221026360-L182</f>
        <v>536535053</v>
      </c>
      <c r="M183" s="209" t="s">
        <v>373</v>
      </c>
      <c r="N183" s="367"/>
      <c r="O183" s="367">
        <v>45658.0</v>
      </c>
      <c r="P183" s="367">
        <v>45747.0</v>
      </c>
      <c r="Q183" s="268">
        <f>L183/3</f>
        <v>178845017.7</v>
      </c>
      <c r="R183" s="268">
        <f t="shared" ref="R183:S183" si="57">Q183</f>
        <v>178845017.7</v>
      </c>
      <c r="S183" s="268">
        <f t="shared" si="57"/>
        <v>178845017.7</v>
      </c>
      <c r="T183" s="212"/>
      <c r="U183" s="212"/>
      <c r="V183" s="212"/>
      <c r="W183" s="212"/>
      <c r="X183" s="212"/>
      <c r="Y183" s="212"/>
      <c r="Z183" s="212"/>
      <c r="AA183" s="212"/>
      <c r="AB183" s="212"/>
      <c r="AC183" s="213">
        <f t="shared" si="50"/>
        <v>536535053</v>
      </c>
      <c r="AD183" s="214"/>
      <c r="AE183" s="241"/>
      <c r="AF183" s="194"/>
      <c r="AG183" s="194"/>
      <c r="AH183" s="194"/>
      <c r="AI183" s="194"/>
    </row>
    <row r="184" hidden="1">
      <c r="A184" s="126"/>
      <c r="B184" s="195"/>
      <c r="C184" s="206"/>
      <c r="D184" s="207"/>
      <c r="E184" s="207"/>
      <c r="F184" s="207"/>
      <c r="G184" s="207"/>
      <c r="H184" s="206"/>
      <c r="I184" s="206"/>
      <c r="J184" s="206"/>
      <c r="K184" s="206" t="s">
        <v>347</v>
      </c>
      <c r="L184" s="348">
        <f>2757561413-L183-L182</f>
        <v>536535053</v>
      </c>
      <c r="M184" s="246" t="s">
        <v>374</v>
      </c>
      <c r="N184" s="382"/>
      <c r="O184" s="382">
        <v>45748.0</v>
      </c>
      <c r="P184" s="382">
        <v>45838.0</v>
      </c>
      <c r="Q184" s="212"/>
      <c r="R184" s="212"/>
      <c r="S184" s="212"/>
      <c r="T184" s="212">
        <v>1.611216375375375E8</v>
      </c>
      <c r="U184" s="212">
        <v>1.611216375375375E8</v>
      </c>
      <c r="V184" s="212">
        <v>1.611216375375375E8</v>
      </c>
      <c r="W184" s="212"/>
      <c r="X184" s="212"/>
      <c r="Y184" s="212"/>
      <c r="Z184" s="212"/>
      <c r="AA184" s="212"/>
      <c r="AB184" s="212"/>
      <c r="AC184" s="213">
        <f t="shared" si="50"/>
        <v>483364912.6</v>
      </c>
      <c r="AD184" s="264"/>
      <c r="AE184" s="241"/>
      <c r="AF184" s="194"/>
      <c r="AG184" s="194"/>
      <c r="AH184" s="194"/>
      <c r="AI184" s="194"/>
    </row>
    <row r="185" hidden="1">
      <c r="A185" s="126"/>
      <c r="B185" s="195"/>
      <c r="C185" s="206"/>
      <c r="D185" s="220" t="s">
        <v>375</v>
      </c>
      <c r="E185" s="207"/>
      <c r="F185" s="207"/>
      <c r="G185" s="207"/>
      <c r="H185" s="206"/>
      <c r="I185" s="206"/>
      <c r="J185" s="206"/>
      <c r="K185" s="206" t="s">
        <v>347</v>
      </c>
      <c r="L185" s="280"/>
      <c r="M185" s="265" t="s">
        <v>376</v>
      </c>
      <c r="N185" s="368"/>
      <c r="O185" s="368">
        <f>P184+1</f>
        <v>45839</v>
      </c>
      <c r="P185" s="368" t="s">
        <v>377</v>
      </c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  <c r="AA185" s="212"/>
      <c r="AB185" s="212"/>
      <c r="AC185" s="213">
        <f t="shared" si="50"/>
        <v>0</v>
      </c>
      <c r="AD185" s="214"/>
      <c r="AE185" s="192"/>
      <c r="AF185" s="194"/>
      <c r="AG185" s="194"/>
      <c r="AH185" s="194"/>
      <c r="AI185" s="194"/>
    </row>
    <row r="186" hidden="1">
      <c r="A186" s="126"/>
      <c r="B186" s="195"/>
      <c r="C186" s="222"/>
      <c r="D186" s="250" t="s">
        <v>378</v>
      </c>
      <c r="E186" s="224"/>
      <c r="F186" s="224"/>
      <c r="G186" s="224"/>
      <c r="H186" s="222"/>
      <c r="I186" s="222"/>
      <c r="J186" s="222"/>
      <c r="K186" s="222" t="s">
        <v>347</v>
      </c>
      <c r="L186" s="225"/>
      <c r="M186" s="255"/>
      <c r="N186" s="365"/>
      <c r="O186" s="365"/>
      <c r="P186" s="365"/>
      <c r="Q186" s="230">
        <f t="shared" ref="Q186:Q188" si="59">536535053/3</f>
        <v>178845017.7</v>
      </c>
      <c r="R186" s="230">
        <f t="shared" ref="R186:S186" si="58">Q186</f>
        <v>178845017.7</v>
      </c>
      <c r="S186" s="230">
        <f t="shared" si="58"/>
        <v>178845017.7</v>
      </c>
      <c r="T186" s="229">
        <v>1.78845018E8</v>
      </c>
      <c r="U186" s="229">
        <v>1.78845018E8</v>
      </c>
      <c r="V186" s="229">
        <v>1.72457695E8</v>
      </c>
      <c r="W186" s="230"/>
      <c r="X186" s="230"/>
      <c r="Y186" s="230"/>
      <c r="Z186" s="230"/>
      <c r="AA186" s="230"/>
      <c r="AB186" s="230"/>
      <c r="AC186" s="231">
        <f t="shared" si="50"/>
        <v>1066682784</v>
      </c>
      <c r="AD186" s="214"/>
      <c r="AE186" s="192"/>
      <c r="AF186" s="194"/>
      <c r="AG186" s="194"/>
      <c r="AH186" s="194"/>
      <c r="AI186" s="194"/>
    </row>
    <row r="187" hidden="1">
      <c r="A187" s="126"/>
      <c r="B187" s="195"/>
      <c r="C187" s="196"/>
      <c r="D187" s="286" t="s">
        <v>194</v>
      </c>
      <c r="E187" s="233"/>
      <c r="F187" s="233"/>
      <c r="G187" s="233"/>
      <c r="H187" s="234"/>
      <c r="I187" s="234"/>
      <c r="J187" s="222"/>
      <c r="K187" s="222" t="s">
        <v>347</v>
      </c>
      <c r="L187" s="346"/>
      <c r="M187" s="255"/>
      <c r="N187" s="365"/>
      <c r="O187" s="365"/>
      <c r="P187" s="365"/>
      <c r="Q187" s="230">
        <f t="shared" si="59"/>
        <v>178845017.7</v>
      </c>
      <c r="R187" s="230">
        <f t="shared" ref="R187:S187" si="60">Q187</f>
        <v>178845017.7</v>
      </c>
      <c r="S187" s="230">
        <f t="shared" si="60"/>
        <v>178845017.7</v>
      </c>
      <c r="T187" s="238"/>
      <c r="U187" s="238"/>
      <c r="V187" s="238"/>
      <c r="W187" s="238"/>
      <c r="X187" s="238"/>
      <c r="Y187" s="238"/>
      <c r="Z187" s="238"/>
      <c r="AA187" s="238"/>
      <c r="AB187" s="238"/>
      <c r="AC187" s="378">
        <f t="shared" si="50"/>
        <v>536535053</v>
      </c>
      <c r="AD187" s="214"/>
      <c r="AE187" s="192"/>
      <c r="AF187" s="194"/>
      <c r="AG187" s="194"/>
      <c r="AH187" s="194"/>
      <c r="AI187" s="194"/>
    </row>
    <row r="188" hidden="1">
      <c r="A188" s="126"/>
      <c r="B188" s="195"/>
      <c r="C188" s="196"/>
      <c r="D188" s="286" t="s">
        <v>379</v>
      </c>
      <c r="E188" s="233"/>
      <c r="F188" s="233"/>
      <c r="G188" s="233"/>
      <c r="H188" s="234"/>
      <c r="I188" s="234"/>
      <c r="J188" s="222"/>
      <c r="K188" s="222" t="s">
        <v>347</v>
      </c>
      <c r="L188" s="346"/>
      <c r="M188" s="255"/>
      <c r="N188" s="365"/>
      <c r="O188" s="365"/>
      <c r="P188" s="365"/>
      <c r="Q188" s="230">
        <f t="shared" si="59"/>
        <v>178845017.7</v>
      </c>
      <c r="R188" s="230">
        <f t="shared" ref="R188:S188" si="61">Q188</f>
        <v>178845017.7</v>
      </c>
      <c r="S188" s="230">
        <f t="shared" si="61"/>
        <v>178845017.7</v>
      </c>
      <c r="T188" s="238"/>
      <c r="U188" s="238"/>
      <c r="V188" s="238"/>
      <c r="W188" s="238"/>
      <c r="X188" s="238"/>
      <c r="Y188" s="238"/>
      <c r="Z188" s="238"/>
      <c r="AA188" s="238"/>
      <c r="AB188" s="238"/>
      <c r="AC188" s="378">
        <f t="shared" si="50"/>
        <v>536535053</v>
      </c>
      <c r="AD188" s="214"/>
      <c r="AE188" s="192"/>
      <c r="AF188" s="194"/>
      <c r="AG188" s="194"/>
      <c r="AH188" s="194"/>
      <c r="AI188" s="194"/>
    </row>
    <row r="189">
      <c r="A189" s="126"/>
      <c r="B189" s="195"/>
      <c r="C189" s="196">
        <v>5.0</v>
      </c>
      <c r="D189" s="354" t="s">
        <v>380</v>
      </c>
      <c r="E189" s="198" t="s">
        <v>186</v>
      </c>
      <c r="F189" s="198" t="s">
        <v>135</v>
      </c>
      <c r="G189" s="198" t="s">
        <v>135</v>
      </c>
      <c r="H189" s="198" t="s">
        <v>203</v>
      </c>
      <c r="I189" s="198" t="s">
        <v>187</v>
      </c>
      <c r="J189" s="198" t="s">
        <v>188</v>
      </c>
      <c r="K189" s="199" t="s">
        <v>347</v>
      </c>
      <c r="L189" s="347">
        <f>320173245</f>
        <v>320173245</v>
      </c>
      <c r="M189" s="257" t="s">
        <v>381</v>
      </c>
      <c r="N189" s="366"/>
      <c r="O189" s="366">
        <v>45352.0</v>
      </c>
      <c r="P189" s="366">
        <v>45657.0</v>
      </c>
      <c r="Q189" s="204">
        <v>2.9895622E7</v>
      </c>
      <c r="R189" s="204">
        <v>2.9895622E7</v>
      </c>
      <c r="S189" s="204">
        <v>2.9895622E7</v>
      </c>
      <c r="T189" s="204">
        <v>2.9895622E7</v>
      </c>
      <c r="U189" s="204">
        <v>2.9895622E7</v>
      </c>
      <c r="V189" s="204">
        <v>2.9895622E7</v>
      </c>
      <c r="W189" s="204">
        <v>2.9895622E7</v>
      </c>
      <c r="X189" s="204">
        <v>2.9895622E7</v>
      </c>
      <c r="Y189" s="204">
        <v>2.9895622E7</v>
      </c>
      <c r="Z189" s="204">
        <v>2.9895622E7</v>
      </c>
      <c r="AA189" s="204">
        <v>2.9895622E7</v>
      </c>
      <c r="AB189" s="204">
        <v>2.9895622E7</v>
      </c>
      <c r="AC189" s="205">
        <f t="shared" si="50"/>
        <v>358747464</v>
      </c>
      <c r="AD189" s="178">
        <f>SUM(Q189:AB189)-AC189</f>
        <v>0</v>
      </c>
      <c r="AE189" s="241"/>
      <c r="AF189" s="194"/>
      <c r="AG189" s="194"/>
      <c r="AH189" s="194"/>
      <c r="AI189" s="194"/>
    </row>
    <row r="190" ht="23.25" hidden="1" customHeight="1">
      <c r="A190" s="126"/>
      <c r="B190" s="195"/>
      <c r="C190" s="206"/>
      <c r="D190" s="215"/>
      <c r="E190" s="207"/>
      <c r="F190" s="207"/>
      <c r="G190" s="207"/>
      <c r="H190" s="206"/>
      <c r="I190" s="206"/>
      <c r="J190" s="206"/>
      <c r="K190" s="206" t="s">
        <v>347</v>
      </c>
      <c r="L190" s="245">
        <f>421794444-L189</f>
        <v>101621199</v>
      </c>
      <c r="M190" s="209" t="s">
        <v>382</v>
      </c>
      <c r="N190" s="367"/>
      <c r="O190" s="367">
        <v>45658.0</v>
      </c>
      <c r="P190" s="367">
        <v>45747.0</v>
      </c>
      <c r="Q190" s="268">
        <f>L190/3</f>
        <v>33873733</v>
      </c>
      <c r="R190" s="268">
        <f t="shared" ref="R190:S190" si="62">Q190</f>
        <v>33873733</v>
      </c>
      <c r="S190" s="268">
        <f t="shared" si="62"/>
        <v>33873733</v>
      </c>
      <c r="T190" s="212"/>
      <c r="U190" s="212"/>
      <c r="V190" s="212"/>
      <c r="W190" s="212"/>
      <c r="X190" s="212"/>
      <c r="Y190" s="212"/>
      <c r="Z190" s="212"/>
      <c r="AA190" s="212"/>
      <c r="AB190" s="212"/>
      <c r="AC190" s="213">
        <f t="shared" si="50"/>
        <v>101621199</v>
      </c>
      <c r="AD190" s="264"/>
      <c r="AE190" s="241"/>
      <c r="AF190" s="194"/>
      <c r="AG190" s="194"/>
      <c r="AH190" s="194"/>
      <c r="AI190" s="194"/>
    </row>
    <row r="191" hidden="1">
      <c r="A191" s="126"/>
      <c r="B191" s="195"/>
      <c r="C191" s="206"/>
      <c r="D191" s="207"/>
      <c r="E191" s="207"/>
      <c r="F191" s="207"/>
      <c r="G191" s="207"/>
      <c r="H191" s="206"/>
      <c r="I191" s="206"/>
      <c r="J191" s="206"/>
      <c r="K191" s="206" t="s">
        <v>347</v>
      </c>
      <c r="L191" s="217">
        <v>1.01621199E8</v>
      </c>
      <c r="M191" s="246" t="s">
        <v>383</v>
      </c>
      <c r="N191" s="382"/>
      <c r="O191" s="382">
        <v>45748.0</v>
      </c>
      <c r="P191" s="382">
        <v>45838.0</v>
      </c>
      <c r="Q191" s="212"/>
      <c r="R191" s="212"/>
      <c r="S191" s="212"/>
      <c r="T191" s="267">
        <v>3.3873733E7</v>
      </c>
      <c r="U191" s="267">
        <v>3.3873733E7</v>
      </c>
      <c r="V191" s="267">
        <v>3.3873733E7</v>
      </c>
      <c r="W191" s="212"/>
      <c r="X191" s="212"/>
      <c r="Y191" s="212"/>
      <c r="Z191" s="212"/>
      <c r="AA191" s="212"/>
      <c r="AB191" s="212"/>
      <c r="AC191" s="213">
        <f t="shared" si="50"/>
        <v>101621199</v>
      </c>
      <c r="AD191" s="273"/>
      <c r="AE191" s="192"/>
      <c r="AF191" s="194"/>
      <c r="AG191" s="194"/>
      <c r="AH191" s="194"/>
      <c r="AI191" s="194"/>
    </row>
    <row r="192" hidden="1">
      <c r="A192" s="126"/>
      <c r="B192" s="195"/>
      <c r="C192" s="206"/>
      <c r="D192" s="220" t="s">
        <v>375</v>
      </c>
      <c r="E192" s="207"/>
      <c r="F192" s="207"/>
      <c r="G192" s="207"/>
      <c r="H192" s="206"/>
      <c r="I192" s="206"/>
      <c r="J192" s="206"/>
      <c r="K192" s="206" t="s">
        <v>347</v>
      </c>
      <c r="L192" s="280"/>
      <c r="M192" s="265" t="s">
        <v>376</v>
      </c>
      <c r="N192" s="368"/>
      <c r="O192" s="368">
        <f>P191+1</f>
        <v>45839</v>
      </c>
      <c r="P192" s="368" t="s">
        <v>377</v>
      </c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  <c r="AA192" s="212"/>
      <c r="AB192" s="212"/>
      <c r="AC192" s="213">
        <f t="shared" si="50"/>
        <v>0</v>
      </c>
      <c r="AD192" s="273"/>
      <c r="AE192" s="498"/>
      <c r="AF192" s="311"/>
      <c r="AG192" s="311"/>
      <c r="AH192" s="311"/>
      <c r="AI192" s="311"/>
    </row>
    <row r="193" hidden="1">
      <c r="A193" s="126"/>
      <c r="B193" s="195"/>
      <c r="C193" s="222"/>
      <c r="D193" s="250" t="s">
        <v>384</v>
      </c>
      <c r="E193" s="224"/>
      <c r="F193" s="224"/>
      <c r="G193" s="224"/>
      <c r="H193" s="222"/>
      <c r="I193" s="222"/>
      <c r="J193" s="222"/>
      <c r="K193" s="222" t="s">
        <v>347</v>
      </c>
      <c r="L193" s="225"/>
      <c r="M193" s="255"/>
      <c r="N193" s="365"/>
      <c r="O193" s="365"/>
      <c r="P193" s="365"/>
      <c r="Q193" s="230">
        <f t="shared" ref="Q193:Q195" si="64">101621199/3</f>
        <v>33873733</v>
      </c>
      <c r="R193" s="230">
        <f t="shared" ref="R193:S193" si="63">Q193</f>
        <v>33873733</v>
      </c>
      <c r="S193" s="230">
        <f t="shared" si="63"/>
        <v>33873733</v>
      </c>
      <c r="T193" s="270">
        <v>3.3873733E7</v>
      </c>
      <c r="U193" s="270">
        <v>3.3873733E7</v>
      </c>
      <c r="V193" s="270">
        <v>3.3873733E7</v>
      </c>
      <c r="W193" s="230"/>
      <c r="X193" s="230"/>
      <c r="Y193" s="230"/>
      <c r="Z193" s="230"/>
      <c r="AA193" s="230"/>
      <c r="AB193" s="230"/>
      <c r="AC193" s="231">
        <f t="shared" si="50"/>
        <v>203242398</v>
      </c>
      <c r="AD193" s="499"/>
      <c r="AE193" s="386"/>
      <c r="AF193" s="194"/>
      <c r="AG193" s="311"/>
      <c r="AH193" s="311"/>
      <c r="AI193" s="311"/>
    </row>
    <row r="194" hidden="1">
      <c r="A194" s="126"/>
      <c r="B194" s="195"/>
      <c r="C194" s="196"/>
      <c r="D194" s="286" t="s">
        <v>194</v>
      </c>
      <c r="E194" s="233"/>
      <c r="F194" s="233"/>
      <c r="G194" s="233"/>
      <c r="H194" s="234"/>
      <c r="I194" s="234"/>
      <c r="J194" s="222"/>
      <c r="K194" s="222" t="s">
        <v>347</v>
      </c>
      <c r="L194" s="225"/>
      <c r="M194" s="255"/>
      <c r="N194" s="365"/>
      <c r="O194" s="365"/>
      <c r="P194" s="365"/>
      <c r="Q194" s="230">
        <f t="shared" si="64"/>
        <v>33873733</v>
      </c>
      <c r="R194" s="230">
        <f t="shared" ref="R194:S194" si="65">Q194</f>
        <v>33873733</v>
      </c>
      <c r="S194" s="230">
        <f t="shared" si="65"/>
        <v>33873733</v>
      </c>
      <c r="T194" s="229">
        <v>3.3873733E7</v>
      </c>
      <c r="U194" s="229">
        <v>3.3873733E7</v>
      </c>
      <c r="V194" s="229">
        <v>3.3873733E7</v>
      </c>
      <c r="W194" s="238"/>
      <c r="X194" s="238"/>
      <c r="Y194" s="238"/>
      <c r="Z194" s="238"/>
      <c r="AA194" s="238"/>
      <c r="AB194" s="238"/>
      <c r="AC194" s="378">
        <f t="shared" si="50"/>
        <v>203242398</v>
      </c>
      <c r="AD194" s="214"/>
      <c r="AE194" s="241"/>
      <c r="AF194" s="194"/>
      <c r="AG194" s="194"/>
      <c r="AH194" s="194"/>
      <c r="AI194" s="194"/>
    </row>
    <row r="195" hidden="1">
      <c r="A195" s="126"/>
      <c r="B195" s="195"/>
      <c r="C195" s="196"/>
      <c r="D195" s="286" t="s">
        <v>385</v>
      </c>
      <c r="E195" s="233"/>
      <c r="F195" s="233"/>
      <c r="G195" s="233"/>
      <c r="H195" s="234"/>
      <c r="I195" s="234"/>
      <c r="J195" s="222"/>
      <c r="K195" s="222" t="s">
        <v>347</v>
      </c>
      <c r="L195" s="225"/>
      <c r="M195" s="255"/>
      <c r="N195" s="365"/>
      <c r="O195" s="365"/>
      <c r="P195" s="365"/>
      <c r="Q195" s="230">
        <f t="shared" si="64"/>
        <v>33873733</v>
      </c>
      <c r="R195" s="230">
        <f t="shared" ref="R195:S195" si="66">Q195</f>
        <v>33873733</v>
      </c>
      <c r="S195" s="230">
        <f t="shared" si="66"/>
        <v>33873733</v>
      </c>
      <c r="T195" s="238"/>
      <c r="U195" s="238"/>
      <c r="V195" s="238"/>
      <c r="W195" s="238"/>
      <c r="X195" s="238"/>
      <c r="Y195" s="238"/>
      <c r="Z195" s="238"/>
      <c r="AA195" s="238"/>
      <c r="AB195" s="238"/>
      <c r="AC195" s="378">
        <f t="shared" si="50"/>
        <v>101621199</v>
      </c>
      <c r="AD195" s="214"/>
      <c r="AE195" s="241"/>
      <c r="AF195" s="194"/>
      <c r="AG195" s="194"/>
      <c r="AH195" s="194"/>
      <c r="AI195" s="194"/>
    </row>
    <row r="196">
      <c r="A196" s="126"/>
      <c r="B196" s="195"/>
      <c r="C196" s="196">
        <v>6.0</v>
      </c>
      <c r="D196" s="354" t="s">
        <v>386</v>
      </c>
      <c r="E196" s="198" t="s">
        <v>186</v>
      </c>
      <c r="F196" s="198" t="s">
        <v>88</v>
      </c>
      <c r="G196" s="198" t="s">
        <v>88</v>
      </c>
      <c r="H196" s="198" t="s">
        <v>218</v>
      </c>
      <c r="I196" s="198" t="s">
        <v>187</v>
      </c>
      <c r="J196" s="198" t="s">
        <v>188</v>
      </c>
      <c r="K196" s="199" t="s">
        <v>347</v>
      </c>
      <c r="L196" s="355">
        <f>5048369115</f>
        <v>5048369115</v>
      </c>
      <c r="M196" s="257" t="s">
        <v>387</v>
      </c>
      <c r="N196" s="366"/>
      <c r="O196" s="366">
        <v>45352.0</v>
      </c>
      <c r="P196" s="366">
        <v>45657.0</v>
      </c>
      <c r="Q196" s="204">
        <v>4.7246803E8</v>
      </c>
      <c r="R196" s="204">
        <v>4.7246803E8</v>
      </c>
      <c r="S196" s="204">
        <v>4.7246803E8</v>
      </c>
      <c r="T196" s="204">
        <v>4.7246803E8</v>
      </c>
      <c r="U196" s="204">
        <v>4.7246803E8</v>
      </c>
      <c r="V196" s="204">
        <v>4.7246803E8</v>
      </c>
      <c r="W196" s="204">
        <v>4.7246803E8</v>
      </c>
      <c r="X196" s="204">
        <v>4.7246803E8</v>
      </c>
      <c r="Y196" s="204">
        <v>4.7246803E8</v>
      </c>
      <c r="Z196" s="204">
        <v>4.7246803E8</v>
      </c>
      <c r="AA196" s="204">
        <v>4.7246803E8</v>
      </c>
      <c r="AB196" s="204">
        <v>4.7246803E8</v>
      </c>
      <c r="AC196" s="205">
        <f t="shared" si="50"/>
        <v>5669616360</v>
      </c>
      <c r="AD196" s="178">
        <f>SUM(Q196:AB196)-AC196</f>
        <v>0</v>
      </c>
      <c r="AE196" s="241"/>
      <c r="AF196" s="194"/>
      <c r="AG196" s="194"/>
      <c r="AH196" s="194"/>
      <c r="AI196" s="194"/>
    </row>
    <row r="197" hidden="1">
      <c r="A197" s="126"/>
      <c r="B197" s="195"/>
      <c r="C197" s="206"/>
      <c r="D197" s="215"/>
      <c r="E197" s="207"/>
      <c r="F197" s="207"/>
      <c r="G197" s="207"/>
      <c r="H197" s="206"/>
      <c r="I197" s="206"/>
      <c r="J197" s="206"/>
      <c r="K197" s="206" t="s">
        <v>347</v>
      </c>
      <c r="L197" s="245">
        <v>1.608073718E9</v>
      </c>
      <c r="M197" s="209" t="s">
        <v>388</v>
      </c>
      <c r="N197" s="367"/>
      <c r="O197" s="367">
        <v>45658.0</v>
      </c>
      <c r="P197" s="367">
        <v>45747.0</v>
      </c>
      <c r="Q197" s="268">
        <f>L197/3</f>
        <v>536024572.7</v>
      </c>
      <c r="R197" s="268">
        <f>Q197</f>
        <v>536024572.7</v>
      </c>
      <c r="S197" s="268">
        <f>Q197</f>
        <v>536024572.7</v>
      </c>
      <c r="T197" s="212"/>
      <c r="U197" s="212"/>
      <c r="V197" s="212"/>
      <c r="W197" s="212"/>
      <c r="X197" s="212"/>
      <c r="Y197" s="212"/>
      <c r="Z197" s="212"/>
      <c r="AA197" s="212"/>
      <c r="AB197" s="212"/>
      <c r="AC197" s="213">
        <f t="shared" si="50"/>
        <v>1608073718</v>
      </c>
      <c r="AD197" s="284"/>
      <c r="AE197" s="241"/>
      <c r="AF197" s="194"/>
      <c r="AG197" s="194"/>
      <c r="AH197" s="194"/>
      <c r="AI197" s="194"/>
    </row>
    <row r="198" hidden="1">
      <c r="A198" s="126"/>
      <c r="B198" s="195"/>
      <c r="C198" s="206"/>
      <c r="D198" s="207"/>
      <c r="E198" s="207"/>
      <c r="F198" s="207"/>
      <c r="G198" s="207"/>
      <c r="H198" s="206"/>
      <c r="I198" s="206"/>
      <c r="J198" s="206"/>
      <c r="K198" s="206" t="s">
        <v>347</v>
      </c>
      <c r="L198" s="217">
        <v>1.608073718E9</v>
      </c>
      <c r="M198" s="246" t="s">
        <v>389</v>
      </c>
      <c r="N198" s="382"/>
      <c r="O198" s="382">
        <v>45748.0</v>
      </c>
      <c r="P198" s="382">
        <v>45838.0</v>
      </c>
      <c r="Q198" s="212"/>
      <c r="R198" s="212"/>
      <c r="S198" s="212"/>
      <c r="T198" s="249">
        <v>5.36024572E8</v>
      </c>
      <c r="U198" s="249">
        <v>5.36024572E8</v>
      </c>
      <c r="V198" s="249">
        <v>5.36024572E8</v>
      </c>
      <c r="W198" s="212"/>
      <c r="X198" s="212"/>
      <c r="Y198" s="212"/>
      <c r="Z198" s="212"/>
      <c r="AA198" s="212"/>
      <c r="AB198" s="212"/>
      <c r="AC198" s="213">
        <f t="shared" si="50"/>
        <v>1608073716</v>
      </c>
      <c r="AD198" s="284"/>
      <c r="AE198" s="241"/>
      <c r="AF198" s="194"/>
      <c r="AG198" s="194"/>
      <c r="AH198" s="194"/>
      <c r="AI198" s="194"/>
    </row>
    <row r="199" hidden="1">
      <c r="A199" s="126"/>
      <c r="B199" s="195"/>
      <c r="C199" s="206"/>
      <c r="D199" s="220" t="s">
        <v>375</v>
      </c>
      <c r="E199" s="207"/>
      <c r="F199" s="207"/>
      <c r="G199" s="207"/>
      <c r="H199" s="206"/>
      <c r="I199" s="206"/>
      <c r="J199" s="206"/>
      <c r="K199" s="206" t="s">
        <v>347</v>
      </c>
      <c r="L199" s="277"/>
      <c r="M199" s="265" t="s">
        <v>376</v>
      </c>
      <c r="N199" s="368"/>
      <c r="O199" s="368">
        <f>P198+1</f>
        <v>45839</v>
      </c>
      <c r="P199" s="368" t="s">
        <v>377</v>
      </c>
      <c r="Q199" s="212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2"/>
      <c r="AB199" s="212"/>
      <c r="AC199" s="213">
        <f t="shared" si="50"/>
        <v>0</v>
      </c>
      <c r="AD199" s="271"/>
      <c r="AE199" s="241"/>
      <c r="AF199" s="194"/>
      <c r="AG199" s="194"/>
      <c r="AH199" s="194"/>
      <c r="AI199" s="194"/>
    </row>
    <row r="200" hidden="1">
      <c r="A200" s="126"/>
      <c r="B200" s="195"/>
      <c r="C200" s="222"/>
      <c r="D200" s="250" t="s">
        <v>390</v>
      </c>
      <c r="E200" s="224"/>
      <c r="F200" s="224"/>
      <c r="G200" s="224"/>
      <c r="H200" s="222"/>
      <c r="I200" s="222"/>
      <c r="J200" s="222"/>
      <c r="K200" s="222" t="s">
        <v>347</v>
      </c>
      <c r="L200" s="225"/>
      <c r="M200" s="255"/>
      <c r="N200" s="365"/>
      <c r="O200" s="365"/>
      <c r="P200" s="365"/>
      <c r="Q200" s="228">
        <v>5.36024572E8</v>
      </c>
      <c r="R200" s="228">
        <v>5.36024572E8</v>
      </c>
      <c r="S200" s="270">
        <v>5.36024572E8</v>
      </c>
      <c r="T200" s="270">
        <v>5.36024572E8</v>
      </c>
      <c r="U200" s="270">
        <v>5.36024572E8</v>
      </c>
      <c r="V200" s="270">
        <v>5.36024572E8</v>
      </c>
      <c r="W200" s="230"/>
      <c r="X200" s="230"/>
      <c r="Y200" s="230"/>
      <c r="Z200" s="230"/>
      <c r="AA200" s="230"/>
      <c r="AB200" s="230"/>
      <c r="AC200" s="231">
        <f t="shared" si="50"/>
        <v>3216147432</v>
      </c>
      <c r="AD200" s="264"/>
      <c r="AE200" s="241"/>
      <c r="AF200" s="194"/>
      <c r="AG200" s="194"/>
      <c r="AH200" s="194"/>
      <c r="AI200" s="194"/>
    </row>
    <row r="201" hidden="1">
      <c r="A201" s="126"/>
      <c r="B201" s="195"/>
      <c r="C201" s="196"/>
      <c r="D201" s="286" t="s">
        <v>194</v>
      </c>
      <c r="E201" s="233"/>
      <c r="F201" s="233"/>
      <c r="G201" s="233"/>
      <c r="H201" s="234"/>
      <c r="I201" s="234"/>
      <c r="J201" s="222"/>
      <c r="K201" s="222" t="s">
        <v>347</v>
      </c>
      <c r="L201" s="346"/>
      <c r="M201" s="255"/>
      <c r="N201" s="365"/>
      <c r="O201" s="365"/>
      <c r="P201" s="365"/>
      <c r="Q201" s="228">
        <v>5.36024572E8</v>
      </c>
      <c r="R201" s="228">
        <v>5.36024572E8</v>
      </c>
      <c r="S201" s="229">
        <v>5.36024572E8</v>
      </c>
      <c r="T201" s="229">
        <v>5.36024572E8</v>
      </c>
      <c r="U201" s="229">
        <v>5.36024572E8</v>
      </c>
      <c r="V201" s="229">
        <v>5.36024572E8</v>
      </c>
      <c r="W201" s="238"/>
      <c r="X201" s="238"/>
      <c r="Y201" s="238"/>
      <c r="Z201" s="238"/>
      <c r="AA201" s="238"/>
      <c r="AB201" s="238"/>
      <c r="AC201" s="378">
        <f t="shared" si="50"/>
        <v>3216147432</v>
      </c>
      <c r="AD201" s="214"/>
      <c r="AE201" s="192"/>
      <c r="AF201" s="194"/>
      <c r="AG201" s="194"/>
      <c r="AH201" s="194"/>
      <c r="AI201" s="194"/>
    </row>
    <row r="202" hidden="1">
      <c r="A202" s="126"/>
      <c r="B202" s="195"/>
      <c r="C202" s="196"/>
      <c r="D202" s="286" t="s">
        <v>391</v>
      </c>
      <c r="E202" s="233"/>
      <c r="F202" s="233"/>
      <c r="G202" s="233"/>
      <c r="H202" s="234"/>
      <c r="I202" s="234"/>
      <c r="J202" s="222"/>
      <c r="K202" s="222" t="s">
        <v>347</v>
      </c>
      <c r="L202" s="346"/>
      <c r="M202" s="255"/>
      <c r="N202" s="365"/>
      <c r="O202" s="365"/>
      <c r="P202" s="365"/>
      <c r="Q202" s="228">
        <v>5.36024572E8</v>
      </c>
      <c r="R202" s="228">
        <v>5.36024572E8</v>
      </c>
      <c r="S202" s="238"/>
      <c r="T202" s="238"/>
      <c r="U202" s="238"/>
      <c r="V202" s="238"/>
      <c r="W202" s="238"/>
      <c r="X202" s="238"/>
      <c r="Y202" s="238"/>
      <c r="Z202" s="238"/>
      <c r="AA202" s="238"/>
      <c r="AB202" s="238"/>
      <c r="AC202" s="378">
        <f t="shared" si="50"/>
        <v>1072049144</v>
      </c>
      <c r="AD202" s="214"/>
      <c r="AE202" s="192"/>
      <c r="AF202" s="194"/>
      <c r="AG202" s="194"/>
      <c r="AH202" s="194"/>
      <c r="AI202" s="194"/>
    </row>
    <row r="203">
      <c r="A203" s="126"/>
      <c r="B203" s="195"/>
      <c r="C203" s="196">
        <v>7.0</v>
      </c>
      <c r="D203" s="354" t="s">
        <v>392</v>
      </c>
      <c r="E203" s="198" t="s">
        <v>186</v>
      </c>
      <c r="F203" s="198" t="s">
        <v>305</v>
      </c>
      <c r="G203" s="198" t="s">
        <v>92</v>
      </c>
      <c r="H203" s="198" t="s">
        <v>306</v>
      </c>
      <c r="I203" s="198" t="s">
        <v>187</v>
      </c>
      <c r="J203" s="198" t="s">
        <v>188</v>
      </c>
      <c r="K203" s="199" t="s">
        <v>347</v>
      </c>
      <c r="L203" s="347">
        <f>245825595/1.11</f>
        <v>221464500</v>
      </c>
      <c r="M203" s="257" t="s">
        <v>393</v>
      </c>
      <c r="N203" s="366"/>
      <c r="O203" s="366">
        <v>45536.0</v>
      </c>
      <c r="P203" s="366">
        <v>45657.0</v>
      </c>
      <c r="Q203" s="204">
        <v>6.0315994E7</v>
      </c>
      <c r="R203" s="204">
        <v>6.0315994E7</v>
      </c>
      <c r="S203" s="204">
        <v>6.0315994E7</v>
      </c>
      <c r="T203" s="204">
        <v>6.0315994E7</v>
      </c>
      <c r="U203" s="204">
        <v>6.0315994E7</v>
      </c>
      <c r="V203" s="204">
        <v>6.0315994E7</v>
      </c>
      <c r="W203" s="204">
        <v>6.0315994E7</v>
      </c>
      <c r="X203" s="204">
        <v>6.0315994E7</v>
      </c>
      <c r="Y203" s="204">
        <v>6.0315994E7</v>
      </c>
      <c r="Z203" s="204">
        <v>6.0315994E7</v>
      </c>
      <c r="AA203" s="204">
        <v>6.0315994E7</v>
      </c>
      <c r="AB203" s="204">
        <v>6.0315994E7</v>
      </c>
      <c r="AC203" s="205">
        <f t="shared" si="50"/>
        <v>723791928</v>
      </c>
      <c r="AD203" s="178">
        <f>SUM(Q203:AB203)-AC203</f>
        <v>0</v>
      </c>
      <c r="AE203" s="192"/>
      <c r="AF203" s="194"/>
      <c r="AG203" s="194"/>
      <c r="AH203" s="194"/>
      <c r="AI203" s="194"/>
    </row>
    <row r="204" hidden="1">
      <c r="A204" s="126"/>
      <c r="B204" s="195"/>
      <c r="C204" s="206"/>
      <c r="D204" s="207"/>
      <c r="E204" s="207"/>
      <c r="F204" s="207"/>
      <c r="G204" s="207"/>
      <c r="H204" s="206"/>
      <c r="I204" s="206"/>
      <c r="J204" s="206"/>
      <c r="K204" s="206" t="s">
        <v>347</v>
      </c>
      <c r="L204" s="277">
        <f>155067222</f>
        <v>155067222</v>
      </c>
      <c r="M204" s="209" t="s">
        <v>394</v>
      </c>
      <c r="N204" s="367"/>
      <c r="O204" s="367">
        <v>45658.0</v>
      </c>
      <c r="P204" s="367">
        <v>45716.0</v>
      </c>
      <c r="Q204" s="212">
        <v>6.98501E7</v>
      </c>
      <c r="R204" s="212">
        <f>L204/2</f>
        <v>77533611</v>
      </c>
      <c r="S204" s="212"/>
      <c r="T204" s="212"/>
      <c r="U204" s="212"/>
      <c r="V204" s="212"/>
      <c r="W204" s="212"/>
      <c r="X204" s="212"/>
      <c r="Y204" s="212"/>
      <c r="Z204" s="212"/>
      <c r="AA204" s="212"/>
      <c r="AB204" s="212"/>
      <c r="AC204" s="213">
        <f t="shared" si="50"/>
        <v>147383711</v>
      </c>
      <c r="AD204" s="273"/>
      <c r="AE204" s="192"/>
      <c r="AF204" s="194"/>
      <c r="AG204" s="194"/>
      <c r="AH204" s="194"/>
      <c r="AI204" s="194"/>
    </row>
    <row r="205" hidden="1">
      <c r="A205" s="126"/>
      <c r="B205" s="195"/>
      <c r="C205" s="206"/>
      <c r="D205" s="207"/>
      <c r="E205" s="207"/>
      <c r="F205" s="207"/>
      <c r="G205" s="207"/>
      <c r="H205" s="206"/>
      <c r="I205" s="206"/>
      <c r="J205" s="206"/>
      <c r="K205" s="206" t="s">
        <v>347</v>
      </c>
      <c r="L205" s="245">
        <v>7.6065081E7</v>
      </c>
      <c r="M205" s="209" t="s">
        <v>395</v>
      </c>
      <c r="N205" s="367"/>
      <c r="O205" s="367">
        <f t="shared" ref="O205:O206" si="67">P204+1</f>
        <v>45717</v>
      </c>
      <c r="P205" s="367">
        <f>O205+30</f>
        <v>45747</v>
      </c>
      <c r="Q205" s="212"/>
      <c r="R205" s="212"/>
      <c r="S205" s="212">
        <f>L205</f>
        <v>76065081</v>
      </c>
      <c r="T205" s="212"/>
      <c r="U205" s="212"/>
      <c r="V205" s="212"/>
      <c r="W205" s="212"/>
      <c r="X205" s="212"/>
      <c r="Y205" s="212"/>
      <c r="Z205" s="212"/>
      <c r="AA205" s="212"/>
      <c r="AB205" s="212"/>
      <c r="AC205" s="213">
        <f t="shared" si="50"/>
        <v>76065081</v>
      </c>
      <c r="AD205" s="499"/>
      <c r="AE205" s="241"/>
      <c r="AF205" s="194"/>
      <c r="AG205" s="194"/>
      <c r="AH205" s="194"/>
      <c r="AI205" s="194"/>
    </row>
    <row r="206" hidden="1">
      <c r="A206" s="126"/>
      <c r="B206" s="195"/>
      <c r="C206" s="206"/>
      <c r="D206" s="220" t="s">
        <v>396</v>
      </c>
      <c r="E206" s="207"/>
      <c r="F206" s="207"/>
      <c r="G206" s="207"/>
      <c r="H206" s="206"/>
      <c r="I206" s="206"/>
      <c r="J206" s="221"/>
      <c r="K206" s="221" t="s">
        <v>347</v>
      </c>
      <c r="L206" s="282">
        <v>8.74363377E8</v>
      </c>
      <c r="M206" s="500" t="s">
        <v>397</v>
      </c>
      <c r="N206" s="368"/>
      <c r="O206" s="368">
        <f t="shared" si="67"/>
        <v>45748</v>
      </c>
      <c r="P206" s="368">
        <v>46112.0</v>
      </c>
      <c r="Q206" s="212"/>
      <c r="R206" s="212"/>
      <c r="S206" s="212"/>
      <c r="T206" s="212">
        <f>L206/12</f>
        <v>72863614.75</v>
      </c>
      <c r="U206" s="212">
        <v>7.286361475E7</v>
      </c>
      <c r="V206" s="212">
        <v>7.286361475E7</v>
      </c>
      <c r="W206" s="212">
        <v>7.286361475E7</v>
      </c>
      <c r="X206" s="212"/>
      <c r="Y206" s="212"/>
      <c r="Z206" s="212"/>
      <c r="AA206" s="212"/>
      <c r="AB206" s="212"/>
      <c r="AC206" s="213">
        <f t="shared" si="50"/>
        <v>291454459</v>
      </c>
      <c r="AD206" s="264"/>
      <c r="AE206" s="241"/>
      <c r="AF206" s="194"/>
      <c r="AG206" s="194"/>
      <c r="AH206" s="194"/>
      <c r="AI206" s="194"/>
    </row>
    <row r="207" hidden="1">
      <c r="A207" s="126"/>
      <c r="B207" s="195"/>
      <c r="C207" s="222"/>
      <c r="D207" s="250" t="s">
        <v>398</v>
      </c>
      <c r="E207" s="224"/>
      <c r="F207" s="224"/>
      <c r="G207" s="224"/>
      <c r="H207" s="222"/>
      <c r="I207" s="222"/>
      <c r="J207" s="222"/>
      <c r="K207" s="222" t="s">
        <v>347</v>
      </c>
      <c r="L207" s="346"/>
      <c r="M207" s="501"/>
      <c r="N207" s="365"/>
      <c r="O207" s="365"/>
      <c r="P207" s="365"/>
      <c r="Q207" s="230">
        <f t="shared" ref="Q207:Q209" si="68">155067222/2</f>
        <v>77533611</v>
      </c>
      <c r="R207" s="230">
        <f t="shared" ref="R207:R209" si="69">Q207</f>
        <v>77533611</v>
      </c>
      <c r="S207" s="230">
        <f t="shared" ref="S207:S209" si="70">S205</f>
        <v>76065081</v>
      </c>
      <c r="T207" s="229">
        <v>7.2845013E7</v>
      </c>
      <c r="U207" s="229">
        <v>7.2845013E7</v>
      </c>
      <c r="V207" s="229">
        <v>7.2845013E7</v>
      </c>
      <c r="W207" s="228"/>
      <c r="X207" s="230"/>
      <c r="Y207" s="230"/>
      <c r="Z207" s="230"/>
      <c r="AA207" s="230"/>
      <c r="AB207" s="230"/>
      <c r="AC207" s="231">
        <f t="shared" si="50"/>
        <v>449667342</v>
      </c>
      <c r="AD207" s="264"/>
      <c r="AE207" s="241"/>
      <c r="AF207" s="194"/>
      <c r="AG207" s="194"/>
      <c r="AH207" s="194"/>
      <c r="AI207" s="194"/>
    </row>
    <row r="208" hidden="1">
      <c r="A208" s="126"/>
      <c r="B208" s="195"/>
      <c r="C208" s="196"/>
      <c r="D208" s="286" t="s">
        <v>194</v>
      </c>
      <c r="E208" s="233"/>
      <c r="F208" s="233"/>
      <c r="G208" s="233"/>
      <c r="H208" s="234"/>
      <c r="I208" s="234"/>
      <c r="J208" s="222"/>
      <c r="K208" s="222" t="s">
        <v>347</v>
      </c>
      <c r="L208" s="346"/>
      <c r="M208" s="255"/>
      <c r="N208" s="365"/>
      <c r="O208" s="365"/>
      <c r="P208" s="365"/>
      <c r="Q208" s="230">
        <f t="shared" si="68"/>
        <v>77533611</v>
      </c>
      <c r="R208" s="230">
        <f t="shared" si="69"/>
        <v>77533611</v>
      </c>
      <c r="S208" s="230" t="str">
        <f t="shared" si="70"/>
        <v/>
      </c>
      <c r="T208" s="502"/>
      <c r="U208" s="502"/>
      <c r="V208" s="502"/>
      <c r="W208" s="502"/>
      <c r="X208" s="502"/>
      <c r="Y208" s="502"/>
      <c r="Z208" s="502"/>
      <c r="AA208" s="502"/>
      <c r="AB208" s="502"/>
      <c r="AC208" s="378">
        <f t="shared" si="50"/>
        <v>155067222</v>
      </c>
      <c r="AD208" s="214"/>
      <c r="AE208" s="192"/>
      <c r="AF208" s="194"/>
      <c r="AG208" s="194"/>
      <c r="AH208" s="194"/>
      <c r="AI208" s="194"/>
    </row>
    <row r="209" hidden="1">
      <c r="A209" s="126"/>
      <c r="B209" s="195"/>
      <c r="C209" s="196"/>
      <c r="D209" s="286" t="s">
        <v>399</v>
      </c>
      <c r="E209" s="233"/>
      <c r="F209" s="233"/>
      <c r="G209" s="233"/>
      <c r="H209" s="234"/>
      <c r="I209" s="234"/>
      <c r="J209" s="222"/>
      <c r="K209" s="222" t="s">
        <v>347</v>
      </c>
      <c r="L209" s="346"/>
      <c r="M209" s="255"/>
      <c r="N209" s="365"/>
      <c r="O209" s="365"/>
      <c r="P209" s="365"/>
      <c r="Q209" s="230">
        <f t="shared" si="68"/>
        <v>77533611</v>
      </c>
      <c r="R209" s="230">
        <f t="shared" si="69"/>
        <v>77533611</v>
      </c>
      <c r="S209" s="230">
        <f t="shared" si="70"/>
        <v>76065081</v>
      </c>
      <c r="T209" s="502"/>
      <c r="U209" s="502"/>
      <c r="V209" s="502"/>
      <c r="W209" s="502"/>
      <c r="X209" s="502"/>
      <c r="Y209" s="502"/>
      <c r="Z209" s="502"/>
      <c r="AA209" s="502"/>
      <c r="AB209" s="502"/>
      <c r="AC209" s="378">
        <f t="shared" si="50"/>
        <v>231132303</v>
      </c>
      <c r="AD209" s="214"/>
      <c r="AE209" s="192"/>
      <c r="AF209" s="194"/>
      <c r="AG209" s="194"/>
      <c r="AH209" s="194"/>
      <c r="AI209" s="194"/>
    </row>
    <row r="210">
      <c r="A210" s="126"/>
      <c r="B210" s="195"/>
      <c r="C210" s="196">
        <v>8.0</v>
      </c>
      <c r="D210" s="354" t="s">
        <v>400</v>
      </c>
      <c r="E210" s="198" t="s">
        <v>186</v>
      </c>
      <c r="F210" s="198" t="s">
        <v>305</v>
      </c>
      <c r="G210" s="198" t="s">
        <v>92</v>
      </c>
      <c r="H210" s="198" t="s">
        <v>306</v>
      </c>
      <c r="I210" s="198" t="s">
        <v>187</v>
      </c>
      <c r="J210" s="198" t="s">
        <v>188</v>
      </c>
      <c r="K210" s="199" t="s">
        <v>347</v>
      </c>
      <c r="L210" s="347">
        <v>6.21431625E8</v>
      </c>
      <c r="M210" s="257" t="s">
        <v>401</v>
      </c>
      <c r="N210" s="366"/>
      <c r="O210" s="366">
        <v>45474.0</v>
      </c>
      <c r="P210" s="366">
        <v>45838.0</v>
      </c>
      <c r="Q210" s="503">
        <v>4.66540259009009E7</v>
      </c>
      <c r="R210" s="503">
        <v>4.66540259009009E7</v>
      </c>
      <c r="S210" s="503">
        <v>4.66540259009009E7</v>
      </c>
      <c r="T210" s="503">
        <v>4.66540259009009E7</v>
      </c>
      <c r="U210" s="503">
        <v>4.66540259009009E7</v>
      </c>
      <c r="V210" s="503">
        <v>4.66540259009009E7</v>
      </c>
      <c r="W210" s="503">
        <v>4.66540259009009E7</v>
      </c>
      <c r="X210" s="503">
        <v>4.66540259009009E7</v>
      </c>
      <c r="Y210" s="503">
        <v>4.66540259009009E7</v>
      </c>
      <c r="Z210" s="503">
        <v>4.66540259009009E7</v>
      </c>
      <c r="AA210" s="503">
        <v>4.66540259009009E7</v>
      </c>
      <c r="AB210" s="503">
        <v>4.66540259009009E7</v>
      </c>
      <c r="AC210" s="205">
        <f t="shared" si="50"/>
        <v>559848310.8</v>
      </c>
      <c r="AD210" s="178">
        <f>SUM(Q210:AB210)-AC210</f>
        <v>0</v>
      </c>
      <c r="AE210" s="192"/>
      <c r="AF210" s="194"/>
      <c r="AG210" s="194"/>
      <c r="AH210" s="194"/>
      <c r="AI210" s="194"/>
    </row>
    <row r="211" hidden="1">
      <c r="A211" s="126"/>
      <c r="B211" s="195"/>
      <c r="C211" s="206"/>
      <c r="D211" s="207"/>
      <c r="E211" s="207"/>
      <c r="F211" s="207"/>
      <c r="G211" s="207"/>
      <c r="H211" s="206"/>
      <c r="I211" s="206"/>
      <c r="J211" s="206"/>
      <c r="K211" s="206" t="s">
        <v>347</v>
      </c>
      <c r="L211" s="245"/>
      <c r="M211" s="209"/>
      <c r="N211" s="367"/>
      <c r="O211" s="367"/>
      <c r="P211" s="367">
        <v>45838.0</v>
      </c>
      <c r="Q211" s="268">
        <f>L210/12</f>
        <v>51785968.75</v>
      </c>
      <c r="R211" s="268">
        <f t="shared" ref="R211:V211" si="71">Q211</f>
        <v>51785968.75</v>
      </c>
      <c r="S211" s="268">
        <f t="shared" si="71"/>
        <v>51785968.75</v>
      </c>
      <c r="T211" s="268">
        <f t="shared" si="71"/>
        <v>51785968.75</v>
      </c>
      <c r="U211" s="268">
        <f t="shared" si="71"/>
        <v>51785968.75</v>
      </c>
      <c r="V211" s="268">
        <f t="shared" si="71"/>
        <v>51785968.75</v>
      </c>
      <c r="W211" s="268"/>
      <c r="X211" s="212"/>
      <c r="Y211" s="212"/>
      <c r="Z211" s="212"/>
      <c r="AA211" s="212"/>
      <c r="AB211" s="212"/>
      <c r="AC211" s="213">
        <f t="shared" si="50"/>
        <v>310715812.5</v>
      </c>
      <c r="AD211" s="273"/>
      <c r="AE211" s="192"/>
      <c r="AF211" s="194"/>
      <c r="AG211" s="194"/>
      <c r="AH211" s="194"/>
      <c r="AI211" s="194"/>
    </row>
    <row r="212" hidden="1">
      <c r="A212" s="126"/>
      <c r="B212" s="195"/>
      <c r="C212" s="206"/>
      <c r="D212" s="207"/>
      <c r="E212" s="207"/>
      <c r="F212" s="207"/>
      <c r="G212" s="207"/>
      <c r="H212" s="206"/>
      <c r="I212" s="206"/>
      <c r="J212" s="206"/>
      <c r="K212" s="206" t="s">
        <v>347</v>
      </c>
      <c r="L212" s="245">
        <v>1.63158658E8</v>
      </c>
      <c r="M212" s="246" t="s">
        <v>402</v>
      </c>
      <c r="N212" s="389"/>
      <c r="O212" s="389">
        <f>P211+1</f>
        <v>45839</v>
      </c>
      <c r="P212" s="367" t="s">
        <v>403</v>
      </c>
      <c r="Q212" s="212"/>
      <c r="R212" s="212"/>
      <c r="S212" s="212"/>
      <c r="T212" s="504"/>
      <c r="U212" s="504"/>
      <c r="V212" s="212"/>
      <c r="W212" s="212">
        <f>L212/3</f>
        <v>54386219.33</v>
      </c>
      <c r="X212" s="212">
        <f t="shared" ref="X212:Y212" si="72">W212</f>
        <v>54386219.33</v>
      </c>
      <c r="Y212" s="212">
        <f t="shared" si="72"/>
        <v>54386219.33</v>
      </c>
      <c r="Z212" s="212"/>
      <c r="AA212" s="212"/>
      <c r="AB212" s="212"/>
      <c r="AC212" s="213">
        <f t="shared" si="50"/>
        <v>163158658</v>
      </c>
      <c r="AD212" s="273"/>
      <c r="AE212" s="192"/>
      <c r="AF212" s="194"/>
      <c r="AG212" s="194"/>
      <c r="AH212" s="194"/>
      <c r="AI212" s="194"/>
    </row>
    <row r="213" hidden="1">
      <c r="A213" s="126"/>
      <c r="B213" s="195"/>
      <c r="C213" s="222"/>
      <c r="D213" s="250" t="s">
        <v>404</v>
      </c>
      <c r="E213" s="224"/>
      <c r="F213" s="224"/>
      <c r="G213" s="224"/>
      <c r="H213" s="222"/>
      <c r="I213" s="222"/>
      <c r="J213" s="222"/>
      <c r="K213" s="222" t="s">
        <v>347</v>
      </c>
      <c r="L213" s="225"/>
      <c r="M213" s="383"/>
      <c r="N213" s="285"/>
      <c r="O213" s="285"/>
      <c r="P213" s="285"/>
      <c r="Q213" s="230">
        <f t="shared" ref="Q213:S213" si="73">155357907/3</f>
        <v>51785969</v>
      </c>
      <c r="R213" s="230">
        <f t="shared" si="73"/>
        <v>51785969</v>
      </c>
      <c r="S213" s="230">
        <f t="shared" si="73"/>
        <v>51785969</v>
      </c>
      <c r="T213" s="229">
        <v>5.1785969E7</v>
      </c>
      <c r="U213" s="229">
        <v>5.1785969E7</v>
      </c>
      <c r="V213" s="229">
        <v>5.1785969E7</v>
      </c>
      <c r="W213" s="230"/>
      <c r="X213" s="230"/>
      <c r="Y213" s="230"/>
      <c r="Z213" s="230"/>
      <c r="AA213" s="230"/>
      <c r="AB213" s="230"/>
      <c r="AC213" s="231">
        <f t="shared" si="50"/>
        <v>310715814</v>
      </c>
      <c r="AD213" s="499"/>
      <c r="AE213" s="241"/>
      <c r="AF213" s="194"/>
      <c r="AG213" s="194"/>
      <c r="AH213" s="194"/>
      <c r="AI213" s="194"/>
    </row>
    <row r="214" hidden="1">
      <c r="A214" s="126"/>
      <c r="B214" s="195"/>
      <c r="C214" s="196"/>
      <c r="D214" s="286" t="s">
        <v>194</v>
      </c>
      <c r="E214" s="233"/>
      <c r="F214" s="233"/>
      <c r="G214" s="233"/>
      <c r="H214" s="234"/>
      <c r="I214" s="234"/>
      <c r="J214" s="222"/>
      <c r="K214" s="222" t="s">
        <v>347</v>
      </c>
      <c r="L214" s="346"/>
      <c r="M214" s="255"/>
      <c r="N214" s="365"/>
      <c r="O214" s="365"/>
      <c r="P214" s="365"/>
      <c r="Q214" s="230">
        <f t="shared" ref="Q214:S214" si="74">155357907/3</f>
        <v>51785969</v>
      </c>
      <c r="R214" s="230">
        <f t="shared" si="74"/>
        <v>51785969</v>
      </c>
      <c r="S214" s="230">
        <f t="shared" si="74"/>
        <v>51785969</v>
      </c>
      <c r="T214" s="238"/>
      <c r="U214" s="238"/>
      <c r="V214" s="238"/>
      <c r="W214" s="238"/>
      <c r="X214" s="238"/>
      <c r="Y214" s="238"/>
      <c r="Z214" s="238"/>
      <c r="AA214" s="238"/>
      <c r="AB214" s="238"/>
      <c r="AC214" s="378">
        <f t="shared" si="50"/>
        <v>155357907</v>
      </c>
      <c r="AD214" s="214"/>
      <c r="AE214" s="241"/>
      <c r="AF214" s="194"/>
      <c r="AG214" s="194"/>
      <c r="AH214" s="194"/>
      <c r="AI214" s="194"/>
    </row>
    <row r="215" hidden="1">
      <c r="A215" s="126"/>
      <c r="B215" s="195"/>
      <c r="C215" s="196"/>
      <c r="D215" s="286" t="s">
        <v>405</v>
      </c>
      <c r="E215" s="233"/>
      <c r="F215" s="233"/>
      <c r="G215" s="233"/>
      <c r="H215" s="234"/>
      <c r="I215" s="234"/>
      <c r="J215" s="222"/>
      <c r="K215" s="222" t="s">
        <v>347</v>
      </c>
      <c r="L215" s="346"/>
      <c r="M215" s="255"/>
      <c r="N215" s="365"/>
      <c r="O215" s="365"/>
      <c r="P215" s="365"/>
      <c r="Q215" s="230">
        <f t="shared" ref="Q215:S215" si="75">155357907/3</f>
        <v>51785969</v>
      </c>
      <c r="R215" s="230">
        <f t="shared" si="75"/>
        <v>51785969</v>
      </c>
      <c r="S215" s="230">
        <f t="shared" si="75"/>
        <v>51785969</v>
      </c>
      <c r="T215" s="238"/>
      <c r="U215" s="238"/>
      <c r="V215" s="238"/>
      <c r="W215" s="238"/>
      <c r="X215" s="238"/>
      <c r="Y215" s="238"/>
      <c r="Z215" s="238"/>
      <c r="AA215" s="238"/>
      <c r="AB215" s="238"/>
      <c r="AC215" s="378">
        <f t="shared" si="50"/>
        <v>155357907</v>
      </c>
      <c r="AD215" s="214"/>
      <c r="AE215" s="241"/>
      <c r="AF215" s="194"/>
      <c r="AG215" s="194"/>
      <c r="AH215" s="194"/>
      <c r="AI215" s="194"/>
    </row>
    <row r="216">
      <c r="A216" s="126"/>
      <c r="B216" s="195"/>
      <c r="C216" s="196">
        <v>9.0</v>
      </c>
      <c r="D216" s="354" t="s">
        <v>406</v>
      </c>
      <c r="E216" s="198" t="s">
        <v>186</v>
      </c>
      <c r="F216" s="198" t="s">
        <v>305</v>
      </c>
      <c r="G216" s="198" t="s">
        <v>92</v>
      </c>
      <c r="H216" s="198" t="s">
        <v>306</v>
      </c>
      <c r="I216" s="198" t="s">
        <v>187</v>
      </c>
      <c r="J216" s="198" t="s">
        <v>188</v>
      </c>
      <c r="K216" s="199" t="s">
        <v>347</v>
      </c>
      <c r="L216" s="347">
        <f>546863736</f>
        <v>546863736</v>
      </c>
      <c r="M216" s="257" t="s">
        <v>407</v>
      </c>
      <c r="N216" s="366"/>
      <c r="O216" s="366">
        <v>45474.0</v>
      </c>
      <c r="P216" s="366">
        <v>45839.0</v>
      </c>
      <c r="Q216" s="204">
        <v>6.256159933666667E7</v>
      </c>
      <c r="R216" s="204">
        <v>6.256159933666667E7</v>
      </c>
      <c r="S216" s="204">
        <v>6.256159933666667E7</v>
      </c>
      <c r="T216" s="204">
        <v>6.256159933666667E7</v>
      </c>
      <c r="U216" s="204">
        <v>6.256159933666667E7</v>
      </c>
      <c r="V216" s="204">
        <v>6.256159933666667E7</v>
      </c>
      <c r="W216" s="204">
        <v>6.256159933666667E7</v>
      </c>
      <c r="X216" s="204">
        <v>6.256159933666667E7</v>
      </c>
      <c r="Y216" s="204">
        <v>6.256159933666667E7</v>
      </c>
      <c r="Z216" s="204">
        <v>6.256159933666667E7</v>
      </c>
      <c r="AA216" s="204">
        <v>6.256159933666667E7</v>
      </c>
      <c r="AB216" s="204">
        <v>6.256159933666667E7</v>
      </c>
      <c r="AC216" s="205">
        <f t="shared" si="50"/>
        <v>750739192</v>
      </c>
      <c r="AD216" s="178">
        <f>SUM(Q216:AB216)-AC216</f>
        <v>0</v>
      </c>
      <c r="AE216" s="241"/>
      <c r="AF216" s="194"/>
      <c r="AG216" s="194"/>
      <c r="AH216" s="194"/>
      <c r="AI216" s="194"/>
    </row>
    <row r="217" ht="16.5" hidden="1" customHeight="1">
      <c r="A217" s="126"/>
      <c r="B217" s="195"/>
      <c r="C217" s="206"/>
      <c r="D217" s="207"/>
      <c r="E217" s="207"/>
      <c r="F217" s="207"/>
      <c r="G217" s="207"/>
      <c r="H217" s="206"/>
      <c r="I217" s="206"/>
      <c r="J217" s="206"/>
      <c r="K217" s="206" t="s">
        <v>347</v>
      </c>
      <c r="L217" s="245"/>
      <c r="M217" s="209"/>
      <c r="N217" s="367"/>
      <c r="O217" s="367"/>
      <c r="P217" s="367">
        <v>45839.0</v>
      </c>
      <c r="Q217" s="268">
        <f>L216/12</f>
        <v>45571978</v>
      </c>
      <c r="R217" s="268">
        <f t="shared" ref="R217:V217" si="76">Q217</f>
        <v>45571978</v>
      </c>
      <c r="S217" s="268">
        <f t="shared" si="76"/>
        <v>45571978</v>
      </c>
      <c r="T217" s="268">
        <f t="shared" si="76"/>
        <v>45571978</v>
      </c>
      <c r="U217" s="268">
        <f t="shared" si="76"/>
        <v>45571978</v>
      </c>
      <c r="V217" s="268">
        <f t="shared" si="76"/>
        <v>45571978</v>
      </c>
      <c r="W217" s="268"/>
      <c r="X217" s="212"/>
      <c r="Y217" s="212"/>
      <c r="Z217" s="212"/>
      <c r="AA217" s="212"/>
      <c r="AB217" s="212"/>
      <c r="AC217" s="213">
        <f t="shared" si="50"/>
        <v>273431868</v>
      </c>
      <c r="AD217" s="284"/>
      <c r="AE217" s="241"/>
      <c r="AF217" s="194"/>
      <c r="AG217" s="194"/>
      <c r="AH217" s="194"/>
      <c r="AI217" s="194"/>
    </row>
    <row r="218" hidden="1">
      <c r="A218" s="126"/>
      <c r="B218" s="195"/>
      <c r="C218" s="206"/>
      <c r="D218" s="505"/>
      <c r="E218" s="505"/>
      <c r="F218" s="505"/>
      <c r="G218" s="505"/>
      <c r="H218" s="216"/>
      <c r="I218" s="216"/>
      <c r="J218" s="206"/>
      <c r="K218" s="206" t="s">
        <v>347</v>
      </c>
      <c r="L218" s="217">
        <v>1.7643264E8</v>
      </c>
      <c r="M218" s="246" t="s">
        <v>408</v>
      </c>
      <c r="N218" s="389"/>
      <c r="O218" s="389">
        <f>P217+1</f>
        <v>45840</v>
      </c>
      <c r="P218" s="367" t="s">
        <v>403</v>
      </c>
      <c r="Q218" s="268"/>
      <c r="R218" s="268"/>
      <c r="S218" s="268"/>
      <c r="T218" s="267"/>
      <c r="U218" s="267"/>
      <c r="V218" s="267"/>
      <c r="W218" s="268">
        <f>L218/3</f>
        <v>58810880</v>
      </c>
      <c r="X218" s="268">
        <f t="shared" ref="X218:Y218" si="77">W218</f>
        <v>58810880</v>
      </c>
      <c r="Y218" s="268">
        <f t="shared" si="77"/>
        <v>58810880</v>
      </c>
      <c r="Z218" s="268"/>
      <c r="AA218" s="268"/>
      <c r="AB218" s="268"/>
      <c r="AC218" s="213">
        <f t="shared" si="50"/>
        <v>176432640</v>
      </c>
      <c r="AD218" s="506"/>
      <c r="AE218" s="507"/>
      <c r="AF218" s="508"/>
      <c r="AG218" s="508"/>
      <c r="AH218" s="508"/>
      <c r="AI218" s="508"/>
    </row>
    <row r="219" hidden="1">
      <c r="A219" s="126"/>
      <c r="B219" s="195"/>
      <c r="C219" s="222"/>
      <c r="D219" s="250" t="s">
        <v>409</v>
      </c>
      <c r="E219" s="224"/>
      <c r="F219" s="224"/>
      <c r="G219" s="224"/>
      <c r="H219" s="222"/>
      <c r="I219" s="222"/>
      <c r="J219" s="222"/>
      <c r="K219" s="222" t="s">
        <v>347</v>
      </c>
      <c r="L219" s="225"/>
      <c r="M219" s="383"/>
      <c r="N219" s="285"/>
      <c r="O219" s="285"/>
      <c r="P219" s="285"/>
      <c r="Q219" s="230">
        <f t="shared" ref="Q219:Q221" si="79">136715934/3</f>
        <v>45571978</v>
      </c>
      <c r="R219" s="230">
        <f t="shared" ref="R219:S219" si="78">Q219</f>
        <v>45571978</v>
      </c>
      <c r="S219" s="230">
        <f t="shared" si="78"/>
        <v>45571978</v>
      </c>
      <c r="T219" s="270">
        <v>4.5571978E7</v>
      </c>
      <c r="U219" s="270">
        <v>4.5571978E7</v>
      </c>
      <c r="V219" s="270">
        <v>4.5571978E7</v>
      </c>
      <c r="W219" s="230"/>
      <c r="X219" s="230"/>
      <c r="Y219" s="230"/>
      <c r="Z219" s="230"/>
      <c r="AA219" s="230"/>
      <c r="AB219" s="230"/>
      <c r="AC219" s="231">
        <f t="shared" si="50"/>
        <v>273431868</v>
      </c>
      <c r="AD219" s="284"/>
      <c r="AE219" s="241"/>
      <c r="AF219" s="194"/>
      <c r="AG219" s="194"/>
      <c r="AH219" s="194"/>
      <c r="AI219" s="194"/>
    </row>
    <row r="220" hidden="1">
      <c r="A220" s="126"/>
      <c r="B220" s="195"/>
      <c r="C220" s="196"/>
      <c r="D220" s="286" t="s">
        <v>194</v>
      </c>
      <c r="E220" s="233"/>
      <c r="F220" s="233"/>
      <c r="G220" s="233"/>
      <c r="H220" s="234"/>
      <c r="I220" s="234"/>
      <c r="J220" s="222"/>
      <c r="K220" s="222" t="s">
        <v>347</v>
      </c>
      <c r="L220" s="346"/>
      <c r="M220" s="255"/>
      <c r="N220" s="365"/>
      <c r="O220" s="365"/>
      <c r="P220" s="365"/>
      <c r="Q220" s="230">
        <f t="shared" si="79"/>
        <v>45571978</v>
      </c>
      <c r="R220" s="230">
        <f t="shared" ref="R220:S220" si="80">Q220</f>
        <v>45571978</v>
      </c>
      <c r="S220" s="230">
        <f t="shared" si="80"/>
        <v>45571978</v>
      </c>
      <c r="T220" s="229">
        <v>4.5571978E7</v>
      </c>
      <c r="U220" s="229">
        <v>4.5571978E7</v>
      </c>
      <c r="V220" s="229">
        <v>4.5571978E7</v>
      </c>
      <c r="W220" s="238"/>
      <c r="X220" s="238"/>
      <c r="Y220" s="238"/>
      <c r="Z220" s="238"/>
      <c r="AA220" s="238"/>
      <c r="AB220" s="238"/>
      <c r="AC220" s="378">
        <f t="shared" si="50"/>
        <v>273431868</v>
      </c>
      <c r="AD220" s="214"/>
      <c r="AE220" s="241"/>
      <c r="AF220" s="194"/>
      <c r="AG220" s="194"/>
      <c r="AH220" s="194"/>
      <c r="AI220" s="194"/>
    </row>
    <row r="221" hidden="1">
      <c r="A221" s="126"/>
      <c r="B221" s="195"/>
      <c r="C221" s="196"/>
      <c r="D221" s="286" t="s">
        <v>410</v>
      </c>
      <c r="E221" s="233"/>
      <c r="F221" s="233"/>
      <c r="G221" s="233"/>
      <c r="H221" s="234"/>
      <c r="I221" s="234"/>
      <c r="J221" s="222"/>
      <c r="K221" s="222" t="s">
        <v>347</v>
      </c>
      <c r="L221" s="346"/>
      <c r="M221" s="255"/>
      <c r="N221" s="365"/>
      <c r="O221" s="365"/>
      <c r="P221" s="365"/>
      <c r="Q221" s="230">
        <f t="shared" si="79"/>
        <v>45571978</v>
      </c>
      <c r="R221" s="230">
        <f t="shared" ref="R221:S221" si="81">Q221</f>
        <v>45571978</v>
      </c>
      <c r="S221" s="230">
        <f t="shared" si="81"/>
        <v>45571978</v>
      </c>
      <c r="T221" s="238"/>
      <c r="U221" s="238"/>
      <c r="V221" s="238"/>
      <c r="W221" s="238"/>
      <c r="X221" s="229" t="s">
        <v>411</v>
      </c>
      <c r="Y221" s="238"/>
      <c r="Z221" s="238"/>
      <c r="AA221" s="238"/>
      <c r="AB221" s="238"/>
      <c r="AC221" s="378">
        <f t="shared" si="50"/>
        <v>136715934</v>
      </c>
      <c r="AD221" s="214"/>
      <c r="AE221" s="241"/>
      <c r="AF221" s="194"/>
      <c r="AG221" s="194"/>
      <c r="AH221" s="194"/>
      <c r="AI221" s="194"/>
    </row>
    <row r="222" ht="34.5" customHeight="1">
      <c r="A222" s="126"/>
      <c r="B222" s="195"/>
      <c r="C222" s="196">
        <v>10.0</v>
      </c>
      <c r="D222" s="354" t="s">
        <v>412</v>
      </c>
      <c r="E222" s="198" t="s">
        <v>186</v>
      </c>
      <c r="F222" s="198" t="s">
        <v>103</v>
      </c>
      <c r="G222" s="198" t="s">
        <v>86</v>
      </c>
      <c r="H222" s="198" t="s">
        <v>86</v>
      </c>
      <c r="I222" s="198" t="s">
        <v>187</v>
      </c>
      <c r="J222" s="198" t="s">
        <v>188</v>
      </c>
      <c r="K222" s="199" t="s">
        <v>347</v>
      </c>
      <c r="L222" s="347">
        <v>3.98977952E8</v>
      </c>
      <c r="M222" s="257" t="s">
        <v>413</v>
      </c>
      <c r="N222" s="366"/>
      <c r="O222" s="366">
        <v>45470.0</v>
      </c>
      <c r="P222" s="366">
        <v>45834.0</v>
      </c>
      <c r="Q222" s="204">
        <v>2.99533E7</v>
      </c>
      <c r="R222" s="204">
        <v>2.99533E7</v>
      </c>
      <c r="S222" s="204">
        <v>2.99533E7</v>
      </c>
      <c r="T222" s="204">
        <v>2.99533E7</v>
      </c>
      <c r="U222" s="204">
        <v>2.99533E7</v>
      </c>
      <c r="V222" s="204">
        <v>2.99533E7</v>
      </c>
      <c r="W222" s="204">
        <v>2.99533E7</v>
      </c>
      <c r="X222" s="204">
        <v>2.99533E7</v>
      </c>
      <c r="Y222" s="204">
        <v>2.99533E7</v>
      </c>
      <c r="Z222" s="204">
        <v>2.99533E7</v>
      </c>
      <c r="AA222" s="204">
        <v>2.99533E7</v>
      </c>
      <c r="AB222" s="204">
        <v>2.99533E7</v>
      </c>
      <c r="AC222" s="205">
        <f t="shared" si="50"/>
        <v>359439600</v>
      </c>
      <c r="AD222" s="178">
        <f>SUM(Q222:AB222)-AC222</f>
        <v>0</v>
      </c>
      <c r="AE222" s="241"/>
      <c r="AF222" s="194"/>
      <c r="AG222" s="194"/>
      <c r="AH222" s="194"/>
      <c r="AI222" s="194"/>
    </row>
    <row r="223" hidden="1">
      <c r="A223" s="126"/>
      <c r="B223" s="195"/>
      <c r="C223" s="206"/>
      <c r="D223" s="207"/>
      <c r="E223" s="207"/>
      <c r="F223" s="207"/>
      <c r="G223" s="207"/>
      <c r="H223" s="206"/>
      <c r="I223" s="206"/>
      <c r="J223" s="206"/>
      <c r="K223" s="206" t="s">
        <v>347</v>
      </c>
      <c r="L223" s="245"/>
      <c r="M223" s="209"/>
      <c r="N223" s="367"/>
      <c r="O223" s="367"/>
      <c r="P223" s="367">
        <v>45834.0</v>
      </c>
      <c r="Q223" s="212">
        <f>L222/12</f>
        <v>33248162.67</v>
      </c>
      <c r="R223" s="212">
        <f t="shared" ref="R223:V223" si="82">Q223</f>
        <v>33248162.67</v>
      </c>
      <c r="S223" s="212">
        <f t="shared" si="82"/>
        <v>33248162.67</v>
      </c>
      <c r="T223" s="212">
        <f t="shared" si="82"/>
        <v>33248162.67</v>
      </c>
      <c r="U223" s="212">
        <f t="shared" si="82"/>
        <v>33248162.67</v>
      </c>
      <c r="V223" s="212">
        <f t="shared" si="82"/>
        <v>33248162.67</v>
      </c>
      <c r="W223" s="212"/>
      <c r="X223" s="212"/>
      <c r="Y223" s="212"/>
      <c r="Z223" s="212"/>
      <c r="AA223" s="212"/>
      <c r="AB223" s="212"/>
      <c r="AC223" s="213">
        <f t="shared" si="50"/>
        <v>199488976</v>
      </c>
      <c r="AD223" s="273"/>
      <c r="AE223" s="192"/>
      <c r="AF223" s="194"/>
      <c r="AG223" s="194"/>
      <c r="AH223" s="194"/>
      <c r="AI223" s="194"/>
    </row>
    <row r="224" hidden="1">
      <c r="A224" s="126"/>
      <c r="B224" s="195"/>
      <c r="C224" s="206"/>
      <c r="D224" s="220" t="s">
        <v>375</v>
      </c>
      <c r="E224" s="207"/>
      <c r="F224" s="207"/>
      <c r="G224" s="207"/>
      <c r="H224" s="206"/>
      <c r="I224" s="206"/>
      <c r="J224" s="221"/>
      <c r="K224" s="221" t="s">
        <v>347</v>
      </c>
      <c r="L224" s="282">
        <v>9.97444881E7</v>
      </c>
      <c r="M224" s="265" t="s">
        <v>414</v>
      </c>
      <c r="N224" s="283"/>
      <c r="O224" s="283">
        <f>P223+1</f>
        <v>45835</v>
      </c>
      <c r="P224" s="367" t="s">
        <v>415</v>
      </c>
      <c r="Q224" s="212"/>
      <c r="R224" s="212"/>
      <c r="S224" s="212"/>
      <c r="T224" s="249"/>
      <c r="U224" s="212"/>
      <c r="V224" s="212"/>
      <c r="W224" s="212">
        <f>L224/3</f>
        <v>33248162.7</v>
      </c>
      <c r="X224" s="212">
        <f t="shared" ref="X224:Y224" si="83">W224</f>
        <v>33248162.7</v>
      </c>
      <c r="Y224" s="212">
        <f t="shared" si="83"/>
        <v>33248162.7</v>
      </c>
      <c r="Z224" s="212"/>
      <c r="AA224" s="212"/>
      <c r="AB224" s="212"/>
      <c r="AC224" s="213">
        <f t="shared" si="50"/>
        <v>99744488.1</v>
      </c>
      <c r="AD224" s="273"/>
      <c r="AE224" s="192"/>
      <c r="AF224" s="194"/>
      <c r="AG224" s="194"/>
      <c r="AH224" s="194"/>
      <c r="AI224" s="194"/>
    </row>
    <row r="225" hidden="1">
      <c r="A225" s="126"/>
      <c r="B225" s="195"/>
      <c r="C225" s="222"/>
      <c r="D225" s="250" t="s">
        <v>416</v>
      </c>
      <c r="E225" s="224"/>
      <c r="F225" s="224"/>
      <c r="G225" s="224"/>
      <c r="H225" s="222"/>
      <c r="I225" s="222"/>
      <c r="J225" s="222"/>
      <c r="K225" s="222" t="s">
        <v>347</v>
      </c>
      <c r="L225" s="225"/>
      <c r="M225" s="383"/>
      <c r="N225" s="285"/>
      <c r="O225" s="285"/>
      <c r="P225" s="285"/>
      <c r="Q225" s="230">
        <f t="shared" ref="Q225:Q226" si="85">99744489/3</f>
        <v>33248163</v>
      </c>
      <c r="R225" s="230">
        <f t="shared" ref="R225:S225" si="84">Q225</f>
        <v>33248163</v>
      </c>
      <c r="S225" s="230">
        <f t="shared" si="84"/>
        <v>33248163</v>
      </c>
      <c r="T225" s="229">
        <v>3.3248163E7</v>
      </c>
      <c r="U225" s="229">
        <v>3.3248163E7</v>
      </c>
      <c r="V225" s="229">
        <v>3.3248163E7</v>
      </c>
      <c r="W225" s="230"/>
      <c r="X225" s="230"/>
      <c r="Y225" s="230"/>
      <c r="Z225" s="230"/>
      <c r="AA225" s="230"/>
      <c r="AB225" s="230"/>
      <c r="AC225" s="231">
        <f t="shared" si="50"/>
        <v>199488978</v>
      </c>
      <c r="AD225" s="273"/>
      <c r="AE225" s="241"/>
      <c r="AF225" s="194"/>
      <c r="AG225" s="194"/>
      <c r="AH225" s="194"/>
      <c r="AI225" s="194"/>
    </row>
    <row r="226" hidden="1">
      <c r="A226" s="126"/>
      <c r="B226" s="195"/>
      <c r="C226" s="196"/>
      <c r="D226" s="286" t="s">
        <v>194</v>
      </c>
      <c r="E226" s="233"/>
      <c r="F226" s="233"/>
      <c r="G226" s="233"/>
      <c r="H226" s="234"/>
      <c r="I226" s="234"/>
      <c r="J226" s="222"/>
      <c r="K226" s="222" t="s">
        <v>347</v>
      </c>
      <c r="L226" s="346"/>
      <c r="M226" s="255"/>
      <c r="N226" s="365"/>
      <c r="O226" s="365"/>
      <c r="P226" s="365"/>
      <c r="Q226" s="230">
        <f t="shared" si="85"/>
        <v>33248163</v>
      </c>
      <c r="R226" s="230">
        <f t="shared" ref="R226:S226" si="86">Q226</f>
        <v>33248163</v>
      </c>
      <c r="S226" s="230">
        <f t="shared" si="86"/>
        <v>33248163</v>
      </c>
      <c r="T226" s="238"/>
      <c r="U226" s="238"/>
      <c r="V226" s="238"/>
      <c r="W226" s="238"/>
      <c r="X226" s="238"/>
      <c r="Y226" s="238"/>
      <c r="Z226" s="238"/>
      <c r="AA226" s="238"/>
      <c r="AB226" s="238"/>
      <c r="AC226" s="378">
        <f t="shared" si="50"/>
        <v>99744489</v>
      </c>
      <c r="AD226" s="214"/>
      <c r="AE226" s="241"/>
      <c r="AF226" s="194"/>
      <c r="AG226" s="194"/>
      <c r="AH226" s="194"/>
      <c r="AI226" s="194"/>
    </row>
    <row r="227" hidden="1">
      <c r="A227" s="126"/>
      <c r="B227" s="195"/>
      <c r="C227" s="196"/>
      <c r="D227" s="286" t="s">
        <v>417</v>
      </c>
      <c r="E227" s="233"/>
      <c r="F227" s="233"/>
      <c r="G227" s="233"/>
      <c r="H227" s="234"/>
      <c r="I227" s="234"/>
      <c r="J227" s="222"/>
      <c r="K227" s="222" t="s">
        <v>347</v>
      </c>
      <c r="L227" s="346"/>
      <c r="M227" s="255"/>
      <c r="N227" s="365"/>
      <c r="O227" s="365"/>
      <c r="P227" s="365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  <c r="AA227" s="238"/>
      <c r="AB227" s="238"/>
      <c r="AC227" s="378">
        <f t="shared" si="50"/>
        <v>0</v>
      </c>
      <c r="AD227" s="214"/>
      <c r="AE227" s="241"/>
      <c r="AF227" s="194"/>
      <c r="AG227" s="194"/>
      <c r="AH227" s="194"/>
      <c r="AI227" s="194"/>
    </row>
    <row r="228" ht="36.75" customHeight="1">
      <c r="A228" s="126"/>
      <c r="B228" s="195"/>
      <c r="C228" s="196">
        <v>11.0</v>
      </c>
      <c r="D228" s="354" t="s">
        <v>418</v>
      </c>
      <c r="E228" s="198" t="s">
        <v>186</v>
      </c>
      <c r="F228" s="198" t="s">
        <v>103</v>
      </c>
      <c r="G228" s="198" t="s">
        <v>86</v>
      </c>
      <c r="H228" s="198" t="s">
        <v>86</v>
      </c>
      <c r="I228" s="198" t="s">
        <v>187</v>
      </c>
      <c r="J228" s="198" t="s">
        <v>188</v>
      </c>
      <c r="K228" s="199" t="s">
        <v>347</v>
      </c>
      <c r="L228" s="347">
        <v>6.32349584E8</v>
      </c>
      <c r="M228" s="257" t="s">
        <v>419</v>
      </c>
      <c r="N228" s="366"/>
      <c r="O228" s="366">
        <v>45490.0</v>
      </c>
      <c r="P228" s="366">
        <v>45854.0</v>
      </c>
      <c r="Q228" s="204">
        <v>4.7473692E7</v>
      </c>
      <c r="R228" s="204">
        <v>4.7473692E7</v>
      </c>
      <c r="S228" s="204">
        <v>4.7473692E7</v>
      </c>
      <c r="T228" s="204">
        <v>4.7473692E7</v>
      </c>
      <c r="U228" s="204">
        <v>4.7473692E7</v>
      </c>
      <c r="V228" s="204">
        <v>4.7473692E7</v>
      </c>
      <c r="W228" s="204">
        <v>4.7473692E7</v>
      </c>
      <c r="X228" s="204">
        <v>4.7473692E7</v>
      </c>
      <c r="Y228" s="204">
        <v>4.7473692E7</v>
      </c>
      <c r="Z228" s="204">
        <v>4.7473692E7</v>
      </c>
      <c r="AA228" s="204">
        <v>4.7473692E7</v>
      </c>
      <c r="AB228" s="204">
        <v>4.7473692E7</v>
      </c>
      <c r="AC228" s="205">
        <f t="shared" si="50"/>
        <v>569684304</v>
      </c>
      <c r="AD228" s="178">
        <f>SUM(Q228:AB228)-AC228</f>
        <v>0</v>
      </c>
      <c r="AE228" s="241"/>
      <c r="AF228" s="194"/>
      <c r="AG228" s="194"/>
      <c r="AH228" s="194"/>
      <c r="AI228" s="194"/>
    </row>
    <row r="229" hidden="1">
      <c r="A229" s="126"/>
      <c r="B229" s="195"/>
      <c r="C229" s="206"/>
      <c r="D229" s="207"/>
      <c r="E229" s="207"/>
      <c r="F229" s="207"/>
      <c r="G229" s="207"/>
      <c r="H229" s="206"/>
      <c r="I229" s="206"/>
      <c r="J229" s="206"/>
      <c r="K229" s="206" t="s">
        <v>347</v>
      </c>
      <c r="L229" s="245"/>
      <c r="M229" s="209"/>
      <c r="N229" s="367"/>
      <c r="O229" s="367"/>
      <c r="P229" s="367">
        <f>P228</f>
        <v>45854</v>
      </c>
      <c r="Q229" s="212">
        <f>L228/12</f>
        <v>52695798.67</v>
      </c>
      <c r="R229" s="212">
        <f t="shared" ref="R229:W229" si="87">Q229</f>
        <v>52695798.67</v>
      </c>
      <c r="S229" s="212">
        <f t="shared" si="87"/>
        <v>52695798.67</v>
      </c>
      <c r="T229" s="212">
        <f t="shared" si="87"/>
        <v>52695798.67</v>
      </c>
      <c r="U229" s="212">
        <f t="shared" si="87"/>
        <v>52695798.67</v>
      </c>
      <c r="V229" s="212">
        <f t="shared" si="87"/>
        <v>52695798.67</v>
      </c>
      <c r="W229" s="212">
        <f t="shared" si="87"/>
        <v>52695798.67</v>
      </c>
      <c r="X229" s="212"/>
      <c r="Y229" s="212"/>
      <c r="Z229" s="212"/>
      <c r="AA229" s="212"/>
      <c r="AB229" s="212"/>
      <c r="AC229" s="213">
        <f t="shared" si="50"/>
        <v>368870590.7</v>
      </c>
      <c r="AD229" s="273"/>
      <c r="AE229" s="192"/>
      <c r="AF229" s="194"/>
      <c r="AG229" s="194"/>
      <c r="AH229" s="194"/>
      <c r="AI229" s="194"/>
    </row>
    <row r="230" hidden="1">
      <c r="A230" s="126"/>
      <c r="B230" s="195"/>
      <c r="C230" s="206"/>
      <c r="D230" s="220" t="s">
        <v>375</v>
      </c>
      <c r="E230" s="207"/>
      <c r="F230" s="207"/>
      <c r="G230" s="207"/>
      <c r="H230" s="206"/>
      <c r="I230" s="206"/>
      <c r="J230" s="242"/>
      <c r="K230" s="242" t="s">
        <v>347</v>
      </c>
      <c r="L230" s="245">
        <v>1.58087396E8</v>
      </c>
      <c r="M230" s="265" t="s">
        <v>414</v>
      </c>
      <c r="N230" s="367"/>
      <c r="O230" s="367">
        <v>45855.0</v>
      </c>
      <c r="P230" s="367">
        <v>45946.0</v>
      </c>
      <c r="Q230" s="249"/>
      <c r="R230" s="249"/>
      <c r="S230" s="249"/>
      <c r="T230" s="249"/>
      <c r="U230" s="504"/>
      <c r="V230" s="504"/>
      <c r="W230" s="212"/>
      <c r="X230" s="212">
        <f>L230/3</f>
        <v>52695798.67</v>
      </c>
      <c r="Y230" s="212">
        <f t="shared" ref="Y230:Z230" si="88">X230</f>
        <v>52695798.67</v>
      </c>
      <c r="Z230" s="212">
        <f t="shared" si="88"/>
        <v>52695798.67</v>
      </c>
      <c r="AA230" s="212"/>
      <c r="AB230" s="212"/>
      <c r="AC230" s="213">
        <f t="shared" si="50"/>
        <v>158087396</v>
      </c>
      <c r="AD230" s="273"/>
      <c r="AE230" s="192"/>
      <c r="AF230" s="194"/>
      <c r="AG230" s="194"/>
      <c r="AH230" s="194"/>
      <c r="AI230" s="194"/>
    </row>
    <row r="231" hidden="1">
      <c r="A231" s="126"/>
      <c r="B231" s="195"/>
      <c r="C231" s="222"/>
      <c r="D231" s="250" t="s">
        <v>420</v>
      </c>
      <c r="E231" s="224"/>
      <c r="F231" s="224"/>
      <c r="G231" s="224"/>
      <c r="H231" s="222"/>
      <c r="I231" s="222"/>
      <c r="J231" s="222"/>
      <c r="K231" s="222" t="s">
        <v>347</v>
      </c>
      <c r="L231" s="225"/>
      <c r="M231" s="383"/>
      <c r="N231" s="285"/>
      <c r="O231" s="285"/>
      <c r="P231" s="285"/>
      <c r="Q231" s="228">
        <v>5.2695798E7</v>
      </c>
      <c r="R231" s="228">
        <v>5.2695798E7</v>
      </c>
      <c r="S231" s="228">
        <v>5.2695798E7</v>
      </c>
      <c r="T231" s="228">
        <v>5.2695798E7</v>
      </c>
      <c r="U231" s="229">
        <v>5.2695799E7</v>
      </c>
      <c r="V231" s="229">
        <v>5.2695799E7</v>
      </c>
      <c r="W231" s="230"/>
      <c r="X231" s="230"/>
      <c r="Y231" s="230"/>
      <c r="Z231" s="230"/>
      <c r="AA231" s="230"/>
      <c r="AB231" s="230"/>
      <c r="AC231" s="231">
        <f t="shared" si="50"/>
        <v>316174790</v>
      </c>
      <c r="AD231" s="273"/>
      <c r="AE231" s="241"/>
      <c r="AF231" s="194"/>
      <c r="AG231" s="194"/>
      <c r="AH231" s="194"/>
      <c r="AI231" s="194"/>
    </row>
    <row r="232" hidden="1">
      <c r="A232" s="126"/>
      <c r="B232" s="195"/>
      <c r="C232" s="196"/>
      <c r="D232" s="286" t="s">
        <v>194</v>
      </c>
      <c r="E232" s="233"/>
      <c r="F232" s="233"/>
      <c r="G232" s="233"/>
      <c r="H232" s="234"/>
      <c r="I232" s="234"/>
      <c r="J232" s="222"/>
      <c r="K232" s="222" t="s">
        <v>347</v>
      </c>
      <c r="L232" s="346"/>
      <c r="M232" s="255"/>
      <c r="N232" s="365"/>
      <c r="O232" s="365"/>
      <c r="P232" s="365"/>
      <c r="Q232" s="228">
        <v>5.2695798E7</v>
      </c>
      <c r="R232" s="228">
        <v>5.2695798E7</v>
      </c>
      <c r="S232" s="228">
        <v>5.2695798E7</v>
      </c>
      <c r="T232" s="228">
        <v>5.2695798E7</v>
      </c>
      <c r="U232" s="238"/>
      <c r="V232" s="238"/>
      <c r="W232" s="238"/>
      <c r="X232" s="238"/>
      <c r="Y232" s="238"/>
      <c r="Z232" s="238"/>
      <c r="AA232" s="238"/>
      <c r="AB232" s="238"/>
      <c r="AC232" s="378">
        <f t="shared" si="50"/>
        <v>210783192</v>
      </c>
      <c r="AD232" s="214"/>
      <c r="AE232" s="241"/>
      <c r="AF232" s="194"/>
      <c r="AG232" s="194"/>
      <c r="AH232" s="194"/>
      <c r="AI232" s="194"/>
    </row>
    <row r="233" hidden="1">
      <c r="A233" s="126"/>
      <c r="B233" s="195"/>
      <c r="C233" s="196"/>
      <c r="D233" s="286" t="s">
        <v>421</v>
      </c>
      <c r="E233" s="233"/>
      <c r="F233" s="233"/>
      <c r="G233" s="233"/>
      <c r="H233" s="234"/>
      <c r="I233" s="234"/>
      <c r="J233" s="222"/>
      <c r="K233" s="222" t="s">
        <v>347</v>
      </c>
      <c r="L233" s="346"/>
      <c r="M233" s="255"/>
      <c r="N233" s="365"/>
      <c r="O233" s="365"/>
      <c r="P233" s="365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  <c r="AA233" s="238"/>
      <c r="AB233" s="238"/>
      <c r="AC233" s="378">
        <f t="shared" si="50"/>
        <v>0</v>
      </c>
      <c r="AD233" s="214"/>
      <c r="AE233" s="241"/>
      <c r="AF233" s="194"/>
      <c r="AG233" s="194"/>
      <c r="AH233" s="194"/>
      <c r="AI233" s="194"/>
    </row>
    <row r="234" ht="43.5" customHeight="1">
      <c r="A234" s="126"/>
      <c r="B234" s="195"/>
      <c r="C234" s="196">
        <v>12.0</v>
      </c>
      <c r="D234" s="354" t="s">
        <v>422</v>
      </c>
      <c r="E234" s="198" t="s">
        <v>186</v>
      </c>
      <c r="F234" s="198" t="s">
        <v>103</v>
      </c>
      <c r="G234" s="198" t="s">
        <v>86</v>
      </c>
      <c r="H234" s="198" t="s">
        <v>86</v>
      </c>
      <c r="I234" s="198" t="s">
        <v>187</v>
      </c>
      <c r="J234" s="198" t="s">
        <v>188</v>
      </c>
      <c r="K234" s="199" t="s">
        <v>347</v>
      </c>
      <c r="L234" s="347">
        <v>4.9605656E8</v>
      </c>
      <c r="M234" s="257" t="s">
        <v>423</v>
      </c>
      <c r="N234" s="366"/>
      <c r="O234" s="366" t="s">
        <v>424</v>
      </c>
      <c r="P234" s="366" t="s">
        <v>425</v>
      </c>
      <c r="Q234" s="204">
        <v>3.7241484E7</v>
      </c>
      <c r="R234" s="204">
        <v>3.7241484E7</v>
      </c>
      <c r="S234" s="204">
        <v>3.7241484E7</v>
      </c>
      <c r="T234" s="204">
        <v>3.7241484E7</v>
      </c>
      <c r="U234" s="204">
        <v>3.7241484E7</v>
      </c>
      <c r="V234" s="204">
        <v>3.7241484E7</v>
      </c>
      <c r="W234" s="204">
        <v>3.7241484E7</v>
      </c>
      <c r="X234" s="204">
        <v>3.7241484E7</v>
      </c>
      <c r="Y234" s="204">
        <v>3.7241484E7</v>
      </c>
      <c r="Z234" s="204">
        <v>3.7241484E7</v>
      </c>
      <c r="AA234" s="204">
        <v>3.7241484E7</v>
      </c>
      <c r="AB234" s="204">
        <v>3.7241484E7</v>
      </c>
      <c r="AC234" s="205">
        <f t="shared" si="50"/>
        <v>446897808</v>
      </c>
      <c r="AD234" s="178">
        <f>SUM(Q234:AB234)-AC234</f>
        <v>0</v>
      </c>
      <c r="AE234" s="241"/>
      <c r="AF234" s="194"/>
      <c r="AG234" s="194"/>
      <c r="AH234" s="194"/>
      <c r="AI234" s="194"/>
    </row>
    <row r="235" hidden="1">
      <c r="A235" s="126"/>
      <c r="B235" s="195"/>
      <c r="C235" s="206"/>
      <c r="D235" s="207"/>
      <c r="E235" s="207"/>
      <c r="F235" s="207"/>
      <c r="G235" s="207"/>
      <c r="H235" s="206"/>
      <c r="I235" s="206"/>
      <c r="J235" s="206"/>
      <c r="K235" s="206" t="s">
        <v>347</v>
      </c>
      <c r="L235" s="245"/>
      <c r="M235" s="209"/>
      <c r="N235" s="367"/>
      <c r="O235" s="367"/>
      <c r="P235" s="367" t="str">
        <f>P234</f>
        <v>22-Ags-25</v>
      </c>
      <c r="Q235" s="212">
        <f>L234/12</f>
        <v>41338046.67</v>
      </c>
      <c r="R235" s="212">
        <f t="shared" ref="R235:X235" si="89">Q235</f>
        <v>41338046.67</v>
      </c>
      <c r="S235" s="212">
        <f t="shared" si="89"/>
        <v>41338046.67</v>
      </c>
      <c r="T235" s="212">
        <f t="shared" si="89"/>
        <v>41338046.67</v>
      </c>
      <c r="U235" s="212">
        <f t="shared" si="89"/>
        <v>41338046.67</v>
      </c>
      <c r="V235" s="212">
        <f t="shared" si="89"/>
        <v>41338046.67</v>
      </c>
      <c r="W235" s="212">
        <f t="shared" si="89"/>
        <v>41338046.67</v>
      </c>
      <c r="X235" s="212">
        <f t="shared" si="89"/>
        <v>41338046.67</v>
      </c>
      <c r="Y235" s="212"/>
      <c r="Z235" s="212"/>
      <c r="AA235" s="212"/>
      <c r="AB235" s="212"/>
      <c r="AC235" s="213">
        <f t="shared" si="50"/>
        <v>330704373.3</v>
      </c>
      <c r="AD235" s="273"/>
      <c r="AE235" s="192"/>
      <c r="AF235" s="194"/>
      <c r="AG235" s="194"/>
      <c r="AH235" s="194"/>
      <c r="AI235" s="194"/>
    </row>
    <row r="236" hidden="1">
      <c r="A236" s="126"/>
      <c r="B236" s="195"/>
      <c r="C236" s="222"/>
      <c r="D236" s="250" t="s">
        <v>426</v>
      </c>
      <c r="E236" s="224"/>
      <c r="F236" s="224"/>
      <c r="G236" s="224"/>
      <c r="H236" s="222"/>
      <c r="I236" s="222"/>
      <c r="J236" s="222"/>
      <c r="K236" s="222" t="s">
        <v>347</v>
      </c>
      <c r="L236" s="225"/>
      <c r="M236" s="383"/>
      <c r="N236" s="285"/>
      <c r="O236" s="285"/>
      <c r="P236" s="285"/>
      <c r="Q236" s="270">
        <v>4.1338046E7</v>
      </c>
      <c r="R236" s="270">
        <v>4.1338046E7</v>
      </c>
      <c r="S236" s="270">
        <v>4.1338046E7</v>
      </c>
      <c r="T236" s="270">
        <v>4.1338047E7</v>
      </c>
      <c r="U236" s="270">
        <v>4.1338047E7</v>
      </c>
      <c r="V236" s="229">
        <v>4.1338047E7</v>
      </c>
      <c r="W236" s="230"/>
      <c r="X236" s="230"/>
      <c r="Y236" s="230"/>
      <c r="Z236" s="230"/>
      <c r="AA236" s="230"/>
      <c r="AB236" s="230"/>
      <c r="AC236" s="231">
        <f t="shared" si="50"/>
        <v>248028279</v>
      </c>
      <c r="AD236" s="273"/>
      <c r="AE236" s="241"/>
      <c r="AF236" s="194"/>
      <c r="AG236" s="194"/>
      <c r="AH236" s="194"/>
      <c r="AI236" s="194"/>
    </row>
    <row r="237" hidden="1">
      <c r="A237" s="126"/>
      <c r="B237" s="421"/>
      <c r="C237" s="433"/>
      <c r="D237" s="286" t="s">
        <v>194</v>
      </c>
      <c r="E237" s="509"/>
      <c r="F237" s="509"/>
      <c r="G237" s="509"/>
      <c r="H237" s="510"/>
      <c r="I237" s="510"/>
      <c r="J237" s="511"/>
      <c r="K237" s="222" t="s">
        <v>347</v>
      </c>
      <c r="L237" s="512"/>
      <c r="M237" s="513"/>
      <c r="N237" s="514"/>
      <c r="O237" s="514"/>
      <c r="P237" s="514"/>
      <c r="Q237" s="270">
        <v>4.1338046E7</v>
      </c>
      <c r="R237" s="270">
        <v>4.1338046E7</v>
      </c>
      <c r="S237" s="270">
        <v>4.1338046E7</v>
      </c>
      <c r="T237" s="270">
        <v>4.1338047E7</v>
      </c>
      <c r="U237" s="270">
        <v>4.1338047E7</v>
      </c>
      <c r="V237" s="452"/>
      <c r="W237" s="452"/>
      <c r="X237" s="452"/>
      <c r="Y237" s="452"/>
      <c r="Z237" s="452"/>
      <c r="AA237" s="452"/>
      <c r="AB237" s="452"/>
      <c r="AC237" s="378">
        <f t="shared" si="50"/>
        <v>206690232</v>
      </c>
      <c r="AD237" s="271"/>
      <c r="AE237" s="241"/>
      <c r="AF237" s="194"/>
      <c r="AG237" s="194"/>
      <c r="AH237" s="194"/>
      <c r="AI237" s="194"/>
    </row>
    <row r="238" hidden="1">
      <c r="A238" s="126"/>
      <c r="B238" s="421"/>
      <c r="C238" s="433"/>
      <c r="D238" s="286" t="s">
        <v>427</v>
      </c>
      <c r="E238" s="509"/>
      <c r="F238" s="509"/>
      <c r="G238" s="509"/>
      <c r="H238" s="510"/>
      <c r="I238" s="510"/>
      <c r="J238" s="511"/>
      <c r="K238" s="222" t="s">
        <v>347</v>
      </c>
      <c r="L238" s="512"/>
      <c r="M238" s="513"/>
      <c r="N238" s="514"/>
      <c r="O238" s="514"/>
      <c r="P238" s="514"/>
      <c r="Q238" s="270">
        <v>4.1338046E7</v>
      </c>
      <c r="R238" s="270">
        <v>4.1338046E7</v>
      </c>
      <c r="S238" s="270">
        <v>4.1338046E7</v>
      </c>
      <c r="T238" s="270">
        <v>4.1338047E7</v>
      </c>
      <c r="U238" s="270">
        <v>4.1338047E7</v>
      </c>
      <c r="V238" s="452"/>
      <c r="W238" s="452"/>
      <c r="X238" s="452"/>
      <c r="Y238" s="452"/>
      <c r="Z238" s="452"/>
      <c r="AA238" s="452"/>
      <c r="AB238" s="452"/>
      <c r="AC238" s="378">
        <f t="shared" si="50"/>
        <v>206690232</v>
      </c>
      <c r="AD238" s="271"/>
      <c r="AE238" s="241"/>
      <c r="AF238" s="194"/>
      <c r="AG238" s="194"/>
      <c r="AH238" s="194"/>
      <c r="AI238" s="194"/>
    </row>
    <row r="239">
      <c r="A239" s="126"/>
      <c r="B239" s="421"/>
      <c r="C239" s="515">
        <v>13.0</v>
      </c>
      <c r="D239" s="516" t="s">
        <v>428</v>
      </c>
      <c r="E239" s="198" t="s">
        <v>326</v>
      </c>
      <c r="F239" s="198" t="s">
        <v>305</v>
      </c>
      <c r="G239" s="198" t="s">
        <v>327</v>
      </c>
      <c r="H239" s="198" t="s">
        <v>328</v>
      </c>
      <c r="I239" s="198" t="s">
        <v>187</v>
      </c>
      <c r="J239" s="198" t="s">
        <v>188</v>
      </c>
      <c r="K239" s="517" t="s">
        <v>347</v>
      </c>
      <c r="L239" s="518">
        <v>2.244832809E9</v>
      </c>
      <c r="M239" s="519" t="s">
        <v>429</v>
      </c>
      <c r="N239" s="520"/>
      <c r="O239" s="520">
        <v>45506.0</v>
      </c>
      <c r="P239" s="520">
        <f>O239+179</f>
        <v>45685</v>
      </c>
      <c r="Q239" s="521"/>
      <c r="R239" s="521"/>
      <c r="S239" s="400">
        <v>2.244832809E9</v>
      </c>
      <c r="T239" s="400"/>
      <c r="U239" s="521"/>
      <c r="V239" s="521"/>
      <c r="W239" s="521"/>
      <c r="X239" s="521"/>
      <c r="Y239" s="521"/>
      <c r="Z239" s="521"/>
      <c r="AA239" s="521"/>
      <c r="AB239" s="521"/>
      <c r="AC239" s="522">
        <v>2.244832809E9</v>
      </c>
      <c r="AD239" s="273"/>
      <c r="AE239" s="192"/>
      <c r="AF239" s="194"/>
      <c r="AG239" s="194"/>
      <c r="AH239" s="194"/>
      <c r="AI239" s="194"/>
    </row>
    <row r="240" hidden="1">
      <c r="A240" s="126"/>
      <c r="B240" s="421"/>
      <c r="C240" s="441"/>
      <c r="D240" s="220" t="s">
        <v>430</v>
      </c>
      <c r="E240" s="207"/>
      <c r="F240" s="442"/>
      <c r="G240" s="207"/>
      <c r="H240" s="206"/>
      <c r="I240" s="206"/>
      <c r="J240" s="523"/>
      <c r="K240" s="523" t="s">
        <v>347</v>
      </c>
      <c r="L240" s="245"/>
      <c r="M240" s="524"/>
      <c r="N240" s="389"/>
      <c r="O240" s="389"/>
      <c r="P240" s="389"/>
      <c r="Q240" s="447">
        <f>L239/6</f>
        <v>374138801.5</v>
      </c>
      <c r="R240" s="447"/>
      <c r="S240" s="447"/>
      <c r="T240" s="447"/>
      <c r="U240" s="447"/>
      <c r="V240" s="447"/>
      <c r="W240" s="447"/>
      <c r="X240" s="447"/>
      <c r="Y240" s="447"/>
      <c r="Z240" s="447"/>
      <c r="AA240" s="447"/>
      <c r="AB240" s="447"/>
      <c r="AC240" s="449">
        <f t="shared" ref="AC240:AC243" si="90">SUM(Q240:AB240)</f>
        <v>374138801.5</v>
      </c>
      <c r="AD240" s="273"/>
      <c r="AE240" s="241"/>
      <c r="AF240" s="194"/>
      <c r="AG240" s="194"/>
      <c r="AH240" s="194"/>
      <c r="AI240" s="194"/>
    </row>
    <row r="241" hidden="1">
      <c r="A241" s="126"/>
      <c r="B241" s="421"/>
      <c r="C241" s="182"/>
      <c r="D241" s="250" t="s">
        <v>431</v>
      </c>
      <c r="E241" s="224"/>
      <c r="F241" s="450"/>
      <c r="G241" s="224"/>
      <c r="H241" s="222"/>
      <c r="I241" s="222"/>
      <c r="J241" s="222"/>
      <c r="K241" s="222" t="s">
        <v>347</v>
      </c>
      <c r="L241" s="525"/>
      <c r="M241" s="451"/>
      <c r="N241" s="285"/>
      <c r="O241" s="285"/>
      <c r="P241" s="285"/>
      <c r="Q241" s="452"/>
      <c r="R241" s="452"/>
      <c r="S241" s="452"/>
      <c r="T241" s="452"/>
      <c r="U241" s="452"/>
      <c r="V241" s="452"/>
      <c r="W241" s="452"/>
      <c r="X241" s="452"/>
      <c r="Y241" s="452"/>
      <c r="Z241" s="452"/>
      <c r="AA241" s="452"/>
      <c r="AB241" s="452"/>
      <c r="AC241" s="231">
        <f t="shared" si="90"/>
        <v>0</v>
      </c>
      <c r="AD241" s="284"/>
      <c r="AE241" s="241"/>
      <c r="AF241" s="194"/>
      <c r="AG241" s="194"/>
      <c r="AH241" s="194"/>
      <c r="AI241" s="194"/>
    </row>
    <row r="242" hidden="1">
      <c r="A242" s="126"/>
      <c r="B242" s="421"/>
      <c r="C242" s="526"/>
      <c r="D242" s="286" t="s">
        <v>194</v>
      </c>
      <c r="E242" s="527"/>
      <c r="F242" s="454"/>
      <c r="G242" s="527"/>
      <c r="H242" s="510"/>
      <c r="I242" s="510"/>
      <c r="J242" s="511"/>
      <c r="K242" s="222" t="s">
        <v>347</v>
      </c>
      <c r="L242" s="512"/>
      <c r="M242" s="513"/>
      <c r="N242" s="514"/>
      <c r="O242" s="514"/>
      <c r="P242" s="514"/>
      <c r="Q242" s="452"/>
      <c r="R242" s="452"/>
      <c r="S242" s="452"/>
      <c r="T242" s="452"/>
      <c r="U242" s="452"/>
      <c r="V242" s="452"/>
      <c r="W242" s="452"/>
      <c r="X242" s="452"/>
      <c r="Y242" s="452"/>
      <c r="Z242" s="452"/>
      <c r="AA242" s="452"/>
      <c r="AB242" s="452"/>
      <c r="AC242" s="378">
        <f t="shared" si="90"/>
        <v>0</v>
      </c>
      <c r="AD242" s="284"/>
      <c r="AE242" s="241"/>
      <c r="AF242" s="194"/>
      <c r="AG242" s="194"/>
      <c r="AH242" s="194"/>
      <c r="AI242" s="194"/>
    </row>
    <row r="243" hidden="1">
      <c r="A243" s="126"/>
      <c r="B243" s="421"/>
      <c r="C243" s="526"/>
      <c r="D243" s="286" t="s">
        <v>432</v>
      </c>
      <c r="E243" s="527"/>
      <c r="F243" s="454"/>
      <c r="G243" s="527"/>
      <c r="H243" s="510"/>
      <c r="I243" s="510"/>
      <c r="J243" s="511"/>
      <c r="K243" s="222" t="s">
        <v>347</v>
      </c>
      <c r="L243" s="512"/>
      <c r="M243" s="513"/>
      <c r="N243" s="514"/>
      <c r="O243" s="514"/>
      <c r="P243" s="514"/>
      <c r="Q243" s="452"/>
      <c r="R243" s="452"/>
      <c r="S243" s="452"/>
      <c r="T243" s="452"/>
      <c r="U243" s="452"/>
      <c r="V243" s="452"/>
      <c r="W243" s="452"/>
      <c r="X243" s="452"/>
      <c r="Y243" s="452"/>
      <c r="Z243" s="452"/>
      <c r="AA243" s="452"/>
      <c r="AB243" s="452"/>
      <c r="AC243" s="378">
        <f t="shared" si="90"/>
        <v>0</v>
      </c>
      <c r="AD243" s="284"/>
      <c r="AE243" s="241"/>
      <c r="AF243" s="194"/>
      <c r="AG243" s="194"/>
      <c r="AH243" s="194"/>
      <c r="AI243" s="194"/>
    </row>
    <row r="244">
      <c r="A244" s="126"/>
      <c r="B244" s="421"/>
      <c r="C244" s="515">
        <v>14.0</v>
      </c>
      <c r="D244" s="516" t="s">
        <v>433</v>
      </c>
      <c r="E244" s="198" t="s">
        <v>326</v>
      </c>
      <c r="F244" s="198" t="s">
        <v>305</v>
      </c>
      <c r="G244" s="198" t="s">
        <v>327</v>
      </c>
      <c r="H244" s="198" t="s">
        <v>328</v>
      </c>
      <c r="I244" s="198" t="s">
        <v>187</v>
      </c>
      <c r="J244" s="198" t="s">
        <v>188</v>
      </c>
      <c r="K244" s="517" t="s">
        <v>347</v>
      </c>
      <c r="L244" s="518">
        <v>3.169045227E9</v>
      </c>
      <c r="M244" s="519" t="s">
        <v>434</v>
      </c>
      <c r="N244" s="520"/>
      <c r="O244" s="520">
        <v>45506.0</v>
      </c>
      <c r="P244" s="520">
        <f>O244+180-1</f>
        <v>45685</v>
      </c>
      <c r="Q244" s="521"/>
      <c r="R244" s="521"/>
      <c r="S244" s="400">
        <v>3.169045227E9</v>
      </c>
      <c r="T244" s="400"/>
      <c r="U244" s="521"/>
      <c r="V244" s="521"/>
      <c r="W244" s="521"/>
      <c r="X244" s="521"/>
      <c r="Y244" s="521"/>
      <c r="Z244" s="521"/>
      <c r="AA244" s="521"/>
      <c r="AB244" s="521"/>
      <c r="AC244" s="522">
        <v>3.169045227E9</v>
      </c>
      <c r="AD244" s="284"/>
      <c r="AE244" s="241"/>
      <c r="AF244" s="194"/>
      <c r="AG244" s="194"/>
      <c r="AH244" s="194"/>
      <c r="AI244" s="194"/>
    </row>
    <row r="245" hidden="1">
      <c r="A245" s="126"/>
      <c r="B245" s="421"/>
      <c r="C245" s="441"/>
      <c r="D245" s="220"/>
      <c r="E245" s="207"/>
      <c r="F245" s="442"/>
      <c r="G245" s="207"/>
      <c r="H245" s="206"/>
      <c r="I245" s="206"/>
      <c r="J245" s="523"/>
      <c r="K245" s="523" t="s">
        <v>347</v>
      </c>
      <c r="L245" s="245"/>
      <c r="M245" s="524"/>
      <c r="N245" s="389"/>
      <c r="O245" s="389"/>
      <c r="P245" s="389"/>
      <c r="Q245" s="447"/>
      <c r="R245" s="447"/>
      <c r="S245" s="447" t="str">
        <f t="shared" ref="S245:T245" si="91">R245</f>
        <v/>
      </c>
      <c r="T245" s="447" t="str">
        <f t="shared" si="91"/>
        <v/>
      </c>
      <c r="U245" s="447"/>
      <c r="V245" s="448">
        <f>L244*95%</f>
        <v>3010592966</v>
      </c>
      <c r="W245" s="447"/>
      <c r="X245" s="447"/>
      <c r="Y245" s="447"/>
      <c r="Z245" s="447"/>
      <c r="AA245" s="447"/>
      <c r="AB245" s="447"/>
      <c r="AC245" s="449">
        <f t="shared" ref="AC245:AC253" si="92">SUM(Q245:AB245)</f>
        <v>3010592966</v>
      </c>
      <c r="AD245" s="284"/>
      <c r="AE245" s="241"/>
      <c r="AF245" s="194"/>
      <c r="AG245" s="194"/>
      <c r="AH245" s="194"/>
      <c r="AI245" s="194"/>
    </row>
    <row r="246" hidden="1">
      <c r="A246" s="126"/>
      <c r="B246" s="421"/>
      <c r="C246" s="182"/>
      <c r="D246" s="250" t="s">
        <v>435</v>
      </c>
      <c r="E246" s="224"/>
      <c r="F246" s="450"/>
      <c r="G246" s="224"/>
      <c r="H246" s="222"/>
      <c r="I246" s="222"/>
      <c r="J246" s="222"/>
      <c r="K246" s="222" t="s">
        <v>347</v>
      </c>
      <c r="L246" s="346"/>
      <c r="M246" s="451"/>
      <c r="N246" s="365"/>
      <c r="O246" s="365"/>
      <c r="P246" s="365"/>
      <c r="Q246" s="452"/>
      <c r="R246" s="452"/>
      <c r="S246" s="452"/>
      <c r="T246" s="238"/>
      <c r="U246" s="452"/>
      <c r="V246" s="275">
        <f>L244</f>
        <v>3169045227</v>
      </c>
      <c r="W246" s="452"/>
      <c r="X246" s="452"/>
      <c r="Y246" s="452"/>
      <c r="Z246" s="452"/>
      <c r="AA246" s="452"/>
      <c r="AB246" s="452"/>
      <c r="AC246" s="231">
        <f t="shared" si="92"/>
        <v>3169045227</v>
      </c>
      <c r="AD246" s="284"/>
      <c r="AE246" s="241"/>
      <c r="AF246" s="194"/>
      <c r="AG246" s="194"/>
      <c r="AH246" s="194"/>
      <c r="AI246" s="194"/>
    </row>
    <row r="247" hidden="1">
      <c r="A247" s="126"/>
      <c r="B247" s="181"/>
      <c r="C247" s="182"/>
      <c r="D247" s="286" t="s">
        <v>194</v>
      </c>
      <c r="E247" s="233"/>
      <c r="F247" s="233"/>
      <c r="G247" s="233"/>
      <c r="H247" s="234"/>
      <c r="I247" s="234"/>
      <c r="J247" s="222"/>
      <c r="K247" s="222" t="s">
        <v>347</v>
      </c>
      <c r="L247" s="287"/>
      <c r="M247" s="236"/>
      <c r="N247" s="285"/>
      <c r="O247" s="285"/>
      <c r="P247" s="285"/>
      <c r="Q247" s="288"/>
      <c r="R247" s="288"/>
      <c r="S247" s="288"/>
      <c r="T247" s="288"/>
      <c r="U247" s="288"/>
      <c r="V247" s="275">
        <f t="shared" ref="V247:V248" si="93">V246</f>
        <v>3169045227</v>
      </c>
      <c r="W247" s="288"/>
      <c r="X247" s="288"/>
      <c r="Y247" s="288"/>
      <c r="Z247" s="288"/>
      <c r="AA247" s="288"/>
      <c r="AB247" s="288"/>
      <c r="AC247" s="378">
        <f t="shared" si="92"/>
        <v>3169045227</v>
      </c>
      <c r="AD247" s="271"/>
      <c r="AE247" s="241"/>
      <c r="AF247" s="194"/>
      <c r="AG247" s="194"/>
      <c r="AH247" s="194"/>
      <c r="AI247" s="194"/>
    </row>
    <row r="248" hidden="1">
      <c r="A248" s="126"/>
      <c r="B248" s="181"/>
      <c r="C248" s="182"/>
      <c r="D248" s="286" t="s">
        <v>436</v>
      </c>
      <c r="E248" s="233"/>
      <c r="F248" s="233"/>
      <c r="G248" s="233"/>
      <c r="H248" s="234"/>
      <c r="I248" s="234"/>
      <c r="J248" s="222"/>
      <c r="K248" s="222" t="s">
        <v>347</v>
      </c>
      <c r="L248" s="287"/>
      <c r="M248" s="236"/>
      <c r="N248" s="285"/>
      <c r="O248" s="285"/>
      <c r="P248" s="285"/>
      <c r="Q248" s="288"/>
      <c r="R248" s="288"/>
      <c r="S248" s="288"/>
      <c r="T248" s="288"/>
      <c r="U248" s="288"/>
      <c r="V248" s="275">
        <f t="shared" si="93"/>
        <v>3169045227</v>
      </c>
      <c r="W248" s="288"/>
      <c r="X248" s="288"/>
      <c r="Y248" s="288"/>
      <c r="Z248" s="288"/>
      <c r="AA248" s="288"/>
      <c r="AB248" s="288"/>
      <c r="AC248" s="378">
        <f t="shared" si="92"/>
        <v>3169045227</v>
      </c>
      <c r="AD248" s="271"/>
      <c r="AE248" s="241"/>
      <c r="AF248" s="194"/>
      <c r="AG248" s="194"/>
      <c r="AH248" s="194"/>
      <c r="AI248" s="194"/>
    </row>
    <row r="249">
      <c r="A249" s="126"/>
      <c r="B249" s="432"/>
      <c r="C249" s="433">
        <v>15.0</v>
      </c>
      <c r="D249" s="528" t="s">
        <v>437</v>
      </c>
      <c r="E249" s="198" t="s">
        <v>186</v>
      </c>
      <c r="F249" s="198" t="s">
        <v>135</v>
      </c>
      <c r="G249" s="198" t="s">
        <v>135</v>
      </c>
      <c r="H249" s="198" t="s">
        <v>218</v>
      </c>
      <c r="I249" s="198" t="s">
        <v>253</v>
      </c>
      <c r="J249" s="198" t="s">
        <v>254</v>
      </c>
      <c r="K249" s="529" t="s">
        <v>347</v>
      </c>
      <c r="L249" s="530">
        <f>(131781624+129189624)*1.12</f>
        <v>292287797.8</v>
      </c>
      <c r="M249" s="531" t="s">
        <v>438</v>
      </c>
      <c r="N249" s="532"/>
      <c r="O249" s="532">
        <v>45695.0</v>
      </c>
      <c r="P249" s="532">
        <v>46059.0</v>
      </c>
      <c r="Q249" s="439"/>
      <c r="R249" s="439"/>
      <c r="S249" s="439"/>
      <c r="T249" s="439"/>
      <c r="U249" s="439"/>
      <c r="V249" s="439"/>
      <c r="W249" s="439"/>
      <c r="X249" s="439"/>
      <c r="Y249" s="439"/>
      <c r="Z249" s="439"/>
      <c r="AA249" s="439"/>
      <c r="AB249" s="439"/>
      <c r="AC249" s="440">
        <f t="shared" si="92"/>
        <v>0</v>
      </c>
      <c r="AD249" s="271"/>
      <c r="AE249" s="241"/>
      <c r="AF249" s="194"/>
      <c r="AG249" s="194"/>
      <c r="AH249" s="194"/>
      <c r="AI249" s="194"/>
    </row>
    <row r="250" hidden="1">
      <c r="A250" s="126"/>
      <c r="B250" s="432"/>
      <c r="C250" s="441"/>
      <c r="D250" s="533"/>
      <c r="E250" s="534"/>
      <c r="F250" s="534"/>
      <c r="G250" s="534"/>
      <c r="H250" s="523"/>
      <c r="I250" s="523"/>
      <c r="J250" s="523"/>
      <c r="K250" s="523" t="s">
        <v>347</v>
      </c>
      <c r="L250" s="463"/>
      <c r="M250" s="535"/>
      <c r="N250" s="464"/>
      <c r="O250" s="464"/>
      <c r="P250" s="464"/>
      <c r="Q250" s="447"/>
      <c r="R250" s="447">
        <f>L236/12</f>
        <v>0</v>
      </c>
      <c r="S250" s="447">
        <f>L249/12</f>
        <v>24357316.48</v>
      </c>
      <c r="T250" s="447">
        <f t="shared" ref="T250:AB250" si="94">S250</f>
        <v>24357316.48</v>
      </c>
      <c r="U250" s="447">
        <f t="shared" si="94"/>
        <v>24357316.48</v>
      </c>
      <c r="V250" s="447">
        <f t="shared" si="94"/>
        <v>24357316.48</v>
      </c>
      <c r="W250" s="447">
        <f t="shared" si="94"/>
        <v>24357316.48</v>
      </c>
      <c r="X250" s="447">
        <f t="shared" si="94"/>
        <v>24357316.48</v>
      </c>
      <c r="Y250" s="447">
        <f t="shared" si="94"/>
        <v>24357316.48</v>
      </c>
      <c r="Z250" s="447">
        <f t="shared" si="94"/>
        <v>24357316.48</v>
      </c>
      <c r="AA250" s="447">
        <f t="shared" si="94"/>
        <v>24357316.48</v>
      </c>
      <c r="AB250" s="447">
        <f t="shared" si="94"/>
        <v>24357316.48</v>
      </c>
      <c r="AC250" s="449">
        <f t="shared" si="92"/>
        <v>243573164.8</v>
      </c>
      <c r="AD250" s="264"/>
      <c r="AE250" s="241"/>
      <c r="AF250" s="194"/>
      <c r="AG250" s="194"/>
      <c r="AH250" s="194"/>
      <c r="AI250" s="194"/>
    </row>
    <row r="251" hidden="1">
      <c r="A251" s="126"/>
      <c r="B251" s="432"/>
      <c r="C251" s="182"/>
      <c r="D251" s="250" t="s">
        <v>439</v>
      </c>
      <c r="E251" s="470"/>
      <c r="F251" s="470"/>
      <c r="G251" s="470"/>
      <c r="H251" s="456"/>
      <c r="I251" s="456"/>
      <c r="J251" s="222"/>
      <c r="K251" s="222" t="s">
        <v>347</v>
      </c>
      <c r="L251" s="536"/>
      <c r="M251" s="473"/>
      <c r="N251" s="537"/>
      <c r="O251" s="537"/>
      <c r="P251" s="537"/>
      <c r="Q251" s="452"/>
      <c r="R251" s="452">
        <f>R250</f>
        <v>0</v>
      </c>
      <c r="S251" s="270">
        <v>2.413984E7</v>
      </c>
      <c r="T251" s="270">
        <v>2.413984E7</v>
      </c>
      <c r="U251" s="229">
        <v>2.413984E7</v>
      </c>
      <c r="V251" s="229">
        <f>U251</f>
        <v>24139840</v>
      </c>
      <c r="W251" s="452"/>
      <c r="X251" s="452"/>
      <c r="Y251" s="452"/>
      <c r="Z251" s="452"/>
      <c r="AA251" s="452"/>
      <c r="AB251" s="452"/>
      <c r="AC251" s="538">
        <f t="shared" si="92"/>
        <v>96559360</v>
      </c>
      <c r="AD251" s="273"/>
      <c r="AE251" s="192"/>
      <c r="AF251" s="194"/>
      <c r="AG251" s="194"/>
      <c r="AH251" s="194"/>
      <c r="AI251" s="194"/>
    </row>
    <row r="252" hidden="1">
      <c r="A252" s="126"/>
      <c r="B252" s="432"/>
      <c r="C252" s="526"/>
      <c r="D252" s="286" t="s">
        <v>194</v>
      </c>
      <c r="E252" s="527"/>
      <c r="F252" s="454"/>
      <c r="G252" s="527"/>
      <c r="H252" s="510"/>
      <c r="I252" s="510"/>
      <c r="J252" s="511"/>
      <c r="K252" s="222" t="s">
        <v>347</v>
      </c>
      <c r="L252" s="512"/>
      <c r="M252" s="513"/>
      <c r="N252" s="514"/>
      <c r="O252" s="514"/>
      <c r="P252" s="514"/>
      <c r="Q252" s="452"/>
      <c r="R252" s="452"/>
      <c r="S252" s="270">
        <v>2.413984E7</v>
      </c>
      <c r="T252" s="270">
        <v>2.413984E7</v>
      </c>
      <c r="U252" s="452"/>
      <c r="V252" s="452"/>
      <c r="W252" s="452"/>
      <c r="X252" s="452"/>
      <c r="Y252" s="452"/>
      <c r="Z252" s="452"/>
      <c r="AA252" s="452"/>
      <c r="AB252" s="452"/>
      <c r="AC252" s="378">
        <f t="shared" si="92"/>
        <v>48279680</v>
      </c>
      <c r="AD252" s="273"/>
      <c r="AE252" s="192"/>
      <c r="AF252" s="194"/>
      <c r="AG252" s="194"/>
      <c r="AH252" s="194"/>
      <c r="AI252" s="194"/>
    </row>
    <row r="253" hidden="1">
      <c r="A253" s="126"/>
      <c r="B253" s="432"/>
      <c r="C253" s="526"/>
      <c r="D253" s="286" t="s">
        <v>440</v>
      </c>
      <c r="E253" s="527"/>
      <c r="F253" s="454"/>
      <c r="G253" s="527"/>
      <c r="H253" s="510"/>
      <c r="I253" s="510"/>
      <c r="J253" s="511"/>
      <c r="K253" s="222" t="s">
        <v>347</v>
      </c>
      <c r="L253" s="512"/>
      <c r="M253" s="513"/>
      <c r="N253" s="514"/>
      <c r="O253" s="514"/>
      <c r="P253" s="514"/>
      <c r="Q253" s="452"/>
      <c r="R253" s="452"/>
      <c r="S253" s="270">
        <v>2.413984E7</v>
      </c>
      <c r="T253" s="270">
        <v>2.413984E7</v>
      </c>
      <c r="U253" s="452"/>
      <c r="V253" s="452"/>
      <c r="W253" s="452"/>
      <c r="X253" s="452"/>
      <c r="Y253" s="452"/>
      <c r="Z253" s="452"/>
      <c r="AA253" s="452"/>
      <c r="AB253" s="452"/>
      <c r="AC253" s="378">
        <f t="shared" si="92"/>
        <v>48279680</v>
      </c>
      <c r="AD253" s="273"/>
      <c r="AE253" s="192"/>
      <c r="AF253" s="194"/>
      <c r="AG253" s="194"/>
      <c r="AH253" s="194"/>
      <c r="AI253" s="194"/>
    </row>
    <row r="254" hidden="1">
      <c r="A254" s="126"/>
      <c r="B254" s="181"/>
      <c r="C254" s="289"/>
      <c r="D254" s="290" t="s">
        <v>441</v>
      </c>
      <c r="E254" s="487"/>
      <c r="F254" s="487"/>
      <c r="G254" s="487"/>
      <c r="H254" s="291"/>
      <c r="I254" s="291"/>
      <c r="J254" s="292"/>
      <c r="K254" s="292" t="s">
        <v>347</v>
      </c>
      <c r="L254" s="293"/>
      <c r="M254" s="294"/>
      <c r="N254" s="295"/>
      <c r="O254" s="295"/>
      <c r="P254" s="295"/>
      <c r="Q254" s="296">
        <f t="shared" ref="Q254:AC254" si="95">Q164+Q165+Q166+Q171+Q172+Q173+Q178+Q183+Q184+Q185+Q190+Q191+Q192+Q197+Q198+Q199+Q204+Q205+Q206+Q211+Q212+Q217+Q218+Q223+Q224+Q229+Q230+Q235</f>
        <v>1545949472</v>
      </c>
      <c r="R254" s="296">
        <f t="shared" si="95"/>
        <v>1553632983</v>
      </c>
      <c r="S254" s="296">
        <f t="shared" si="95"/>
        <v>1552164453</v>
      </c>
      <c r="T254" s="296">
        <f t="shared" si="95"/>
        <v>1529090071</v>
      </c>
      <c r="U254" s="296">
        <f t="shared" si="95"/>
        <v>1529090071</v>
      </c>
      <c r="V254" s="296">
        <f t="shared" si="95"/>
        <v>1529090071</v>
      </c>
      <c r="W254" s="296">
        <f t="shared" si="95"/>
        <v>331739137.6</v>
      </c>
      <c r="X254" s="296">
        <f t="shared" si="95"/>
        <v>258875522.9</v>
      </c>
      <c r="Y254" s="296">
        <f t="shared" si="95"/>
        <v>217537476.2</v>
      </c>
      <c r="Z254" s="296">
        <f t="shared" si="95"/>
        <v>71092214.17</v>
      </c>
      <c r="AA254" s="296">
        <f t="shared" si="95"/>
        <v>18396415.5</v>
      </c>
      <c r="AB254" s="296">
        <f t="shared" si="95"/>
        <v>18396415.5</v>
      </c>
      <c r="AC254" s="297">
        <f t="shared" si="95"/>
        <v>10155054302</v>
      </c>
      <c r="AD254" s="264"/>
      <c r="AE254" s="241"/>
      <c r="AF254" s="194"/>
      <c r="AG254" s="194"/>
      <c r="AH254" s="194"/>
      <c r="AI254" s="194"/>
    </row>
    <row r="255" hidden="1">
      <c r="A255" s="126"/>
      <c r="B255" s="298"/>
      <c r="C255" s="299"/>
      <c r="D255" s="300" t="s">
        <v>442</v>
      </c>
      <c r="E255" s="488"/>
      <c r="F255" s="488"/>
      <c r="G255" s="488"/>
      <c r="H255" s="301"/>
      <c r="I255" s="301"/>
      <c r="J255" s="489"/>
      <c r="K255" s="489" t="s">
        <v>347</v>
      </c>
      <c r="L255" s="304"/>
      <c r="M255" s="305"/>
      <c r="N255" s="306"/>
      <c r="O255" s="306"/>
      <c r="P255" s="306"/>
      <c r="Q255" s="490">
        <f t="shared" ref="Q255:S255" si="96">Q167+Q174+Q179+Q186+Q193+Q200+Q207+Q213+Q219+Q225+Q231+Q236+Q251+Q241+Q246</f>
        <v>1593131257</v>
      </c>
      <c r="R255" s="490">
        <f t="shared" si="96"/>
        <v>1593131257</v>
      </c>
      <c r="S255" s="490">
        <f t="shared" si="96"/>
        <v>1615802567</v>
      </c>
      <c r="T255" s="490">
        <f t="shared" ref="T255:T257" si="99">T167+T174+T179+T186+T193+T200+T204+T213+T219+T225+T231+T236+T251+T241+T246</f>
        <v>1547784161</v>
      </c>
      <c r="U255" s="490">
        <f t="shared" ref="U255:AB255" si="97">U167+U174+U179+U186+U193+U200+U207+U213+U219+U225+U231+U236+U251+U241+U246</f>
        <v>1620629175</v>
      </c>
      <c r="V255" s="490">
        <f t="shared" si="97"/>
        <v>4783287079</v>
      </c>
      <c r="W255" s="307">
        <f t="shared" si="97"/>
        <v>0</v>
      </c>
      <c r="X255" s="307">
        <f t="shared" si="97"/>
        <v>0</v>
      </c>
      <c r="Y255" s="307">
        <f t="shared" si="97"/>
        <v>0</v>
      </c>
      <c r="Z255" s="307">
        <f t="shared" si="97"/>
        <v>0</v>
      </c>
      <c r="AA255" s="307">
        <f t="shared" si="97"/>
        <v>0</v>
      </c>
      <c r="AB255" s="307">
        <f t="shared" si="97"/>
        <v>0</v>
      </c>
      <c r="AC255" s="309">
        <f t="shared" ref="AC255:AC258" si="101">SUM(Q255:AB255)</f>
        <v>12753765496</v>
      </c>
      <c r="AD255" s="499"/>
      <c r="AE255" s="192"/>
      <c r="AF255" s="310">
        <f t="shared" ref="AF255:AF256" si="102">AC255-AC256</f>
        <v>2907986933</v>
      </c>
      <c r="AG255" s="311" t="s">
        <v>226</v>
      </c>
      <c r="AH255" s="194"/>
      <c r="AI255" s="194"/>
    </row>
    <row r="256" hidden="1">
      <c r="A256" s="126"/>
      <c r="B256" s="298"/>
      <c r="C256" s="312"/>
      <c r="D256" s="313" t="s">
        <v>443</v>
      </c>
      <c r="E256" s="331"/>
      <c r="F256" s="331"/>
      <c r="G256" s="331"/>
      <c r="H256" s="199"/>
      <c r="I256" s="199"/>
      <c r="J256" s="222"/>
      <c r="K256" s="222" t="s">
        <v>347</v>
      </c>
      <c r="L256" s="287"/>
      <c r="M256" s="236"/>
      <c r="N256" s="285"/>
      <c r="O256" s="285"/>
      <c r="P256" s="285"/>
      <c r="Q256" s="314">
        <f t="shared" ref="Q256:S256" si="98">Q168+Q175+Q180+Q187+Q194+Q201+Q208+Q214+Q220+Q226+Q232+Q237+Q252+Q242+Q247</f>
        <v>1574734842</v>
      </c>
      <c r="R256" s="314">
        <f t="shared" si="98"/>
        <v>1574734842</v>
      </c>
      <c r="S256" s="314">
        <f t="shared" si="98"/>
        <v>1521341071</v>
      </c>
      <c r="T256" s="314">
        <f t="shared" si="99"/>
        <v>733643968</v>
      </c>
      <c r="U256" s="314">
        <f t="shared" ref="U256:V256" si="100">U168+U175+U180+U187+U194+U201+U208+U214+U220+U226+U232+U237+U252+U242+U247</f>
        <v>656808330</v>
      </c>
      <c r="V256" s="314">
        <f t="shared" si="100"/>
        <v>3784515510</v>
      </c>
      <c r="W256" s="288"/>
      <c r="X256" s="288"/>
      <c r="Y256" s="288"/>
      <c r="Z256" s="288"/>
      <c r="AA256" s="288"/>
      <c r="AB256" s="288"/>
      <c r="AC256" s="378">
        <f t="shared" si="101"/>
        <v>9845778563</v>
      </c>
      <c r="AD256" s="214"/>
      <c r="AE256" s="192"/>
      <c r="AF256" s="316">
        <f t="shared" si="102"/>
        <v>2544034406</v>
      </c>
      <c r="AG256" s="311" t="s">
        <v>228</v>
      </c>
      <c r="AH256" s="194"/>
      <c r="AI256" s="194"/>
    </row>
    <row r="257" hidden="1">
      <c r="A257" s="126"/>
      <c r="B257" s="298"/>
      <c r="C257" s="317"/>
      <c r="D257" s="318" t="s">
        <v>444</v>
      </c>
      <c r="E257" s="493"/>
      <c r="F257" s="493"/>
      <c r="G257" s="493"/>
      <c r="H257" s="494"/>
      <c r="I257" s="494"/>
      <c r="J257" s="320"/>
      <c r="K257" s="320" t="s">
        <v>347</v>
      </c>
      <c r="L257" s="321"/>
      <c r="M257" s="322"/>
      <c r="N257" s="323"/>
      <c r="O257" s="323"/>
      <c r="P257" s="323"/>
      <c r="Q257" s="325">
        <f t="shared" ref="Q257:S257" si="103">Q169+Q176+Q181+Q188+Q195+Q202+Q209+Q215+Q221+Q227+Q233+Q238+Q253+Q243+Q248</f>
        <v>1488790881</v>
      </c>
      <c r="R257" s="325">
        <f t="shared" si="103"/>
        <v>1488790881</v>
      </c>
      <c r="S257" s="325">
        <f t="shared" si="103"/>
        <v>975437619</v>
      </c>
      <c r="T257" s="325">
        <f t="shared" si="99"/>
        <v>138341501.8</v>
      </c>
      <c r="U257" s="325">
        <f t="shared" ref="U257:V257" si="104">U169+U176+U181+U188+U195+U202+U209+U215+U221+U227+U233+U238+U253+U243+U248</f>
        <v>41338047</v>
      </c>
      <c r="V257" s="325">
        <f t="shared" si="104"/>
        <v>3169045227</v>
      </c>
      <c r="W257" s="324"/>
      <c r="X257" s="324"/>
      <c r="Y257" s="324"/>
      <c r="Z257" s="324"/>
      <c r="AA257" s="324"/>
      <c r="AB257" s="324"/>
      <c r="AC257" s="539">
        <f t="shared" si="101"/>
        <v>7301744157</v>
      </c>
      <c r="AD257" s="214"/>
      <c r="AE257" s="192"/>
      <c r="AF257" s="328">
        <f>AC257</f>
        <v>7301744157</v>
      </c>
      <c r="AG257" s="311" t="s">
        <v>148</v>
      </c>
      <c r="AH257" s="194"/>
      <c r="AI257" s="194"/>
    </row>
    <row r="258">
      <c r="A258" s="126"/>
      <c r="B258" s="181">
        <v>4.0</v>
      </c>
      <c r="C258" s="329" t="s">
        <v>32</v>
      </c>
      <c r="D258" s="330"/>
      <c r="E258" s="496"/>
      <c r="F258" s="496"/>
      <c r="G258" s="496"/>
      <c r="H258" s="332"/>
      <c r="I258" s="332"/>
      <c r="J258" s="333"/>
      <c r="K258" s="333" t="s">
        <v>445</v>
      </c>
      <c r="L258" s="334">
        <f>L259+L265+L272+L277+L283+L290</f>
        <v>10558418939</v>
      </c>
      <c r="M258" s="335"/>
      <c r="N258" s="336"/>
      <c r="O258" s="336"/>
      <c r="P258" s="336"/>
      <c r="Q258" s="337">
        <f t="shared" ref="Q258:AB258" si="105">Q259+Q265+Q272+Q277+Q283+Q290</f>
        <v>824456242.5</v>
      </c>
      <c r="R258" s="337">
        <f t="shared" si="105"/>
        <v>824456242.5</v>
      </c>
      <c r="S258" s="337">
        <f t="shared" si="105"/>
        <v>824456242.5</v>
      </c>
      <c r="T258" s="337">
        <f t="shared" si="105"/>
        <v>824456242.5</v>
      </c>
      <c r="U258" s="337">
        <f t="shared" si="105"/>
        <v>824456242.5</v>
      </c>
      <c r="V258" s="337">
        <f t="shared" si="105"/>
        <v>824456242.5</v>
      </c>
      <c r="W258" s="337">
        <f t="shared" si="105"/>
        <v>824456242.5</v>
      </c>
      <c r="X258" s="337">
        <f t="shared" si="105"/>
        <v>824456242.5</v>
      </c>
      <c r="Y258" s="337">
        <f t="shared" si="105"/>
        <v>824456242.5</v>
      </c>
      <c r="Z258" s="337">
        <f t="shared" si="105"/>
        <v>824456242.5</v>
      </c>
      <c r="AA258" s="337">
        <f t="shared" si="105"/>
        <v>824456242.5</v>
      </c>
      <c r="AB258" s="337">
        <f t="shared" si="105"/>
        <v>824456242.5</v>
      </c>
      <c r="AC258" s="338">
        <f t="shared" si="101"/>
        <v>9893474910</v>
      </c>
      <c r="AD258" s="178">
        <f>AC258-AE258</f>
        <v>-0.4799995422</v>
      </c>
      <c r="AE258" s="192">
        <f>'Proker New'!Y47</f>
        <v>9893474910</v>
      </c>
      <c r="AF258" s="193" t="str">
        <f>C258</f>
        <v>Sumatra Barat - Padang (PDG)</v>
      </c>
      <c r="AG258" s="194"/>
      <c r="AH258" s="194"/>
      <c r="AI258" s="194"/>
    </row>
    <row r="259">
      <c r="A259" s="126"/>
      <c r="B259" s="195"/>
      <c r="C259" s="196">
        <v>1.0</v>
      </c>
      <c r="D259" s="197" t="s">
        <v>446</v>
      </c>
      <c r="E259" s="198" t="s">
        <v>186</v>
      </c>
      <c r="F259" s="198" t="s">
        <v>103</v>
      </c>
      <c r="G259" s="198" t="s">
        <v>86</v>
      </c>
      <c r="H259" s="198" t="s">
        <v>86</v>
      </c>
      <c r="I259" s="198" t="s">
        <v>187</v>
      </c>
      <c r="J259" s="198" t="s">
        <v>188</v>
      </c>
      <c r="K259" s="199" t="s">
        <v>445</v>
      </c>
      <c r="L259" s="540">
        <v>3.45086568E9</v>
      </c>
      <c r="M259" s="201" t="s">
        <v>447</v>
      </c>
      <c r="N259" s="541"/>
      <c r="O259" s="541">
        <v>45597.0</v>
      </c>
      <c r="P259" s="541">
        <v>45961.0</v>
      </c>
      <c r="Q259" s="204">
        <v>2.39056685E8</v>
      </c>
      <c r="R259" s="204">
        <v>2.39056685E8</v>
      </c>
      <c r="S259" s="204">
        <v>2.39056685E8</v>
      </c>
      <c r="T259" s="204">
        <v>2.39056685E8</v>
      </c>
      <c r="U259" s="204">
        <v>2.39056685E8</v>
      </c>
      <c r="V259" s="204">
        <v>2.39056685E8</v>
      </c>
      <c r="W259" s="204">
        <v>2.39056685E8</v>
      </c>
      <c r="X259" s="204">
        <v>2.39056685E8</v>
      </c>
      <c r="Y259" s="204">
        <v>2.39056685E8</v>
      </c>
      <c r="Z259" s="204">
        <v>2.39056685E8</v>
      </c>
      <c r="AA259" s="204">
        <v>2.39056685E8</v>
      </c>
      <c r="AB259" s="204">
        <v>2.39056685E8</v>
      </c>
      <c r="AC259" s="205">
        <v>2.86868022E9</v>
      </c>
      <c r="AD259" s="178">
        <f>SUM(Q259:AB259)-AC259</f>
        <v>0</v>
      </c>
      <c r="AE259" s="192"/>
      <c r="AF259" s="194"/>
      <c r="AG259" s="194"/>
      <c r="AH259" s="194"/>
      <c r="AI259" s="194"/>
    </row>
    <row r="260" hidden="1">
      <c r="A260" s="126"/>
      <c r="B260" s="195"/>
      <c r="C260" s="206"/>
      <c r="D260" s="207"/>
      <c r="E260" s="207"/>
      <c r="F260" s="207"/>
      <c r="G260" s="207"/>
      <c r="H260" s="206"/>
      <c r="I260" s="206"/>
      <c r="J260" s="206"/>
      <c r="K260" s="206" t="s">
        <v>445</v>
      </c>
      <c r="L260" s="245"/>
      <c r="M260" s="209" t="s">
        <v>447</v>
      </c>
      <c r="N260" s="367"/>
      <c r="O260" s="367">
        <v>45597.0</v>
      </c>
      <c r="P260" s="367">
        <v>45961.0</v>
      </c>
      <c r="Q260" s="249">
        <f>L259/12</f>
        <v>287572140</v>
      </c>
      <c r="R260" s="249">
        <f t="shared" ref="R260:Z260" si="106">Q260</f>
        <v>287572140</v>
      </c>
      <c r="S260" s="249">
        <f t="shared" si="106"/>
        <v>287572140</v>
      </c>
      <c r="T260" s="249">
        <f t="shared" si="106"/>
        <v>287572140</v>
      </c>
      <c r="U260" s="249">
        <f t="shared" si="106"/>
        <v>287572140</v>
      </c>
      <c r="V260" s="249">
        <f t="shared" si="106"/>
        <v>287572140</v>
      </c>
      <c r="W260" s="249">
        <f t="shared" si="106"/>
        <v>287572140</v>
      </c>
      <c r="X260" s="249">
        <f t="shared" si="106"/>
        <v>287572140</v>
      </c>
      <c r="Y260" s="249">
        <f t="shared" si="106"/>
        <v>287572140</v>
      </c>
      <c r="Z260" s="249">
        <f t="shared" si="106"/>
        <v>287572140</v>
      </c>
      <c r="AA260" s="212"/>
      <c r="AB260" s="212"/>
      <c r="AC260" s="213">
        <f t="shared" ref="AC260:AC264" si="107">SUM(Q260:AB260)</f>
        <v>2875721400</v>
      </c>
      <c r="AD260" s="273"/>
      <c r="AE260" s="241"/>
      <c r="AF260" s="194"/>
      <c r="AG260" s="194"/>
      <c r="AH260" s="194"/>
      <c r="AI260" s="194"/>
    </row>
    <row r="261" hidden="1">
      <c r="A261" s="126"/>
      <c r="B261" s="195"/>
      <c r="C261" s="206"/>
      <c r="D261" s="207"/>
      <c r="E261" s="207"/>
      <c r="F261" s="207"/>
      <c r="G261" s="207"/>
      <c r="H261" s="206"/>
      <c r="I261" s="206"/>
      <c r="J261" s="221"/>
      <c r="K261" s="221" t="s">
        <v>445</v>
      </c>
      <c r="L261" s="280"/>
      <c r="M261" s="265"/>
      <c r="N261" s="283"/>
      <c r="O261" s="283">
        <f>P260+1</f>
        <v>45962</v>
      </c>
      <c r="P261" s="283"/>
      <c r="Q261" s="249"/>
      <c r="R261" s="249"/>
      <c r="S261" s="249"/>
      <c r="T261" s="504"/>
      <c r="U261" s="504"/>
      <c r="V261" s="212"/>
      <c r="W261" s="212"/>
      <c r="X261" s="212"/>
      <c r="Y261" s="212"/>
      <c r="Z261" s="212"/>
      <c r="AA261" s="212"/>
      <c r="AB261" s="212"/>
      <c r="AC261" s="213">
        <f t="shared" si="107"/>
        <v>0</v>
      </c>
      <c r="AD261" s="271"/>
      <c r="AE261" s="241"/>
      <c r="AF261" s="194"/>
      <c r="AG261" s="194"/>
      <c r="AH261" s="194"/>
      <c r="AI261" s="194"/>
    </row>
    <row r="262" hidden="1">
      <c r="A262" s="126"/>
      <c r="B262" s="195"/>
      <c r="C262" s="222"/>
      <c r="D262" s="250" t="s">
        <v>448</v>
      </c>
      <c r="E262" s="224"/>
      <c r="F262" s="224"/>
      <c r="G262" s="224"/>
      <c r="H262" s="222"/>
      <c r="I262" s="222"/>
      <c r="J262" s="222"/>
      <c r="K262" s="222" t="s">
        <v>445</v>
      </c>
      <c r="L262" s="225"/>
      <c r="M262" s="383"/>
      <c r="N262" s="285"/>
      <c r="O262" s="285"/>
      <c r="P262" s="285"/>
      <c r="Q262" s="228">
        <f t="shared" ref="Q262:Q264" si="109">287572140</f>
        <v>287572140</v>
      </c>
      <c r="R262" s="228">
        <f t="shared" ref="R262:S262" si="108">Q262</f>
        <v>287572140</v>
      </c>
      <c r="S262" s="228">
        <f t="shared" si="108"/>
        <v>287572140</v>
      </c>
      <c r="T262" s="229">
        <v>2.59074E8</v>
      </c>
      <c r="U262" s="229">
        <v>2.59074E8</v>
      </c>
      <c r="V262" s="229">
        <v>2.59074E8</v>
      </c>
      <c r="W262" s="230"/>
      <c r="X262" s="230"/>
      <c r="Y262" s="230"/>
      <c r="Z262" s="230"/>
      <c r="AA262" s="230"/>
      <c r="AB262" s="230"/>
      <c r="AC262" s="231">
        <f t="shared" si="107"/>
        <v>1639938420</v>
      </c>
      <c r="AD262" s="264"/>
      <c r="AE262" s="241"/>
      <c r="AF262" s="194"/>
      <c r="AG262" s="194"/>
      <c r="AH262" s="194"/>
      <c r="AI262" s="194"/>
    </row>
    <row r="263" hidden="1">
      <c r="A263" s="126"/>
      <c r="B263" s="195"/>
      <c r="C263" s="196"/>
      <c r="D263" s="286" t="s">
        <v>194</v>
      </c>
      <c r="E263" s="233"/>
      <c r="F263" s="233"/>
      <c r="G263" s="233"/>
      <c r="H263" s="234"/>
      <c r="I263" s="234"/>
      <c r="J263" s="222"/>
      <c r="K263" s="222" t="s">
        <v>445</v>
      </c>
      <c r="L263" s="346"/>
      <c r="M263" s="255"/>
      <c r="N263" s="365"/>
      <c r="O263" s="365"/>
      <c r="P263" s="365"/>
      <c r="Q263" s="228">
        <f t="shared" si="109"/>
        <v>287572140</v>
      </c>
      <c r="R263" s="228">
        <f t="shared" ref="R263:S263" si="110">Q263</f>
        <v>287572140</v>
      </c>
      <c r="S263" s="228">
        <f t="shared" si="110"/>
        <v>287572140</v>
      </c>
      <c r="T263" s="238"/>
      <c r="U263" s="238"/>
      <c r="V263" s="238"/>
      <c r="W263" s="238"/>
      <c r="X263" s="238"/>
      <c r="Y263" s="238"/>
      <c r="Z263" s="238"/>
      <c r="AA263" s="238"/>
      <c r="AB263" s="238"/>
      <c r="AC263" s="378">
        <f t="shared" si="107"/>
        <v>862716420</v>
      </c>
      <c r="AD263" s="214"/>
      <c r="AE263" s="192"/>
      <c r="AF263" s="194"/>
      <c r="AG263" s="194"/>
      <c r="AH263" s="194"/>
      <c r="AI263" s="194"/>
    </row>
    <row r="264" hidden="1">
      <c r="A264" s="126"/>
      <c r="B264" s="195"/>
      <c r="C264" s="196"/>
      <c r="D264" s="286" t="s">
        <v>449</v>
      </c>
      <c r="E264" s="233"/>
      <c r="F264" s="233"/>
      <c r="G264" s="233"/>
      <c r="H264" s="234"/>
      <c r="I264" s="234"/>
      <c r="J264" s="222"/>
      <c r="K264" s="222" t="s">
        <v>445</v>
      </c>
      <c r="L264" s="346"/>
      <c r="M264" s="255"/>
      <c r="N264" s="365"/>
      <c r="O264" s="365"/>
      <c r="P264" s="365"/>
      <c r="Q264" s="228">
        <f t="shared" si="109"/>
        <v>287572140</v>
      </c>
      <c r="R264" s="228">
        <f t="shared" ref="R264:S264" si="111">Q264</f>
        <v>287572140</v>
      </c>
      <c r="S264" s="228">
        <f t="shared" si="111"/>
        <v>287572140</v>
      </c>
      <c r="T264" s="238"/>
      <c r="U264" s="238"/>
      <c r="V264" s="238"/>
      <c r="W264" s="238"/>
      <c r="X264" s="238"/>
      <c r="Y264" s="238"/>
      <c r="Z264" s="238"/>
      <c r="AA264" s="238"/>
      <c r="AB264" s="238"/>
      <c r="AC264" s="378">
        <f t="shared" si="107"/>
        <v>862716420</v>
      </c>
      <c r="AD264" s="214"/>
      <c r="AE264" s="192"/>
      <c r="AF264" s="194"/>
      <c r="AG264" s="194"/>
      <c r="AH264" s="194"/>
      <c r="AI264" s="194"/>
    </row>
    <row r="265">
      <c r="A265" s="126"/>
      <c r="B265" s="195"/>
      <c r="C265" s="196">
        <v>2.0</v>
      </c>
      <c r="D265" s="354" t="s">
        <v>450</v>
      </c>
      <c r="E265" s="198" t="s">
        <v>186</v>
      </c>
      <c r="F265" s="198" t="s">
        <v>103</v>
      </c>
      <c r="G265" s="198" t="s">
        <v>86</v>
      </c>
      <c r="H265" s="198" t="s">
        <v>86</v>
      </c>
      <c r="I265" s="198" t="s">
        <v>187</v>
      </c>
      <c r="J265" s="198" t="s">
        <v>188</v>
      </c>
      <c r="K265" s="199" t="s">
        <v>445</v>
      </c>
      <c r="L265" s="347">
        <v>5.35464E8</v>
      </c>
      <c r="M265" s="257" t="s">
        <v>451</v>
      </c>
      <c r="N265" s="366"/>
      <c r="O265" s="366">
        <v>45444.0</v>
      </c>
      <c r="P265" s="366">
        <v>45808.0</v>
      </c>
      <c r="Q265" s="204">
        <v>3.310375E7</v>
      </c>
      <c r="R265" s="204">
        <v>3.310375E7</v>
      </c>
      <c r="S265" s="204">
        <v>3.310375E7</v>
      </c>
      <c r="T265" s="204">
        <v>3.310375E7</v>
      </c>
      <c r="U265" s="204">
        <v>3.310375E7</v>
      </c>
      <c r="V265" s="204">
        <v>3.310375E7</v>
      </c>
      <c r="W265" s="204">
        <v>3.310375E7</v>
      </c>
      <c r="X265" s="204">
        <v>3.310375E7</v>
      </c>
      <c r="Y265" s="204">
        <v>3.310375E7</v>
      </c>
      <c r="Z265" s="204">
        <v>3.310375E7</v>
      </c>
      <c r="AA265" s="204">
        <v>3.310375E7</v>
      </c>
      <c r="AB265" s="204">
        <v>3.310375E7</v>
      </c>
      <c r="AC265" s="205">
        <v>3.97245E8</v>
      </c>
      <c r="AD265" s="178">
        <f>SUM(Q265:AB265)-AC265</f>
        <v>0</v>
      </c>
      <c r="AE265" s="192"/>
      <c r="AF265" s="194"/>
      <c r="AG265" s="194"/>
      <c r="AH265" s="194"/>
      <c r="AI265" s="194"/>
    </row>
    <row r="266" hidden="1">
      <c r="A266" s="126"/>
      <c r="B266" s="195"/>
      <c r="C266" s="206"/>
      <c r="D266" s="207"/>
      <c r="E266" s="207"/>
      <c r="F266" s="207"/>
      <c r="G266" s="207"/>
      <c r="H266" s="206"/>
      <c r="I266" s="206"/>
      <c r="J266" s="206"/>
      <c r="K266" s="206" t="s">
        <v>445</v>
      </c>
      <c r="L266" s="245">
        <v>4.824E8</v>
      </c>
      <c r="M266" s="209" t="s">
        <v>452</v>
      </c>
      <c r="N266" s="367"/>
      <c r="O266" s="367"/>
      <c r="P266" s="367">
        <v>45808.0</v>
      </c>
      <c r="Q266" s="249">
        <f>L265/12</f>
        <v>44622000</v>
      </c>
      <c r="R266" s="249">
        <f t="shared" ref="R266:U266" si="112">Q266</f>
        <v>44622000</v>
      </c>
      <c r="S266" s="249">
        <f t="shared" si="112"/>
        <v>44622000</v>
      </c>
      <c r="T266" s="249">
        <f t="shared" si="112"/>
        <v>44622000</v>
      </c>
      <c r="U266" s="249">
        <f t="shared" si="112"/>
        <v>44622000</v>
      </c>
      <c r="V266" s="212"/>
      <c r="W266" s="212"/>
      <c r="X266" s="212"/>
      <c r="Y266" s="212"/>
      <c r="Z266" s="212"/>
      <c r="AA266" s="212"/>
      <c r="AB266" s="212"/>
      <c r="AC266" s="213">
        <f t="shared" ref="AC266:AC271" si="113">SUM(Q266:AB266)</f>
        <v>223110000</v>
      </c>
      <c r="AD266" s="273"/>
      <c r="AE266" s="192"/>
      <c r="AF266" s="194"/>
      <c r="AG266" s="194"/>
      <c r="AH266" s="194"/>
      <c r="AI266" s="194"/>
    </row>
    <row r="267" hidden="1">
      <c r="A267" s="126"/>
      <c r="B267" s="195"/>
      <c r="C267" s="206"/>
      <c r="D267" s="215"/>
      <c r="E267" s="207"/>
      <c r="F267" s="207"/>
      <c r="G267" s="207"/>
      <c r="H267" s="206"/>
      <c r="I267" s="206"/>
      <c r="J267" s="221"/>
      <c r="K267" s="221" t="s">
        <v>445</v>
      </c>
      <c r="L267" s="282">
        <v>6.24708E8</v>
      </c>
      <c r="M267" s="265" t="s">
        <v>453</v>
      </c>
      <c r="N267" s="283"/>
      <c r="O267" s="283">
        <f t="shared" ref="O267:O268" si="114">P266+1</f>
        <v>45809</v>
      </c>
      <c r="P267" s="368">
        <v>45869.0</v>
      </c>
      <c r="Q267" s="249"/>
      <c r="R267" s="249"/>
      <c r="S267" s="249"/>
      <c r="T267" s="249"/>
      <c r="U267" s="249"/>
      <c r="V267" s="212">
        <f>L267/14</f>
        <v>44622000</v>
      </c>
      <c r="W267" s="212">
        <f>V267</f>
        <v>44622000</v>
      </c>
      <c r="X267" s="212"/>
      <c r="Y267" s="212"/>
      <c r="Z267" s="212"/>
      <c r="AA267" s="212"/>
      <c r="AB267" s="212"/>
      <c r="AC267" s="213">
        <f t="shared" si="113"/>
        <v>89244000</v>
      </c>
      <c r="AD267" s="420"/>
      <c r="AE267" s="430"/>
      <c r="AF267" s="431"/>
      <c r="AG267" s="431"/>
      <c r="AH267" s="431"/>
      <c r="AI267" s="431"/>
    </row>
    <row r="268" hidden="1">
      <c r="A268" s="126"/>
      <c r="B268" s="195"/>
      <c r="C268" s="206"/>
      <c r="D268" s="220" t="s">
        <v>454</v>
      </c>
      <c r="E268" s="207"/>
      <c r="F268" s="207"/>
      <c r="G268" s="207"/>
      <c r="H268" s="206"/>
      <c r="I268" s="206"/>
      <c r="J268" s="221"/>
      <c r="K268" s="221" t="s">
        <v>445</v>
      </c>
      <c r="L268" s="280"/>
      <c r="M268" s="265" t="s">
        <v>455</v>
      </c>
      <c r="N268" s="283"/>
      <c r="O268" s="283">
        <f t="shared" si="114"/>
        <v>45870</v>
      </c>
      <c r="P268" s="368">
        <v>45900.0</v>
      </c>
      <c r="Q268" s="249"/>
      <c r="R268" s="249"/>
      <c r="S268" s="249"/>
      <c r="T268" s="249"/>
      <c r="U268" s="249"/>
      <c r="V268" s="212"/>
      <c r="W268" s="212"/>
      <c r="X268" s="212"/>
      <c r="Y268" s="212"/>
      <c r="Z268" s="212"/>
      <c r="AA268" s="212"/>
      <c r="AB268" s="212"/>
      <c r="AC268" s="213">
        <f t="shared" si="113"/>
        <v>0</v>
      </c>
      <c r="AD268" s="420"/>
      <c r="AE268" s="430"/>
      <c r="AF268" s="431"/>
      <c r="AG268" s="431"/>
      <c r="AH268" s="431"/>
      <c r="AI268" s="431"/>
    </row>
    <row r="269" hidden="1">
      <c r="A269" s="126"/>
      <c r="B269" s="195"/>
      <c r="C269" s="222"/>
      <c r="D269" s="250" t="s">
        <v>456</v>
      </c>
      <c r="E269" s="224"/>
      <c r="F269" s="224"/>
      <c r="G269" s="224"/>
      <c r="H269" s="222"/>
      <c r="I269" s="222"/>
      <c r="J269" s="222"/>
      <c r="K269" s="222" t="s">
        <v>445</v>
      </c>
      <c r="L269" s="225"/>
      <c r="M269" s="383"/>
      <c r="N269" s="285"/>
      <c r="O269" s="285"/>
      <c r="P269" s="285"/>
      <c r="Q269" s="228">
        <v>4.347426E7</v>
      </c>
      <c r="R269" s="228">
        <v>4.347426E7</v>
      </c>
      <c r="S269" s="228">
        <v>4.347426E7</v>
      </c>
      <c r="T269" s="270">
        <f t="shared" ref="T269:V269" si="115">S269</f>
        <v>43474260</v>
      </c>
      <c r="U269" s="229">
        <f t="shared" si="115"/>
        <v>43474260</v>
      </c>
      <c r="V269" s="238">
        <f t="shared" si="115"/>
        <v>43474260</v>
      </c>
      <c r="W269" s="230"/>
      <c r="X269" s="230"/>
      <c r="Y269" s="230"/>
      <c r="Z269" s="230"/>
      <c r="AA269" s="230"/>
      <c r="AB269" s="230"/>
      <c r="AC269" s="231">
        <f t="shared" si="113"/>
        <v>260845560</v>
      </c>
      <c r="AD269" s="420"/>
      <c r="AE269" s="430"/>
      <c r="AF269" s="194"/>
      <c r="AG269" s="431"/>
      <c r="AH269" s="431"/>
      <c r="AI269" s="431"/>
    </row>
    <row r="270" hidden="1">
      <c r="A270" s="126"/>
      <c r="B270" s="195"/>
      <c r="C270" s="196"/>
      <c r="D270" s="254" t="s">
        <v>194</v>
      </c>
      <c r="E270" s="233"/>
      <c r="F270" s="233"/>
      <c r="G270" s="233"/>
      <c r="H270" s="234"/>
      <c r="I270" s="234"/>
      <c r="J270" s="222"/>
      <c r="K270" s="222" t="s">
        <v>445</v>
      </c>
      <c r="L270" s="346"/>
      <c r="M270" s="255"/>
      <c r="N270" s="365"/>
      <c r="O270" s="365"/>
      <c r="P270" s="365"/>
      <c r="Q270" s="228">
        <v>4.347426E7</v>
      </c>
      <c r="R270" s="228">
        <v>4.347426E7</v>
      </c>
      <c r="S270" s="228">
        <v>4.347426E7</v>
      </c>
      <c r="T270" s="229">
        <v>4.347426E7</v>
      </c>
      <c r="U270" s="238"/>
      <c r="V270" s="238"/>
      <c r="W270" s="238"/>
      <c r="X270" s="238"/>
      <c r="Y270" s="238"/>
      <c r="Z270" s="238"/>
      <c r="AA270" s="238"/>
      <c r="AB270" s="238"/>
      <c r="AC270" s="378">
        <f t="shared" si="113"/>
        <v>173897040</v>
      </c>
      <c r="AD270" s="214"/>
      <c r="AE270" s="192"/>
      <c r="AF270" s="194"/>
      <c r="AG270" s="194"/>
      <c r="AH270" s="194"/>
      <c r="AI270" s="194"/>
    </row>
    <row r="271" hidden="1">
      <c r="A271" s="126"/>
      <c r="B271" s="195"/>
      <c r="C271" s="196"/>
      <c r="D271" s="254" t="s">
        <v>457</v>
      </c>
      <c r="E271" s="233"/>
      <c r="F271" s="233"/>
      <c r="G271" s="233"/>
      <c r="H271" s="234"/>
      <c r="I271" s="234"/>
      <c r="J271" s="222"/>
      <c r="K271" s="222" t="s">
        <v>445</v>
      </c>
      <c r="L271" s="346"/>
      <c r="M271" s="255"/>
      <c r="N271" s="365"/>
      <c r="O271" s="365"/>
      <c r="P271" s="365"/>
      <c r="Q271" s="228">
        <v>4.347426E7</v>
      </c>
      <c r="R271" s="228">
        <v>4.347426E7</v>
      </c>
      <c r="S271" s="228">
        <v>4.347426E7</v>
      </c>
      <c r="T271" s="238"/>
      <c r="U271" s="238"/>
      <c r="V271" s="238"/>
      <c r="W271" s="238"/>
      <c r="X271" s="238"/>
      <c r="Y271" s="238"/>
      <c r="Z271" s="238"/>
      <c r="AA271" s="238"/>
      <c r="AB271" s="238"/>
      <c r="AC271" s="378">
        <f t="shared" si="113"/>
        <v>130422780</v>
      </c>
      <c r="AD271" s="214"/>
      <c r="AE271" s="192"/>
      <c r="AF271" s="194"/>
      <c r="AG271" s="194"/>
      <c r="AH271" s="194"/>
      <c r="AI271" s="194"/>
    </row>
    <row r="272">
      <c r="A272" s="126"/>
      <c r="B272" s="195"/>
      <c r="C272" s="196">
        <v>3.0</v>
      </c>
      <c r="D272" s="184" t="s">
        <v>458</v>
      </c>
      <c r="E272" s="198" t="s">
        <v>186</v>
      </c>
      <c r="F272" s="198" t="s">
        <v>103</v>
      </c>
      <c r="G272" s="198" t="s">
        <v>86</v>
      </c>
      <c r="H272" s="198" t="s">
        <v>86</v>
      </c>
      <c r="I272" s="198" t="s">
        <v>366</v>
      </c>
      <c r="J272" s="198" t="s">
        <v>367</v>
      </c>
      <c r="K272" s="199" t="s">
        <v>445</v>
      </c>
      <c r="L272" s="347">
        <v>2.52E8</v>
      </c>
      <c r="M272" s="257" t="s">
        <v>459</v>
      </c>
      <c r="N272" s="366"/>
      <c r="O272" s="366">
        <v>45292.0</v>
      </c>
      <c r="P272" s="366">
        <v>45657.0</v>
      </c>
      <c r="Q272" s="204">
        <v>2.153182E7</v>
      </c>
      <c r="R272" s="204">
        <v>2.153182E7</v>
      </c>
      <c r="S272" s="204">
        <v>2.153182E7</v>
      </c>
      <c r="T272" s="204">
        <v>2.153182E7</v>
      </c>
      <c r="U272" s="204">
        <v>2.153182E7</v>
      </c>
      <c r="V272" s="204">
        <v>2.153182E7</v>
      </c>
      <c r="W272" s="204">
        <v>2.153182E7</v>
      </c>
      <c r="X272" s="204">
        <v>2.153182E7</v>
      </c>
      <c r="Y272" s="204">
        <v>2.153182E7</v>
      </c>
      <c r="Z272" s="204">
        <v>2.153182E7</v>
      </c>
      <c r="AA272" s="204">
        <v>2.153182E7</v>
      </c>
      <c r="AB272" s="204">
        <v>2.153182E7</v>
      </c>
      <c r="AC272" s="205">
        <v>2.5838184E8</v>
      </c>
      <c r="AD272" s="178">
        <f>SUM(Q272:AB272)-AC272</f>
        <v>0</v>
      </c>
      <c r="AE272" s="241"/>
      <c r="AF272" s="194"/>
      <c r="AG272" s="194"/>
      <c r="AH272" s="194"/>
      <c r="AI272" s="194"/>
    </row>
    <row r="273" hidden="1">
      <c r="A273" s="126"/>
      <c r="B273" s="195"/>
      <c r="C273" s="206"/>
      <c r="D273" s="220" t="s">
        <v>460</v>
      </c>
      <c r="E273" s="207"/>
      <c r="F273" s="207"/>
      <c r="G273" s="207"/>
      <c r="H273" s="206"/>
      <c r="I273" s="206"/>
      <c r="J273" s="221"/>
      <c r="K273" s="221" t="s">
        <v>445</v>
      </c>
      <c r="L273" s="282">
        <v>2.93643234E8</v>
      </c>
      <c r="M273" s="265" t="s">
        <v>461</v>
      </c>
      <c r="N273" s="283"/>
      <c r="O273" s="283">
        <f>P272+1</f>
        <v>45658</v>
      </c>
      <c r="P273" s="368">
        <v>46022.0</v>
      </c>
      <c r="Q273" s="212">
        <f>L273/12</f>
        <v>24470269.5</v>
      </c>
      <c r="R273" s="212">
        <f t="shared" ref="R273:AB273" si="116">Q273</f>
        <v>24470269.5</v>
      </c>
      <c r="S273" s="212">
        <f t="shared" si="116"/>
        <v>24470269.5</v>
      </c>
      <c r="T273" s="212">
        <f t="shared" si="116"/>
        <v>24470269.5</v>
      </c>
      <c r="U273" s="212">
        <f t="shared" si="116"/>
        <v>24470269.5</v>
      </c>
      <c r="V273" s="212">
        <f t="shared" si="116"/>
        <v>24470269.5</v>
      </c>
      <c r="W273" s="212">
        <f t="shared" si="116"/>
        <v>24470269.5</v>
      </c>
      <c r="X273" s="212">
        <f t="shared" si="116"/>
        <v>24470269.5</v>
      </c>
      <c r="Y273" s="212">
        <f t="shared" si="116"/>
        <v>24470269.5</v>
      </c>
      <c r="Z273" s="212">
        <f t="shared" si="116"/>
        <v>24470269.5</v>
      </c>
      <c r="AA273" s="212">
        <f t="shared" si="116"/>
        <v>24470269.5</v>
      </c>
      <c r="AB273" s="212">
        <f t="shared" si="116"/>
        <v>24470269.5</v>
      </c>
      <c r="AC273" s="213">
        <f t="shared" ref="AC273:AC276" si="117">SUM(Q273:AB273)</f>
        <v>293643234</v>
      </c>
      <c r="AD273" s="420"/>
      <c r="AE273" s="241"/>
      <c r="AF273" s="194"/>
      <c r="AG273" s="194"/>
      <c r="AH273" s="194"/>
      <c r="AI273" s="194"/>
    </row>
    <row r="274" hidden="1">
      <c r="A274" s="126"/>
      <c r="B274" s="195"/>
      <c r="C274" s="222"/>
      <c r="D274" s="542" t="s">
        <v>462</v>
      </c>
      <c r="E274" s="224"/>
      <c r="F274" s="224"/>
      <c r="G274" s="224"/>
      <c r="H274" s="222"/>
      <c r="I274" s="222"/>
      <c r="J274" s="222"/>
      <c r="K274" s="222" t="s">
        <v>445</v>
      </c>
      <c r="L274" s="225"/>
      <c r="M274" s="383"/>
      <c r="N274" s="285"/>
      <c r="O274" s="285"/>
      <c r="P274" s="285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  <c r="AA274" s="230"/>
      <c r="AB274" s="230"/>
      <c r="AC274" s="231">
        <f t="shared" si="117"/>
        <v>0</v>
      </c>
      <c r="AD274" s="420"/>
      <c r="AE274" s="430"/>
      <c r="AF274" s="194"/>
      <c r="AG274" s="431"/>
      <c r="AH274" s="431"/>
      <c r="AI274" s="431"/>
    </row>
    <row r="275" hidden="1">
      <c r="A275" s="126"/>
      <c r="B275" s="195"/>
      <c r="C275" s="196"/>
      <c r="D275" s="286" t="s">
        <v>194</v>
      </c>
      <c r="E275" s="233"/>
      <c r="F275" s="233"/>
      <c r="G275" s="233"/>
      <c r="H275" s="234"/>
      <c r="I275" s="234"/>
      <c r="J275" s="222"/>
      <c r="K275" s="222" t="s">
        <v>445</v>
      </c>
      <c r="L275" s="346"/>
      <c r="M275" s="543"/>
      <c r="N275" s="365"/>
      <c r="O275" s="365"/>
      <c r="P275" s="365"/>
      <c r="Q275" s="238"/>
      <c r="R275" s="238"/>
      <c r="S275" s="238"/>
      <c r="T275" s="238"/>
      <c r="U275" s="238"/>
      <c r="V275" s="238"/>
      <c r="W275" s="238"/>
      <c r="X275" s="238"/>
      <c r="Y275" s="238"/>
      <c r="Z275" s="238"/>
      <c r="AA275" s="238"/>
      <c r="AB275" s="238"/>
      <c r="AC275" s="378">
        <f t="shared" si="117"/>
        <v>0</v>
      </c>
      <c r="AD275" s="214"/>
      <c r="AE275" s="430"/>
      <c r="AF275" s="194"/>
      <c r="AG275" s="431"/>
      <c r="AH275" s="431"/>
      <c r="AI275" s="431"/>
    </row>
    <row r="276" hidden="1">
      <c r="A276" s="126"/>
      <c r="B276" s="195"/>
      <c r="C276" s="196"/>
      <c r="D276" s="286" t="s">
        <v>463</v>
      </c>
      <c r="E276" s="233"/>
      <c r="F276" s="233"/>
      <c r="G276" s="233"/>
      <c r="H276" s="234"/>
      <c r="I276" s="234"/>
      <c r="J276" s="222"/>
      <c r="K276" s="222" t="s">
        <v>445</v>
      </c>
      <c r="L276" s="346"/>
      <c r="M276" s="543"/>
      <c r="N276" s="365"/>
      <c r="O276" s="365"/>
      <c r="P276" s="365"/>
      <c r="Q276" s="238"/>
      <c r="R276" s="238"/>
      <c r="S276" s="238"/>
      <c r="T276" s="238"/>
      <c r="U276" s="238"/>
      <c r="V276" s="238"/>
      <c r="W276" s="238"/>
      <c r="X276" s="238"/>
      <c r="Y276" s="238"/>
      <c r="Z276" s="238"/>
      <c r="AA276" s="238"/>
      <c r="AB276" s="238"/>
      <c r="AC276" s="378">
        <f t="shared" si="117"/>
        <v>0</v>
      </c>
      <c r="AD276" s="214"/>
      <c r="AE276" s="430"/>
      <c r="AF276" s="194"/>
      <c r="AG276" s="431"/>
      <c r="AH276" s="431"/>
      <c r="AI276" s="431"/>
    </row>
    <row r="277">
      <c r="A277" s="126"/>
      <c r="B277" s="195"/>
      <c r="C277" s="196">
        <v>4.0</v>
      </c>
      <c r="D277" s="354" t="s">
        <v>464</v>
      </c>
      <c r="E277" s="198" t="s">
        <v>186</v>
      </c>
      <c r="F277" s="198" t="s">
        <v>135</v>
      </c>
      <c r="G277" s="198" t="s">
        <v>135</v>
      </c>
      <c r="H277" s="198" t="s">
        <v>203</v>
      </c>
      <c r="I277" s="198" t="s">
        <v>187</v>
      </c>
      <c r="J277" s="198" t="s">
        <v>188</v>
      </c>
      <c r="K277" s="199" t="s">
        <v>445</v>
      </c>
      <c r="L277" s="347">
        <f t="shared" ref="L277:L278" si="118">1519701543</f>
        <v>1519701543</v>
      </c>
      <c r="M277" s="544" t="s">
        <v>465</v>
      </c>
      <c r="N277" s="366"/>
      <c r="O277" s="366">
        <v>45505.0</v>
      </c>
      <c r="P277" s="366">
        <v>45869.0</v>
      </c>
      <c r="Q277" s="204">
        <v>1.14597762E8</v>
      </c>
      <c r="R277" s="204">
        <v>1.14597762E8</v>
      </c>
      <c r="S277" s="204">
        <v>1.14597762E8</v>
      </c>
      <c r="T277" s="204">
        <v>1.14597762E8</v>
      </c>
      <c r="U277" s="204">
        <v>1.14597762E8</v>
      </c>
      <c r="V277" s="204">
        <v>1.14597762E8</v>
      </c>
      <c r="W277" s="204">
        <v>1.14597762E8</v>
      </c>
      <c r="X277" s="204">
        <v>1.14597762E8</v>
      </c>
      <c r="Y277" s="204">
        <v>1.14597762E8</v>
      </c>
      <c r="Z277" s="204">
        <v>1.14597762E8</v>
      </c>
      <c r="AA277" s="204">
        <v>1.14597762E8</v>
      </c>
      <c r="AB277" s="204">
        <v>1.14597762E8</v>
      </c>
      <c r="AC277" s="205">
        <v>1.375173144E9</v>
      </c>
      <c r="AD277" s="178">
        <f>SUM(Q277:AB277)-AC277</f>
        <v>0</v>
      </c>
      <c r="AE277" s="430"/>
      <c r="AF277" s="431"/>
      <c r="AG277" s="431"/>
      <c r="AH277" s="431"/>
      <c r="AI277" s="431"/>
    </row>
    <row r="278" hidden="1">
      <c r="A278" s="126"/>
      <c r="B278" s="195"/>
      <c r="C278" s="206"/>
      <c r="D278" s="207"/>
      <c r="E278" s="207"/>
      <c r="F278" s="207"/>
      <c r="G278" s="207"/>
      <c r="H278" s="206"/>
      <c r="I278" s="206"/>
      <c r="J278" s="206"/>
      <c r="K278" s="206" t="s">
        <v>445</v>
      </c>
      <c r="L278" s="277">
        <f t="shared" si="118"/>
        <v>1519701543</v>
      </c>
      <c r="M278" s="244"/>
      <c r="N278" s="389"/>
      <c r="O278" s="389"/>
      <c r="P278" s="389">
        <f>P277</f>
        <v>45869</v>
      </c>
      <c r="Q278" s="268">
        <f>L277/12</f>
        <v>126641795.3</v>
      </c>
      <c r="R278" s="268">
        <f t="shared" ref="R278:W278" si="119">Q278</f>
        <v>126641795.3</v>
      </c>
      <c r="S278" s="268">
        <f t="shared" si="119"/>
        <v>126641795.3</v>
      </c>
      <c r="T278" s="212">
        <f t="shared" si="119"/>
        <v>126641795.3</v>
      </c>
      <c r="U278" s="212">
        <f t="shared" si="119"/>
        <v>126641795.3</v>
      </c>
      <c r="V278" s="212">
        <f t="shared" si="119"/>
        <v>126641795.3</v>
      </c>
      <c r="W278" s="212">
        <f t="shared" si="119"/>
        <v>126641795.3</v>
      </c>
      <c r="X278" s="212"/>
      <c r="Y278" s="212"/>
      <c r="Z278" s="212"/>
      <c r="AA278" s="212"/>
      <c r="AB278" s="212"/>
      <c r="AC278" s="213">
        <f t="shared" ref="AC278:AC282" si="120">SUM(Q278:AB278)</f>
        <v>886492566.8</v>
      </c>
      <c r="AD278" s="420"/>
      <c r="AE278" s="241"/>
      <c r="AF278" s="194"/>
      <c r="AG278" s="194"/>
      <c r="AH278" s="194"/>
      <c r="AI278" s="194"/>
    </row>
    <row r="279" hidden="1">
      <c r="A279" s="126"/>
      <c r="B279" s="195"/>
      <c r="C279" s="206"/>
      <c r="D279" s="220" t="s">
        <v>466</v>
      </c>
      <c r="E279" s="207"/>
      <c r="F279" s="207"/>
      <c r="G279" s="207"/>
      <c r="H279" s="206"/>
      <c r="I279" s="206"/>
      <c r="J279" s="221"/>
      <c r="K279" s="221" t="s">
        <v>445</v>
      </c>
      <c r="L279" s="280"/>
      <c r="M279" s="265" t="s">
        <v>467</v>
      </c>
      <c r="N279" s="283"/>
      <c r="O279" s="283">
        <f>P278+1</f>
        <v>45870</v>
      </c>
      <c r="P279" s="368">
        <v>45900.0</v>
      </c>
      <c r="Q279" s="504"/>
      <c r="R279" s="212"/>
      <c r="S279" s="212"/>
      <c r="T279" s="212"/>
      <c r="U279" s="212"/>
      <c r="V279" s="212"/>
      <c r="W279" s="212"/>
      <c r="X279" s="212"/>
      <c r="Y279" s="212"/>
      <c r="Z279" s="212"/>
      <c r="AA279" s="212"/>
      <c r="AB279" s="212"/>
      <c r="AC279" s="213">
        <f t="shared" si="120"/>
        <v>0</v>
      </c>
      <c r="AD279" s="420"/>
      <c r="AE279" s="241"/>
      <c r="AF279" s="194"/>
      <c r="AG279" s="194"/>
      <c r="AH279" s="194"/>
      <c r="AI279" s="194"/>
    </row>
    <row r="280" hidden="1">
      <c r="A280" s="126"/>
      <c r="B280" s="195"/>
      <c r="C280" s="222"/>
      <c r="D280" s="250" t="s">
        <v>468</v>
      </c>
      <c r="E280" s="224"/>
      <c r="F280" s="224"/>
      <c r="G280" s="224"/>
      <c r="H280" s="222"/>
      <c r="I280" s="222"/>
      <c r="J280" s="222"/>
      <c r="K280" s="222" t="s">
        <v>445</v>
      </c>
      <c r="L280" s="225"/>
      <c r="M280" s="383"/>
      <c r="N280" s="285"/>
      <c r="O280" s="285"/>
      <c r="P280" s="285"/>
      <c r="Q280" s="228">
        <v>1.08925751E8</v>
      </c>
      <c r="R280" s="228">
        <v>1.20907584E8</v>
      </c>
      <c r="S280" s="228">
        <v>1.20907584E8</v>
      </c>
      <c r="T280" s="228">
        <v>1.20907584E8</v>
      </c>
      <c r="U280" s="270">
        <v>1.17708545E8</v>
      </c>
      <c r="V280" s="238">
        <f>T280</f>
        <v>120907584</v>
      </c>
      <c r="W280" s="230"/>
      <c r="X280" s="230"/>
      <c r="Y280" s="230"/>
      <c r="Z280" s="230"/>
      <c r="AA280" s="230"/>
      <c r="AB280" s="230"/>
      <c r="AC280" s="231">
        <f t="shared" si="120"/>
        <v>710264632</v>
      </c>
      <c r="AD280" s="420"/>
      <c r="AE280" s="241"/>
      <c r="AF280" s="194"/>
      <c r="AG280" s="194"/>
      <c r="AH280" s="194"/>
      <c r="AI280" s="194"/>
    </row>
    <row r="281" hidden="1">
      <c r="A281" s="126"/>
      <c r="B281" s="195"/>
      <c r="C281" s="196"/>
      <c r="D281" s="286" t="s">
        <v>194</v>
      </c>
      <c r="E281" s="233"/>
      <c r="F281" s="233"/>
      <c r="G281" s="233"/>
      <c r="H281" s="234"/>
      <c r="I281" s="234"/>
      <c r="J281" s="222"/>
      <c r="K281" s="222" t="s">
        <v>445</v>
      </c>
      <c r="L281" s="225"/>
      <c r="M281" s="543"/>
      <c r="N281" s="365"/>
      <c r="O281" s="365"/>
      <c r="P281" s="365"/>
      <c r="Q281" s="228">
        <v>1.08925751E8</v>
      </c>
      <c r="R281" s="228">
        <v>1.20907584E8</v>
      </c>
      <c r="S281" s="228">
        <v>1.20907584E8</v>
      </c>
      <c r="T281" s="228">
        <v>1.20907584E8</v>
      </c>
      <c r="U281" s="229">
        <v>1.17708545E8</v>
      </c>
      <c r="V281" s="238"/>
      <c r="W281" s="238"/>
      <c r="X281" s="238"/>
      <c r="Y281" s="238"/>
      <c r="Z281" s="238"/>
      <c r="AA281" s="238"/>
      <c r="AB281" s="238"/>
      <c r="AC281" s="378">
        <f t="shared" si="120"/>
        <v>589357048</v>
      </c>
      <c r="AD281" s="214"/>
      <c r="AE281" s="430"/>
      <c r="AF281" s="194"/>
      <c r="AG281" s="431"/>
      <c r="AH281" s="431"/>
      <c r="AI281" s="431"/>
    </row>
    <row r="282" hidden="1">
      <c r="A282" s="126"/>
      <c r="B282" s="195"/>
      <c r="C282" s="196"/>
      <c r="D282" s="286" t="s">
        <v>469</v>
      </c>
      <c r="E282" s="233"/>
      <c r="F282" s="233"/>
      <c r="G282" s="233"/>
      <c r="H282" s="234"/>
      <c r="I282" s="234"/>
      <c r="J282" s="222"/>
      <c r="K282" s="222" t="s">
        <v>445</v>
      </c>
      <c r="L282" s="225"/>
      <c r="M282" s="543"/>
      <c r="N282" s="365"/>
      <c r="O282" s="365"/>
      <c r="P282" s="365"/>
      <c r="Q282" s="228">
        <v>1.08925751E8</v>
      </c>
      <c r="R282" s="228">
        <v>1.20907584E8</v>
      </c>
      <c r="S282" s="228">
        <v>1.20907584E8</v>
      </c>
      <c r="T282" s="228">
        <v>1.20907584E8</v>
      </c>
      <c r="U282" s="238"/>
      <c r="V282" s="238"/>
      <c r="W282" s="238"/>
      <c r="X282" s="238"/>
      <c r="Y282" s="238"/>
      <c r="Z282" s="238"/>
      <c r="AA282" s="238"/>
      <c r="AB282" s="238"/>
      <c r="AC282" s="378">
        <f t="shared" si="120"/>
        <v>471648503</v>
      </c>
      <c r="AD282" s="214"/>
      <c r="AE282" s="430"/>
      <c r="AF282" s="194"/>
      <c r="AG282" s="431"/>
      <c r="AH282" s="431"/>
      <c r="AI282" s="431"/>
    </row>
    <row r="283">
      <c r="A283" s="126"/>
      <c r="B283" s="195"/>
      <c r="C283" s="196">
        <v>5.0</v>
      </c>
      <c r="D283" s="354" t="s">
        <v>470</v>
      </c>
      <c r="E283" s="198" t="s">
        <v>186</v>
      </c>
      <c r="F283" s="198" t="s">
        <v>88</v>
      </c>
      <c r="G283" s="198" t="s">
        <v>88</v>
      </c>
      <c r="H283" s="198" t="s">
        <v>218</v>
      </c>
      <c r="I283" s="198" t="s">
        <v>187</v>
      </c>
      <c r="J283" s="198" t="s">
        <v>188</v>
      </c>
      <c r="K283" s="199" t="s">
        <v>445</v>
      </c>
      <c r="L283" s="355">
        <f>4257281475/1.11</f>
        <v>3835388716</v>
      </c>
      <c r="M283" s="544" t="s">
        <v>471</v>
      </c>
      <c r="N283" s="366"/>
      <c r="O283" s="366">
        <v>45413.0</v>
      </c>
      <c r="P283" s="366">
        <v>45777.0</v>
      </c>
      <c r="Q283" s="204">
        <v>3.30208618E8</v>
      </c>
      <c r="R283" s="204">
        <v>3.30208618E8</v>
      </c>
      <c r="S283" s="204">
        <v>3.30208618E8</v>
      </c>
      <c r="T283" s="204">
        <v>3.30208618E8</v>
      </c>
      <c r="U283" s="204">
        <v>3.30208618E8</v>
      </c>
      <c r="V283" s="204">
        <v>3.30208618E8</v>
      </c>
      <c r="W283" s="204">
        <v>3.30208618E8</v>
      </c>
      <c r="X283" s="204">
        <v>3.30208618E8</v>
      </c>
      <c r="Y283" s="204">
        <v>3.30208618E8</v>
      </c>
      <c r="Z283" s="204">
        <v>3.30208618E8</v>
      </c>
      <c r="AA283" s="204">
        <v>3.30208618E8</v>
      </c>
      <c r="AB283" s="204">
        <v>3.30208618E8</v>
      </c>
      <c r="AC283" s="205">
        <v>3.962503416E9</v>
      </c>
      <c r="AD283" s="178">
        <f>SUM(Q283:AB283)-AC283</f>
        <v>0</v>
      </c>
      <c r="AE283" s="430"/>
      <c r="AF283" s="431"/>
      <c r="AG283" s="431"/>
      <c r="AH283" s="431"/>
      <c r="AI283" s="431"/>
    </row>
    <row r="284" hidden="1">
      <c r="A284" s="126"/>
      <c r="B284" s="195"/>
      <c r="C284" s="206"/>
      <c r="D284" s="545"/>
      <c r="E284" s="546"/>
      <c r="F284" s="207"/>
      <c r="G284" s="207"/>
      <c r="H284" s="206"/>
      <c r="I284" s="206"/>
      <c r="J284" s="206"/>
      <c r="K284" s="206" t="s">
        <v>445</v>
      </c>
      <c r="L284" s="277">
        <f>4981717214/1.11</f>
        <v>4488033526</v>
      </c>
      <c r="M284" s="209" t="s">
        <v>471</v>
      </c>
      <c r="N284" s="367"/>
      <c r="O284" s="367">
        <v>45413.0</v>
      </c>
      <c r="P284" s="367">
        <v>45777.0</v>
      </c>
      <c r="Q284" s="268">
        <f>L284/12</f>
        <v>374002793.8</v>
      </c>
      <c r="R284" s="268">
        <f t="shared" ref="R284:T284" si="121">Q284</f>
        <v>374002793.8</v>
      </c>
      <c r="S284" s="268">
        <f t="shared" si="121"/>
        <v>374002793.8</v>
      </c>
      <c r="T284" s="212">
        <f t="shared" si="121"/>
        <v>374002793.8</v>
      </c>
      <c r="U284" s="212"/>
      <c r="V284" s="212"/>
      <c r="W284" s="212"/>
      <c r="X284" s="212"/>
      <c r="Y284" s="212"/>
      <c r="Z284" s="212"/>
      <c r="AA284" s="212"/>
      <c r="AB284" s="212"/>
      <c r="AC284" s="213">
        <f t="shared" ref="AC284:AC289" si="122">SUM(Q284:AB284)</f>
        <v>1496011175</v>
      </c>
      <c r="AD284" s="420"/>
      <c r="AE284" s="430"/>
      <c r="AF284" s="431"/>
      <c r="AG284" s="431"/>
      <c r="AH284" s="431"/>
      <c r="AI284" s="431"/>
    </row>
    <row r="285" hidden="1">
      <c r="A285" s="126"/>
      <c r="B285" s="195"/>
      <c r="C285" s="206"/>
      <c r="D285" s="207"/>
      <c r="E285" s="207"/>
      <c r="F285" s="207"/>
      <c r="G285" s="207"/>
      <c r="H285" s="206"/>
      <c r="I285" s="206"/>
      <c r="J285" s="221"/>
      <c r="K285" s="221" t="s">
        <v>445</v>
      </c>
      <c r="L285" s="282">
        <v>4.981717214E9</v>
      </c>
      <c r="M285" s="265" t="s">
        <v>453</v>
      </c>
      <c r="N285" s="283"/>
      <c r="O285" s="283">
        <f t="shared" ref="O285:O286" si="123">P284+1</f>
        <v>45778</v>
      </c>
      <c r="P285" s="368">
        <v>45838.0</v>
      </c>
      <c r="Q285" s="249"/>
      <c r="R285" s="212"/>
      <c r="S285" s="212"/>
      <c r="T285" s="212"/>
      <c r="U285" s="212">
        <f>L285/14</f>
        <v>355836943.9</v>
      </c>
      <c r="V285" s="212">
        <f>U285</f>
        <v>355836943.9</v>
      </c>
      <c r="W285" s="212"/>
      <c r="X285" s="212"/>
      <c r="Y285" s="212"/>
      <c r="Z285" s="212"/>
      <c r="AA285" s="212"/>
      <c r="AB285" s="212"/>
      <c r="AC285" s="213">
        <f t="shared" si="122"/>
        <v>711673887.7</v>
      </c>
      <c r="AD285" s="420"/>
      <c r="AE285" s="192"/>
      <c r="AF285" s="194"/>
      <c r="AG285" s="194"/>
      <c r="AH285" s="194"/>
      <c r="AI285" s="194"/>
    </row>
    <row r="286" hidden="1">
      <c r="A286" s="126"/>
      <c r="B286" s="195"/>
      <c r="C286" s="206"/>
      <c r="D286" s="207"/>
      <c r="E286" s="207"/>
      <c r="F286" s="207"/>
      <c r="G286" s="207"/>
      <c r="H286" s="206"/>
      <c r="I286" s="206"/>
      <c r="J286" s="497"/>
      <c r="K286" s="497" t="s">
        <v>445</v>
      </c>
      <c r="L286" s="280"/>
      <c r="M286" s="265" t="s">
        <v>453</v>
      </c>
      <c r="N286" s="283"/>
      <c r="O286" s="283">
        <f t="shared" si="123"/>
        <v>45839</v>
      </c>
      <c r="P286" s="368">
        <v>45900.0</v>
      </c>
      <c r="Q286" s="249"/>
      <c r="R286" s="212"/>
      <c r="S286" s="212"/>
      <c r="T286" s="212"/>
      <c r="U286" s="212"/>
      <c r="V286" s="212"/>
      <c r="W286" s="212"/>
      <c r="X286" s="212"/>
      <c r="Y286" s="212"/>
      <c r="Z286" s="212"/>
      <c r="AA286" s="212"/>
      <c r="AB286" s="212"/>
      <c r="AC286" s="213">
        <f t="shared" si="122"/>
        <v>0</v>
      </c>
      <c r="AD286" s="420"/>
      <c r="AE286" s="192"/>
      <c r="AF286" s="194"/>
      <c r="AG286" s="194"/>
      <c r="AH286" s="194"/>
      <c r="AI286" s="194"/>
    </row>
    <row r="287" hidden="1">
      <c r="A287" s="126"/>
      <c r="B287" s="195"/>
      <c r="C287" s="222"/>
      <c r="D287" s="250" t="s">
        <v>472</v>
      </c>
      <c r="E287" s="224"/>
      <c r="F287" s="224"/>
      <c r="G287" s="224"/>
      <c r="H287" s="222"/>
      <c r="I287" s="222"/>
      <c r="J287" s="222"/>
      <c r="K287" s="222" t="s">
        <v>445</v>
      </c>
      <c r="L287" s="225"/>
      <c r="M287" s="383"/>
      <c r="N287" s="285"/>
      <c r="O287" s="285"/>
      <c r="P287" s="285"/>
      <c r="Q287" s="228">
        <v>3.53651158E8</v>
      </c>
      <c r="R287" s="230">
        <f t="shared" ref="R287:T287" si="124">Q287</f>
        <v>353651158</v>
      </c>
      <c r="S287" s="230">
        <f t="shared" si="124"/>
        <v>353651158</v>
      </c>
      <c r="T287" s="230">
        <f t="shared" si="124"/>
        <v>353651158</v>
      </c>
      <c r="U287" s="238">
        <f>U285</f>
        <v>355836943.9</v>
      </c>
      <c r="V287" s="238">
        <f>U287</f>
        <v>355836943.9</v>
      </c>
      <c r="W287" s="230"/>
      <c r="X287" s="230"/>
      <c r="Y287" s="230"/>
      <c r="Z287" s="230"/>
      <c r="AA287" s="230"/>
      <c r="AB287" s="230"/>
      <c r="AC287" s="231">
        <f t="shared" si="122"/>
        <v>2126278520</v>
      </c>
      <c r="AD287" s="420"/>
      <c r="AE287" s="241"/>
      <c r="AF287" s="194"/>
      <c r="AG287" s="194"/>
      <c r="AH287" s="194"/>
      <c r="AI287" s="194"/>
    </row>
    <row r="288" hidden="1">
      <c r="A288" s="126"/>
      <c r="B288" s="195"/>
      <c r="C288" s="196"/>
      <c r="D288" s="286" t="s">
        <v>194</v>
      </c>
      <c r="E288" s="233"/>
      <c r="F288" s="233"/>
      <c r="G288" s="233"/>
      <c r="H288" s="234"/>
      <c r="I288" s="234"/>
      <c r="J288" s="222"/>
      <c r="K288" s="222" t="s">
        <v>445</v>
      </c>
      <c r="L288" s="346"/>
      <c r="M288" s="255"/>
      <c r="N288" s="365"/>
      <c r="O288" s="365"/>
      <c r="P288" s="365"/>
      <c r="Q288" s="228">
        <v>3.53651158E8</v>
      </c>
      <c r="R288" s="230">
        <f t="shared" ref="R288:T288" si="125">Q288</f>
        <v>353651158</v>
      </c>
      <c r="S288" s="230">
        <f t="shared" si="125"/>
        <v>353651158</v>
      </c>
      <c r="T288" s="230">
        <f t="shared" si="125"/>
        <v>353651158</v>
      </c>
      <c r="U288" s="238"/>
      <c r="V288" s="238"/>
      <c r="W288" s="238"/>
      <c r="X288" s="238"/>
      <c r="Y288" s="238"/>
      <c r="Z288" s="238"/>
      <c r="AA288" s="238"/>
      <c r="AB288" s="238"/>
      <c r="AC288" s="378">
        <f t="shared" si="122"/>
        <v>1414604632</v>
      </c>
      <c r="AD288" s="214"/>
      <c r="AE288" s="241"/>
      <c r="AF288" s="194"/>
      <c r="AG288" s="194"/>
      <c r="AH288" s="194"/>
      <c r="AI288" s="194"/>
    </row>
    <row r="289" hidden="1">
      <c r="A289" s="126"/>
      <c r="B289" s="195"/>
      <c r="C289" s="196"/>
      <c r="D289" s="286" t="s">
        <v>473</v>
      </c>
      <c r="E289" s="233"/>
      <c r="F289" s="233"/>
      <c r="G289" s="233"/>
      <c r="H289" s="234"/>
      <c r="I289" s="234"/>
      <c r="J289" s="222"/>
      <c r="K289" s="222" t="s">
        <v>445</v>
      </c>
      <c r="L289" s="346"/>
      <c r="M289" s="255"/>
      <c r="N289" s="365"/>
      <c r="O289" s="365"/>
      <c r="P289" s="365"/>
      <c r="Q289" s="228">
        <v>3.53651158E8</v>
      </c>
      <c r="R289" s="230">
        <f t="shared" ref="R289:T289" si="126">Q289</f>
        <v>353651158</v>
      </c>
      <c r="S289" s="230">
        <f t="shared" si="126"/>
        <v>353651158</v>
      </c>
      <c r="T289" s="230">
        <f t="shared" si="126"/>
        <v>353651158</v>
      </c>
      <c r="U289" s="238"/>
      <c r="V289" s="238"/>
      <c r="W289" s="238"/>
      <c r="X289" s="238"/>
      <c r="Y289" s="238"/>
      <c r="Z289" s="238"/>
      <c r="AA289" s="238"/>
      <c r="AB289" s="238"/>
      <c r="AC289" s="378">
        <f t="shared" si="122"/>
        <v>1414604632</v>
      </c>
      <c r="AD289" s="214"/>
      <c r="AE289" s="241"/>
      <c r="AF289" s="194"/>
      <c r="AG289" s="194"/>
      <c r="AH289" s="194"/>
      <c r="AI289" s="194"/>
    </row>
    <row r="290">
      <c r="A290" s="126"/>
      <c r="B290" s="195"/>
      <c r="C290" s="196">
        <v>6.0</v>
      </c>
      <c r="D290" s="354" t="s">
        <v>474</v>
      </c>
      <c r="E290" s="198" t="s">
        <v>186</v>
      </c>
      <c r="F290" s="198" t="s">
        <v>305</v>
      </c>
      <c r="G290" s="198" t="s">
        <v>92</v>
      </c>
      <c r="H290" s="198" t="s">
        <v>306</v>
      </c>
      <c r="I290" s="198" t="s">
        <v>187</v>
      </c>
      <c r="J290" s="198" t="s">
        <v>188</v>
      </c>
      <c r="K290" s="199" t="s">
        <v>445</v>
      </c>
      <c r="L290" s="347">
        <f>1071148890/1.11</f>
        <v>964999000</v>
      </c>
      <c r="M290" s="257" t="s">
        <v>475</v>
      </c>
      <c r="N290" s="366"/>
      <c r="O290" s="366">
        <v>45444.0</v>
      </c>
      <c r="P290" s="366">
        <v>45808.0</v>
      </c>
      <c r="Q290" s="204">
        <v>8.595760746000002E7</v>
      </c>
      <c r="R290" s="204">
        <v>8.595760746000002E7</v>
      </c>
      <c r="S290" s="204">
        <v>8.595760746000002E7</v>
      </c>
      <c r="T290" s="204">
        <v>8.595760746000002E7</v>
      </c>
      <c r="U290" s="204">
        <v>8.595760746000002E7</v>
      </c>
      <c r="V290" s="204">
        <v>8.595760746000002E7</v>
      </c>
      <c r="W290" s="204">
        <v>8.595760746000002E7</v>
      </c>
      <c r="X290" s="204">
        <v>8.595760746000002E7</v>
      </c>
      <c r="Y290" s="204">
        <v>8.595760746000002E7</v>
      </c>
      <c r="Z290" s="204">
        <v>8.595760746000002E7</v>
      </c>
      <c r="AA290" s="204">
        <v>8.595760746000002E7</v>
      </c>
      <c r="AB290" s="204">
        <v>8.595760746000002E7</v>
      </c>
      <c r="AC290" s="205">
        <v>1.0314912895200003E9</v>
      </c>
      <c r="AD290" s="178">
        <f>SUM(Q290:AB290)-AC290</f>
        <v>0</v>
      </c>
      <c r="AE290" s="241"/>
      <c r="AF290" s="194"/>
      <c r="AG290" s="194"/>
      <c r="AH290" s="194"/>
      <c r="AI290" s="194"/>
    </row>
    <row r="291" hidden="1">
      <c r="A291" s="126"/>
      <c r="B291" s="195"/>
      <c r="C291" s="206"/>
      <c r="D291" s="220" t="s">
        <v>476</v>
      </c>
      <c r="E291" s="207"/>
      <c r="F291" s="207"/>
      <c r="G291" s="207"/>
      <c r="H291" s="206"/>
      <c r="I291" s="206"/>
      <c r="J291" s="206"/>
      <c r="K291" s="206" t="s">
        <v>445</v>
      </c>
      <c r="L291" s="245">
        <f>1071148890</f>
        <v>1071148890</v>
      </c>
      <c r="M291" s="209" t="s">
        <v>477</v>
      </c>
      <c r="N291" s="367"/>
      <c r="O291" s="367">
        <v>45444.0</v>
      </c>
      <c r="P291" s="367">
        <v>45808.0</v>
      </c>
      <c r="Q291" s="212">
        <f>L291/12</f>
        <v>89262407.5</v>
      </c>
      <c r="R291" s="212">
        <f t="shared" ref="R291:U291" si="127">Q291</f>
        <v>89262407.5</v>
      </c>
      <c r="S291" s="212">
        <f t="shared" si="127"/>
        <v>89262407.5</v>
      </c>
      <c r="T291" s="212">
        <f t="shared" si="127"/>
        <v>89262407.5</v>
      </c>
      <c r="U291" s="212">
        <f t="shared" si="127"/>
        <v>89262407.5</v>
      </c>
      <c r="V291" s="212"/>
      <c r="W291" s="212"/>
      <c r="X291" s="212"/>
      <c r="Y291" s="212"/>
      <c r="Z291" s="212"/>
      <c r="AA291" s="212"/>
      <c r="AB291" s="212"/>
      <c r="AC291" s="213">
        <f t="shared" ref="AC291:AC300" si="128">SUM(Q291:AB291)</f>
        <v>446312037.5</v>
      </c>
      <c r="AD291" s="284"/>
      <c r="AE291" s="241"/>
      <c r="AF291" s="194"/>
      <c r="AG291" s="194"/>
      <c r="AH291" s="194"/>
      <c r="AI291" s="194"/>
    </row>
    <row r="292" hidden="1">
      <c r="A292" s="126"/>
      <c r="B292" s="195"/>
      <c r="C292" s="206"/>
      <c r="D292" s="220" t="s">
        <v>478</v>
      </c>
      <c r="E292" s="207"/>
      <c r="F292" s="207"/>
      <c r="G292" s="207"/>
      <c r="H292" s="206"/>
      <c r="I292" s="206"/>
      <c r="J292" s="221"/>
      <c r="K292" s="221" t="s">
        <v>445</v>
      </c>
      <c r="L292" s="280"/>
      <c r="M292" s="265" t="s">
        <v>467</v>
      </c>
      <c r="N292" s="283"/>
      <c r="O292" s="283">
        <f>P291+1</f>
        <v>45809</v>
      </c>
      <c r="P292" s="368">
        <v>45900.0</v>
      </c>
      <c r="Q292" s="212"/>
      <c r="R292" s="212"/>
      <c r="S292" s="212"/>
      <c r="T292" s="249"/>
      <c r="U292" s="249"/>
      <c r="V292" s="212"/>
      <c r="W292" s="212"/>
      <c r="X292" s="212"/>
      <c r="Y292" s="212"/>
      <c r="Z292" s="212"/>
      <c r="AA292" s="212"/>
      <c r="AB292" s="212"/>
      <c r="AC292" s="213">
        <f t="shared" si="128"/>
        <v>0</v>
      </c>
      <c r="AD292" s="284"/>
      <c r="AE292" s="241"/>
      <c r="AF292" s="194"/>
      <c r="AG292" s="194"/>
      <c r="AH292" s="194"/>
      <c r="AI292" s="194"/>
    </row>
    <row r="293" hidden="1">
      <c r="A293" s="126"/>
      <c r="B293" s="195"/>
      <c r="C293" s="222"/>
      <c r="D293" s="250" t="s">
        <v>479</v>
      </c>
      <c r="E293" s="224"/>
      <c r="F293" s="224"/>
      <c r="G293" s="224"/>
      <c r="H293" s="222"/>
      <c r="I293" s="222"/>
      <c r="J293" s="222"/>
      <c r="K293" s="222" t="s">
        <v>445</v>
      </c>
      <c r="L293" s="225"/>
      <c r="M293" s="383"/>
      <c r="N293" s="285"/>
      <c r="O293" s="285"/>
      <c r="P293" s="285"/>
      <c r="Q293" s="238">
        <f>73237632</f>
        <v>73237632</v>
      </c>
      <c r="R293" s="238">
        <f t="shared" ref="R293:S293" si="129">61537632</f>
        <v>61537632</v>
      </c>
      <c r="S293" s="238">
        <f t="shared" si="129"/>
        <v>61537632</v>
      </c>
      <c r="T293" s="229">
        <v>6.1537632E7</v>
      </c>
      <c r="U293" s="229">
        <v>6.1537632E7</v>
      </c>
      <c r="V293" s="238">
        <f>U293</f>
        <v>61537632</v>
      </c>
      <c r="W293" s="230"/>
      <c r="X293" s="230"/>
      <c r="Y293" s="230"/>
      <c r="Z293" s="230"/>
      <c r="AA293" s="230"/>
      <c r="AB293" s="230"/>
      <c r="AC293" s="231">
        <f t="shared" si="128"/>
        <v>380925792</v>
      </c>
      <c r="AD293" s="284"/>
      <c r="AE293" s="241"/>
      <c r="AF293" s="194"/>
      <c r="AG293" s="194"/>
      <c r="AH293" s="194"/>
      <c r="AI293" s="194"/>
    </row>
    <row r="294" hidden="1">
      <c r="A294" s="126"/>
      <c r="B294" s="181"/>
      <c r="C294" s="222"/>
      <c r="D294" s="286" t="s">
        <v>194</v>
      </c>
      <c r="E294" s="233"/>
      <c r="F294" s="233"/>
      <c r="G294" s="233"/>
      <c r="H294" s="234"/>
      <c r="I294" s="234"/>
      <c r="J294" s="222"/>
      <c r="K294" s="222" t="s">
        <v>445</v>
      </c>
      <c r="L294" s="287"/>
      <c r="M294" s="236"/>
      <c r="N294" s="285"/>
      <c r="O294" s="285"/>
      <c r="P294" s="285"/>
      <c r="Q294" s="288"/>
      <c r="R294" s="288"/>
      <c r="S294" s="288"/>
      <c r="T294" s="288"/>
      <c r="U294" s="288"/>
      <c r="V294" s="288"/>
      <c r="W294" s="288"/>
      <c r="X294" s="288"/>
      <c r="Y294" s="288"/>
      <c r="Z294" s="288"/>
      <c r="AA294" s="288"/>
      <c r="AB294" s="288"/>
      <c r="AC294" s="378">
        <f t="shared" si="128"/>
        <v>0</v>
      </c>
      <c r="AD294" s="271"/>
      <c r="AE294" s="241"/>
      <c r="AF294" s="194"/>
      <c r="AG294" s="194"/>
      <c r="AH294" s="194"/>
      <c r="AI294" s="194"/>
    </row>
    <row r="295" hidden="1">
      <c r="A295" s="126"/>
      <c r="B295" s="181"/>
      <c r="C295" s="222"/>
      <c r="D295" s="286" t="s">
        <v>480</v>
      </c>
      <c r="E295" s="233"/>
      <c r="F295" s="233"/>
      <c r="G295" s="233"/>
      <c r="H295" s="234"/>
      <c r="I295" s="234"/>
      <c r="J295" s="222"/>
      <c r="K295" s="222" t="s">
        <v>445</v>
      </c>
      <c r="L295" s="287"/>
      <c r="M295" s="236"/>
      <c r="N295" s="285"/>
      <c r="O295" s="285"/>
      <c r="P295" s="285"/>
      <c r="Q295" s="288"/>
      <c r="R295" s="288"/>
      <c r="S295" s="288"/>
      <c r="T295" s="288"/>
      <c r="U295" s="288"/>
      <c r="V295" s="288"/>
      <c r="W295" s="288"/>
      <c r="X295" s="288"/>
      <c r="Y295" s="288"/>
      <c r="Z295" s="288"/>
      <c r="AA295" s="288"/>
      <c r="AB295" s="288"/>
      <c r="AC295" s="378">
        <f t="shared" si="128"/>
        <v>0</v>
      </c>
      <c r="AD295" s="271"/>
      <c r="AE295" s="241"/>
      <c r="AF295" s="194"/>
      <c r="AG295" s="194"/>
      <c r="AH295" s="194"/>
      <c r="AI295" s="194"/>
    </row>
    <row r="296" hidden="1">
      <c r="A296" s="126"/>
      <c r="B296" s="181"/>
      <c r="C296" s="289"/>
      <c r="D296" s="290" t="s">
        <v>481</v>
      </c>
      <c r="E296" s="487"/>
      <c r="F296" s="487"/>
      <c r="G296" s="487"/>
      <c r="H296" s="291"/>
      <c r="I296" s="291"/>
      <c r="J296" s="292"/>
      <c r="K296" s="292" t="s">
        <v>445</v>
      </c>
      <c r="L296" s="293"/>
      <c r="M296" s="294"/>
      <c r="N296" s="295"/>
      <c r="O296" s="295"/>
      <c r="P296" s="295"/>
      <c r="Q296" s="296">
        <f t="shared" ref="Q296:AB296" si="130">Q260+Q261+Q266+Q267+Q268+Q273+Q278+Q279+Q284+Q285+Q291+Q292</f>
        <v>946571406.1</v>
      </c>
      <c r="R296" s="296">
        <f t="shared" si="130"/>
        <v>946571406.1</v>
      </c>
      <c r="S296" s="296">
        <f t="shared" si="130"/>
        <v>946571406.1</v>
      </c>
      <c r="T296" s="296">
        <f t="shared" si="130"/>
        <v>946571406.1</v>
      </c>
      <c r="U296" s="296">
        <f t="shared" si="130"/>
        <v>928405556.1</v>
      </c>
      <c r="V296" s="296">
        <f t="shared" si="130"/>
        <v>839143148.6</v>
      </c>
      <c r="W296" s="296">
        <f t="shared" si="130"/>
        <v>483306204.8</v>
      </c>
      <c r="X296" s="296">
        <f t="shared" si="130"/>
        <v>312042409.5</v>
      </c>
      <c r="Y296" s="296">
        <f t="shared" si="130"/>
        <v>312042409.5</v>
      </c>
      <c r="Z296" s="296">
        <f t="shared" si="130"/>
        <v>312042409.5</v>
      </c>
      <c r="AA296" s="296">
        <f t="shared" si="130"/>
        <v>24470269.5</v>
      </c>
      <c r="AB296" s="296">
        <f t="shared" si="130"/>
        <v>24470269.5</v>
      </c>
      <c r="AC296" s="547">
        <f t="shared" si="128"/>
        <v>7022208301</v>
      </c>
      <c r="AD296" s="264"/>
      <c r="AE296" s="241"/>
      <c r="AF296" s="194"/>
      <c r="AG296" s="194"/>
      <c r="AH296" s="194"/>
      <c r="AI296" s="194"/>
    </row>
    <row r="297" hidden="1">
      <c r="A297" s="126"/>
      <c r="B297" s="298"/>
      <c r="C297" s="299"/>
      <c r="D297" s="300" t="s">
        <v>482</v>
      </c>
      <c r="E297" s="488"/>
      <c r="F297" s="488"/>
      <c r="G297" s="488"/>
      <c r="H297" s="301"/>
      <c r="I297" s="301"/>
      <c r="J297" s="489"/>
      <c r="K297" s="489" t="s">
        <v>445</v>
      </c>
      <c r="L297" s="304"/>
      <c r="M297" s="305"/>
      <c r="N297" s="306"/>
      <c r="O297" s="306"/>
      <c r="P297" s="306"/>
      <c r="Q297" s="490">
        <f t="shared" ref="Q297:AB297" si="131">Q262+Q269+Q274+Q280+Q287+Q293</f>
        <v>866860941</v>
      </c>
      <c r="R297" s="490">
        <f t="shared" si="131"/>
        <v>867142774</v>
      </c>
      <c r="S297" s="490">
        <f t="shared" si="131"/>
        <v>867142774</v>
      </c>
      <c r="T297" s="490">
        <f t="shared" si="131"/>
        <v>838644634</v>
      </c>
      <c r="U297" s="490">
        <f t="shared" si="131"/>
        <v>837631380.9</v>
      </c>
      <c r="V297" s="490">
        <f t="shared" si="131"/>
        <v>840830419.9</v>
      </c>
      <c r="W297" s="490">
        <f t="shared" si="131"/>
        <v>0</v>
      </c>
      <c r="X297" s="490">
        <f t="shared" si="131"/>
        <v>0</v>
      </c>
      <c r="Y297" s="490">
        <f t="shared" si="131"/>
        <v>0</v>
      </c>
      <c r="Z297" s="490">
        <f t="shared" si="131"/>
        <v>0</v>
      </c>
      <c r="AA297" s="490">
        <f t="shared" si="131"/>
        <v>0</v>
      </c>
      <c r="AB297" s="490">
        <f t="shared" si="131"/>
        <v>0</v>
      </c>
      <c r="AC297" s="309">
        <f t="shared" si="128"/>
        <v>5118252924</v>
      </c>
      <c r="AD297" s="548"/>
      <c r="AE297" s="192"/>
      <c r="AF297" s="310">
        <f t="shared" ref="AF297:AF298" si="133">AC297-AC298</f>
        <v>2077677784</v>
      </c>
      <c r="AG297" s="311" t="s">
        <v>226</v>
      </c>
      <c r="AH297" s="194"/>
      <c r="AI297" s="194"/>
    </row>
    <row r="298" hidden="1">
      <c r="A298" s="126"/>
      <c r="B298" s="298"/>
      <c r="C298" s="312"/>
      <c r="D298" s="313" t="s">
        <v>483</v>
      </c>
      <c r="E298" s="331"/>
      <c r="F298" s="331"/>
      <c r="G298" s="331"/>
      <c r="H298" s="199"/>
      <c r="I298" s="199"/>
      <c r="J298" s="222"/>
      <c r="K298" s="222" t="s">
        <v>445</v>
      </c>
      <c r="L298" s="287"/>
      <c r="M298" s="236"/>
      <c r="N298" s="285"/>
      <c r="O298" s="285"/>
      <c r="P298" s="285"/>
      <c r="Q298" s="314">
        <f t="shared" ref="Q298:V298" si="132">Q263+Q270+Q275+Q281+Q288+Q294</f>
        <v>793623309</v>
      </c>
      <c r="R298" s="314">
        <f t="shared" si="132"/>
        <v>805605142</v>
      </c>
      <c r="S298" s="314">
        <f t="shared" si="132"/>
        <v>805605142</v>
      </c>
      <c r="T298" s="314">
        <f t="shared" si="132"/>
        <v>518033002</v>
      </c>
      <c r="U298" s="314">
        <f t="shared" si="132"/>
        <v>117708545</v>
      </c>
      <c r="V298" s="314">
        <f t="shared" si="132"/>
        <v>0</v>
      </c>
      <c r="W298" s="288"/>
      <c r="X298" s="288"/>
      <c r="Y298" s="288"/>
      <c r="Z298" s="288"/>
      <c r="AA298" s="288"/>
      <c r="AB298" s="288"/>
      <c r="AC298" s="378">
        <f t="shared" si="128"/>
        <v>3040575140</v>
      </c>
      <c r="AD298" s="214"/>
      <c r="AE298" s="192"/>
      <c r="AF298" s="316">
        <f t="shared" si="133"/>
        <v>161182805</v>
      </c>
      <c r="AG298" s="311" t="s">
        <v>228</v>
      </c>
      <c r="AH298" s="194"/>
      <c r="AI298" s="194"/>
    </row>
    <row r="299" hidden="1">
      <c r="A299" s="126"/>
      <c r="B299" s="298"/>
      <c r="C299" s="317"/>
      <c r="D299" s="318" t="s">
        <v>484</v>
      </c>
      <c r="E299" s="493"/>
      <c r="F299" s="493"/>
      <c r="G299" s="493"/>
      <c r="H299" s="494"/>
      <c r="I299" s="494"/>
      <c r="J299" s="320"/>
      <c r="K299" s="320" t="s">
        <v>445</v>
      </c>
      <c r="L299" s="321"/>
      <c r="M299" s="322"/>
      <c r="N299" s="323"/>
      <c r="O299" s="323"/>
      <c r="P299" s="323"/>
      <c r="Q299" s="325">
        <f t="shared" ref="Q299:V299" si="134">Q264+Q271+Q276+Q282+Q289+Q295</f>
        <v>793623309</v>
      </c>
      <c r="R299" s="325">
        <f t="shared" si="134"/>
        <v>805605142</v>
      </c>
      <c r="S299" s="325">
        <f t="shared" si="134"/>
        <v>805605142</v>
      </c>
      <c r="T299" s="325">
        <f t="shared" si="134"/>
        <v>474558742</v>
      </c>
      <c r="U299" s="325">
        <f t="shared" si="134"/>
        <v>0</v>
      </c>
      <c r="V299" s="325">
        <f t="shared" si="134"/>
        <v>0</v>
      </c>
      <c r="W299" s="324"/>
      <c r="X299" s="324"/>
      <c r="Y299" s="324"/>
      <c r="Z299" s="324"/>
      <c r="AA299" s="324"/>
      <c r="AB299" s="324"/>
      <c r="AC299" s="539">
        <f t="shared" si="128"/>
        <v>2879392335</v>
      </c>
      <c r="AD299" s="214"/>
      <c r="AE299" s="192"/>
      <c r="AF299" s="328">
        <f>AC299</f>
        <v>2879392335</v>
      </c>
      <c r="AG299" s="311" t="s">
        <v>148</v>
      </c>
      <c r="AH299" s="194"/>
      <c r="AI299" s="194"/>
    </row>
    <row r="300">
      <c r="A300" s="126"/>
      <c r="B300" s="181">
        <v>5.0</v>
      </c>
      <c r="C300" s="329" t="s">
        <v>33</v>
      </c>
      <c r="D300" s="330"/>
      <c r="E300" s="496"/>
      <c r="F300" s="496"/>
      <c r="G300" s="496"/>
      <c r="H300" s="332"/>
      <c r="I300" s="332"/>
      <c r="J300" s="333"/>
      <c r="K300" s="333" t="s">
        <v>485</v>
      </c>
      <c r="L300" s="334">
        <f>L301+L308</f>
        <v>6384512000</v>
      </c>
      <c r="M300" s="335"/>
      <c r="N300" s="336"/>
      <c r="O300" s="336"/>
      <c r="P300" s="336"/>
      <c r="Q300" s="337">
        <f t="shared" ref="Q300:AB300" si="135">Q301+Q308</f>
        <v>491801521</v>
      </c>
      <c r="R300" s="337">
        <f t="shared" si="135"/>
        <v>491801521</v>
      </c>
      <c r="S300" s="337">
        <f t="shared" si="135"/>
        <v>491801521</v>
      </c>
      <c r="T300" s="337">
        <f t="shared" si="135"/>
        <v>491801521</v>
      </c>
      <c r="U300" s="337">
        <f t="shared" si="135"/>
        <v>491801521</v>
      </c>
      <c r="V300" s="337">
        <f t="shared" si="135"/>
        <v>491801521</v>
      </c>
      <c r="W300" s="337">
        <f t="shared" si="135"/>
        <v>491801521</v>
      </c>
      <c r="X300" s="337">
        <f t="shared" si="135"/>
        <v>491801521</v>
      </c>
      <c r="Y300" s="337">
        <f t="shared" si="135"/>
        <v>491801521</v>
      </c>
      <c r="Z300" s="337">
        <f t="shared" si="135"/>
        <v>491801521</v>
      </c>
      <c r="AA300" s="337">
        <f t="shared" si="135"/>
        <v>491801521</v>
      </c>
      <c r="AB300" s="337">
        <f t="shared" si="135"/>
        <v>491801521</v>
      </c>
      <c r="AC300" s="338">
        <f t="shared" si="128"/>
        <v>5901618252</v>
      </c>
      <c r="AD300" s="178">
        <f>AC300-AE300</f>
        <v>0</v>
      </c>
      <c r="AE300" s="192">
        <f>'Proker New'!Y54</f>
        <v>5901618252</v>
      </c>
      <c r="AF300" s="193" t="str">
        <f>C300</f>
        <v>Bengkulu - Bengkulu (BKS)</v>
      </c>
      <c r="AG300" s="194"/>
      <c r="AH300" s="194"/>
      <c r="AI300" s="194"/>
    </row>
    <row r="301">
      <c r="A301" s="126"/>
      <c r="B301" s="195"/>
      <c r="C301" s="196">
        <v>1.0</v>
      </c>
      <c r="D301" s="354" t="s">
        <v>486</v>
      </c>
      <c r="E301" s="198" t="s">
        <v>186</v>
      </c>
      <c r="F301" s="198" t="s">
        <v>103</v>
      </c>
      <c r="G301" s="198" t="s">
        <v>86</v>
      </c>
      <c r="H301" s="198" t="s">
        <v>86</v>
      </c>
      <c r="I301" s="198" t="s">
        <v>187</v>
      </c>
      <c r="J301" s="198" t="s">
        <v>188</v>
      </c>
      <c r="K301" s="199" t="s">
        <v>485</v>
      </c>
      <c r="L301" s="347">
        <f>399600000+1440000000</f>
        <v>1839600000</v>
      </c>
      <c r="M301" s="257" t="s">
        <v>487</v>
      </c>
      <c r="N301" s="366"/>
      <c r="O301" s="366">
        <v>45627.0</v>
      </c>
      <c r="P301" s="366">
        <f>O301+90-1</f>
        <v>45716</v>
      </c>
      <c r="Q301" s="204">
        <v>1.2E8</v>
      </c>
      <c r="R301" s="204">
        <v>1.2E8</v>
      </c>
      <c r="S301" s="204">
        <v>1.2E8</v>
      </c>
      <c r="T301" s="204">
        <v>1.2E8</v>
      </c>
      <c r="U301" s="204">
        <v>1.2E8</v>
      </c>
      <c r="V301" s="204">
        <v>1.2E8</v>
      </c>
      <c r="W301" s="204">
        <v>1.2E8</v>
      </c>
      <c r="X301" s="204">
        <v>1.2E8</v>
      </c>
      <c r="Y301" s="204">
        <v>1.2E8</v>
      </c>
      <c r="Z301" s="204">
        <v>1.2E8</v>
      </c>
      <c r="AA301" s="204">
        <v>1.2E8</v>
      </c>
      <c r="AB301" s="204">
        <v>1.2E8</v>
      </c>
      <c r="AC301" s="205">
        <v>1.44E9</v>
      </c>
      <c r="AD301" s="178">
        <f>SUM(Q301:AB301)-AC301</f>
        <v>0</v>
      </c>
      <c r="AE301" s="241"/>
      <c r="AF301" s="194"/>
      <c r="AG301" s="194"/>
      <c r="AH301" s="194"/>
      <c r="AI301" s="194"/>
    </row>
    <row r="302" hidden="1">
      <c r="A302" s="126"/>
      <c r="B302" s="195"/>
      <c r="C302" s="206"/>
      <c r="D302" s="207"/>
      <c r="E302" s="207"/>
      <c r="F302" s="207"/>
      <c r="G302" s="207"/>
      <c r="H302" s="206"/>
      <c r="I302" s="206"/>
      <c r="J302" s="206"/>
      <c r="K302" s="206" t="s">
        <v>485</v>
      </c>
      <c r="L302" s="245"/>
      <c r="M302" s="209"/>
      <c r="N302" s="367"/>
      <c r="O302" s="367"/>
      <c r="P302" s="367">
        <f>P301</f>
        <v>45716</v>
      </c>
      <c r="Q302" s="249">
        <f>L301/15</f>
        <v>122640000</v>
      </c>
      <c r="R302" s="249">
        <f>Q302</f>
        <v>122640000</v>
      </c>
      <c r="S302" s="249"/>
      <c r="T302" s="249"/>
      <c r="U302" s="212"/>
      <c r="V302" s="212"/>
      <c r="W302" s="212"/>
      <c r="X302" s="212"/>
      <c r="Y302" s="212"/>
      <c r="Z302" s="212"/>
      <c r="AA302" s="212"/>
      <c r="AB302" s="212"/>
      <c r="AC302" s="213">
        <f t="shared" ref="AC302:AC307" si="136">SUM(Q302:AB302)</f>
        <v>245280000</v>
      </c>
      <c r="AD302" s="264"/>
      <c r="AE302" s="241"/>
      <c r="AF302" s="194"/>
      <c r="AG302" s="194"/>
      <c r="AH302" s="194"/>
      <c r="AI302" s="194"/>
    </row>
    <row r="303" hidden="1">
      <c r="A303" s="126"/>
      <c r="B303" s="195"/>
      <c r="C303" s="206"/>
      <c r="D303" s="207"/>
      <c r="E303" s="207"/>
      <c r="F303" s="207"/>
      <c r="G303" s="207"/>
      <c r="H303" s="206"/>
      <c r="I303" s="206"/>
      <c r="J303" s="221"/>
      <c r="K303" s="221" t="s">
        <v>485</v>
      </c>
      <c r="L303" s="282">
        <v>6.88892144E8</v>
      </c>
      <c r="M303" s="247" t="s">
        <v>488</v>
      </c>
      <c r="N303" s="368"/>
      <c r="O303" s="368">
        <v>45717.0</v>
      </c>
      <c r="P303" s="368">
        <v>45838.0</v>
      </c>
      <c r="Q303" s="212"/>
      <c r="R303" s="212"/>
      <c r="S303" s="249">
        <v>1.20549595E8</v>
      </c>
      <c r="T303" s="249">
        <v>1.20549595E8</v>
      </c>
      <c r="U303" s="249">
        <v>1.20549595E8</v>
      </c>
      <c r="V303" s="249">
        <v>1.20549595E8</v>
      </c>
      <c r="W303" s="212"/>
      <c r="X303" s="212"/>
      <c r="Y303" s="212"/>
      <c r="Z303" s="212"/>
      <c r="AA303" s="212"/>
      <c r="AB303" s="212"/>
      <c r="AC303" s="213">
        <f t="shared" si="136"/>
        <v>482198380</v>
      </c>
      <c r="AD303" s="273"/>
      <c r="AE303" s="192"/>
      <c r="AF303" s="194"/>
      <c r="AG303" s="194"/>
      <c r="AH303" s="194"/>
      <c r="AI303" s="194"/>
    </row>
    <row r="304" hidden="1">
      <c r="A304" s="126"/>
      <c r="B304" s="195"/>
      <c r="C304" s="206"/>
      <c r="D304" s="220" t="s">
        <v>489</v>
      </c>
      <c r="E304" s="207"/>
      <c r="F304" s="207"/>
      <c r="G304" s="207"/>
      <c r="H304" s="206"/>
      <c r="I304" s="206"/>
      <c r="J304" s="221"/>
      <c r="K304" s="221" t="s">
        <v>485</v>
      </c>
      <c r="L304" s="282">
        <v>7.91019018E8</v>
      </c>
      <c r="M304" s="265" t="s">
        <v>490</v>
      </c>
      <c r="N304" s="283"/>
      <c r="O304" s="283">
        <f>P303+1</f>
        <v>45839</v>
      </c>
      <c r="P304" s="368">
        <v>46022.0</v>
      </c>
      <c r="Q304" s="249"/>
      <c r="R304" s="249"/>
      <c r="S304" s="249"/>
      <c r="T304" s="249"/>
      <c r="U304" s="249"/>
      <c r="V304" s="249"/>
      <c r="W304" s="212"/>
      <c r="X304" s="212"/>
      <c r="Y304" s="212"/>
      <c r="Z304" s="212"/>
      <c r="AA304" s="212"/>
      <c r="AB304" s="212"/>
      <c r="AC304" s="213">
        <f t="shared" si="136"/>
        <v>0</v>
      </c>
      <c r="AD304" s="273"/>
      <c r="AE304" s="192"/>
      <c r="AF304" s="194"/>
      <c r="AG304" s="194"/>
      <c r="AH304" s="194"/>
      <c r="AI304" s="194"/>
    </row>
    <row r="305" hidden="1">
      <c r="A305" s="126"/>
      <c r="B305" s="195"/>
      <c r="C305" s="222"/>
      <c r="D305" s="250" t="s">
        <v>491</v>
      </c>
      <c r="E305" s="224"/>
      <c r="F305" s="224"/>
      <c r="G305" s="224"/>
      <c r="H305" s="222"/>
      <c r="I305" s="222"/>
      <c r="J305" s="222"/>
      <c r="K305" s="222" t="s">
        <v>485</v>
      </c>
      <c r="L305" s="225"/>
      <c r="M305" s="383"/>
      <c r="N305" s="285"/>
      <c r="O305" s="285"/>
      <c r="P305" s="285"/>
      <c r="Q305" s="228">
        <v>1.1045979E8</v>
      </c>
      <c r="R305" s="228">
        <v>1.08187398E8</v>
      </c>
      <c r="S305" s="270">
        <v>1.00622368E8</v>
      </c>
      <c r="T305" s="270">
        <v>1.08171145E8</v>
      </c>
      <c r="U305" s="270">
        <v>1.0247921E8</v>
      </c>
      <c r="V305" s="270">
        <v>9.7538857E7</v>
      </c>
      <c r="W305" s="230"/>
      <c r="X305" s="230"/>
      <c r="Y305" s="230"/>
      <c r="Z305" s="230"/>
      <c r="AA305" s="230"/>
      <c r="AB305" s="230"/>
      <c r="AC305" s="231">
        <f t="shared" si="136"/>
        <v>627458768</v>
      </c>
      <c r="AD305" s="273"/>
      <c r="AE305" s="192"/>
      <c r="AF305" s="194"/>
      <c r="AG305" s="194"/>
      <c r="AH305" s="194"/>
      <c r="AI305" s="194"/>
    </row>
    <row r="306" hidden="1">
      <c r="A306" s="126"/>
      <c r="B306" s="195"/>
      <c r="C306" s="196"/>
      <c r="D306" s="254" t="s">
        <v>194</v>
      </c>
      <c r="E306" s="233"/>
      <c r="F306" s="233"/>
      <c r="G306" s="233"/>
      <c r="H306" s="234"/>
      <c r="I306" s="234"/>
      <c r="J306" s="222"/>
      <c r="K306" s="222" t="s">
        <v>485</v>
      </c>
      <c r="L306" s="346"/>
      <c r="M306" s="255"/>
      <c r="N306" s="365"/>
      <c r="O306" s="365"/>
      <c r="P306" s="365"/>
      <c r="Q306" s="228">
        <v>1.1045979E8</v>
      </c>
      <c r="R306" s="228">
        <v>1.08187398E8</v>
      </c>
      <c r="S306" s="229">
        <v>1.00622368E8</v>
      </c>
      <c r="T306" s="229">
        <v>1.08171145E8</v>
      </c>
      <c r="U306" s="229">
        <v>1.0247921E8</v>
      </c>
      <c r="V306" s="229">
        <v>9.7538857E7</v>
      </c>
      <c r="W306" s="238"/>
      <c r="X306" s="238"/>
      <c r="Y306" s="238"/>
      <c r="Z306" s="238"/>
      <c r="AA306" s="238"/>
      <c r="AB306" s="238"/>
      <c r="AC306" s="378">
        <f t="shared" si="136"/>
        <v>627458768</v>
      </c>
      <c r="AD306" s="214"/>
      <c r="AE306" s="192"/>
      <c r="AF306" s="194"/>
      <c r="AG306" s="194"/>
      <c r="AH306" s="194"/>
      <c r="AI306" s="194"/>
    </row>
    <row r="307" hidden="1">
      <c r="A307" s="126"/>
      <c r="B307" s="195"/>
      <c r="C307" s="196"/>
      <c r="D307" s="254" t="s">
        <v>492</v>
      </c>
      <c r="E307" s="233"/>
      <c r="F307" s="233"/>
      <c r="G307" s="233"/>
      <c r="H307" s="234"/>
      <c r="I307" s="234"/>
      <c r="J307" s="222"/>
      <c r="K307" s="222" t="s">
        <v>485</v>
      </c>
      <c r="L307" s="346"/>
      <c r="M307" s="255"/>
      <c r="N307" s="365"/>
      <c r="O307" s="365"/>
      <c r="P307" s="365"/>
      <c r="Q307" s="228">
        <v>1.1045979E8</v>
      </c>
      <c r="R307" s="228">
        <v>1.08187398E8</v>
      </c>
      <c r="S307" s="238"/>
      <c r="T307" s="238"/>
      <c r="U307" s="238"/>
      <c r="V307" s="238"/>
      <c r="W307" s="238"/>
      <c r="X307" s="238"/>
      <c r="Y307" s="238"/>
      <c r="Z307" s="238"/>
      <c r="AA307" s="238"/>
      <c r="AB307" s="238"/>
      <c r="AC307" s="378">
        <f t="shared" si="136"/>
        <v>218647188</v>
      </c>
      <c r="AD307" s="214"/>
      <c r="AE307" s="192"/>
      <c r="AF307" s="194"/>
      <c r="AG307" s="194"/>
      <c r="AH307" s="194"/>
      <c r="AI307" s="194"/>
    </row>
    <row r="308">
      <c r="A308" s="126"/>
      <c r="B308" s="195"/>
      <c r="C308" s="196">
        <v>2.0</v>
      </c>
      <c r="D308" s="197" t="s">
        <v>493</v>
      </c>
      <c r="E308" s="198" t="s">
        <v>186</v>
      </c>
      <c r="F308" s="198" t="s">
        <v>88</v>
      </c>
      <c r="G308" s="198" t="s">
        <v>88</v>
      </c>
      <c r="H308" s="198" t="s">
        <v>218</v>
      </c>
      <c r="I308" s="198" t="s">
        <v>187</v>
      </c>
      <c r="J308" s="198" t="s">
        <v>188</v>
      </c>
      <c r="K308" s="199" t="s">
        <v>485</v>
      </c>
      <c r="L308" s="347">
        <v>4.544912E9</v>
      </c>
      <c r="M308" s="257" t="s">
        <v>494</v>
      </c>
      <c r="N308" s="366"/>
      <c r="O308" s="366">
        <v>45383.0</v>
      </c>
      <c r="P308" s="366">
        <v>45747.0</v>
      </c>
      <c r="Q308" s="204">
        <v>3.71801521E8</v>
      </c>
      <c r="R308" s="204">
        <v>3.71801521E8</v>
      </c>
      <c r="S308" s="204">
        <v>3.71801521E8</v>
      </c>
      <c r="T308" s="204">
        <v>3.71801521E8</v>
      </c>
      <c r="U308" s="204">
        <v>3.71801521E8</v>
      </c>
      <c r="V308" s="204">
        <v>3.71801521E8</v>
      </c>
      <c r="W308" s="204">
        <v>3.71801521E8</v>
      </c>
      <c r="X308" s="204">
        <v>3.71801521E8</v>
      </c>
      <c r="Y308" s="204">
        <v>3.71801521E8</v>
      </c>
      <c r="Z308" s="204">
        <v>3.71801521E8</v>
      </c>
      <c r="AA308" s="204">
        <v>3.71801521E8</v>
      </c>
      <c r="AB308" s="204">
        <v>3.71801521E8</v>
      </c>
      <c r="AC308" s="205">
        <v>4.461618252E9</v>
      </c>
      <c r="AD308" s="178">
        <f>SUM(Q308:AB308)-AC308</f>
        <v>0</v>
      </c>
      <c r="AE308" s="241"/>
      <c r="AF308" s="194"/>
      <c r="AG308" s="194"/>
      <c r="AH308" s="194"/>
      <c r="AI308" s="194"/>
    </row>
    <row r="309" hidden="1">
      <c r="A309" s="126"/>
      <c r="B309" s="195"/>
      <c r="C309" s="206"/>
      <c r="D309" s="207"/>
      <c r="E309" s="207"/>
      <c r="F309" s="207"/>
      <c r="G309" s="207"/>
      <c r="H309" s="206"/>
      <c r="I309" s="206"/>
      <c r="J309" s="206"/>
      <c r="K309" s="206" t="s">
        <v>485</v>
      </c>
      <c r="L309" s="245"/>
      <c r="M309" s="209"/>
      <c r="N309" s="367"/>
      <c r="O309" s="367"/>
      <c r="P309" s="367">
        <f>P308</f>
        <v>45747</v>
      </c>
      <c r="Q309" s="268">
        <f>L308/12</f>
        <v>378742666.7</v>
      </c>
      <c r="R309" s="268">
        <f t="shared" ref="R309:S309" si="137">Q309</f>
        <v>378742666.7</v>
      </c>
      <c r="S309" s="268">
        <f t="shared" si="137"/>
        <v>378742666.7</v>
      </c>
      <c r="T309" s="212"/>
      <c r="U309" s="212"/>
      <c r="V309" s="212"/>
      <c r="W309" s="212"/>
      <c r="X309" s="212"/>
      <c r="Y309" s="212"/>
      <c r="Z309" s="212"/>
      <c r="AA309" s="212"/>
      <c r="AB309" s="212"/>
      <c r="AC309" s="213">
        <f t="shared" ref="AC309:AC319" si="138">SUM(Q309:AB309)</f>
        <v>1136228000</v>
      </c>
      <c r="AD309" s="284"/>
      <c r="AE309" s="241"/>
      <c r="AF309" s="194"/>
      <c r="AG309" s="194"/>
      <c r="AH309" s="194"/>
      <c r="AI309" s="194"/>
    </row>
    <row r="310" hidden="1">
      <c r="A310" s="126"/>
      <c r="B310" s="195"/>
      <c r="C310" s="206"/>
      <c r="D310" s="207"/>
      <c r="E310" s="207"/>
      <c r="F310" s="207"/>
      <c r="G310" s="207"/>
      <c r="H310" s="206"/>
      <c r="I310" s="206"/>
      <c r="J310" s="216"/>
      <c r="K310" s="216" t="s">
        <v>485</v>
      </c>
      <c r="L310" s="217">
        <f>5681140000-L308</f>
        <v>1136228000</v>
      </c>
      <c r="M310" s="218" t="s">
        <v>495</v>
      </c>
      <c r="N310" s="382"/>
      <c r="O310" s="382">
        <v>45748.0</v>
      </c>
      <c r="P310" s="382">
        <v>45838.0</v>
      </c>
      <c r="Q310" s="249"/>
      <c r="R310" s="249"/>
      <c r="S310" s="249"/>
      <c r="T310" s="249">
        <f>L310/3</f>
        <v>378742666.7</v>
      </c>
      <c r="U310" s="249">
        <v>3.787426666666667E8</v>
      </c>
      <c r="V310" s="249">
        <v>3.787426666666667E8</v>
      </c>
      <c r="W310" s="212"/>
      <c r="X310" s="212"/>
      <c r="Y310" s="212"/>
      <c r="Z310" s="212"/>
      <c r="AA310" s="212"/>
      <c r="AB310" s="212"/>
      <c r="AC310" s="213">
        <f t="shared" si="138"/>
        <v>1136228000</v>
      </c>
      <c r="AD310" s="284"/>
      <c r="AE310" s="241"/>
      <c r="AF310" s="194"/>
      <c r="AG310" s="194"/>
      <c r="AH310" s="194"/>
      <c r="AI310" s="194"/>
    </row>
    <row r="311" hidden="1">
      <c r="A311" s="126"/>
      <c r="B311" s="195"/>
      <c r="C311" s="206"/>
      <c r="D311" s="215" t="s">
        <v>489</v>
      </c>
      <c r="E311" s="207"/>
      <c r="F311" s="207"/>
      <c r="G311" s="207"/>
      <c r="H311" s="206"/>
      <c r="I311" s="206"/>
      <c r="J311" s="221"/>
      <c r="K311" s="221" t="s">
        <v>485</v>
      </c>
      <c r="L311" s="280"/>
      <c r="M311" s="265" t="s">
        <v>496</v>
      </c>
      <c r="N311" s="283"/>
      <c r="O311" s="283">
        <f>P310+1</f>
        <v>45839</v>
      </c>
      <c r="P311" s="368">
        <v>45900.0</v>
      </c>
      <c r="Q311" s="249"/>
      <c r="R311" s="249"/>
      <c r="S311" s="249"/>
      <c r="T311" s="249"/>
      <c r="U311" s="249"/>
      <c r="V311" s="249"/>
      <c r="W311" s="212"/>
      <c r="X311" s="212"/>
      <c r="Y311" s="212"/>
      <c r="Z311" s="212"/>
      <c r="AA311" s="212"/>
      <c r="AB311" s="212"/>
      <c r="AC311" s="213">
        <f t="shared" si="138"/>
        <v>0</v>
      </c>
      <c r="AD311" s="284"/>
      <c r="AE311" s="241"/>
      <c r="AF311" s="194"/>
      <c r="AG311" s="194"/>
      <c r="AH311" s="194"/>
      <c r="AI311" s="194"/>
    </row>
    <row r="312" hidden="1">
      <c r="A312" s="126"/>
      <c r="B312" s="195"/>
      <c r="C312" s="222"/>
      <c r="D312" s="250" t="s">
        <v>497</v>
      </c>
      <c r="E312" s="224"/>
      <c r="F312" s="224"/>
      <c r="G312" s="224"/>
      <c r="H312" s="222"/>
      <c r="I312" s="222"/>
      <c r="J312" s="222"/>
      <c r="K312" s="222" t="s">
        <v>485</v>
      </c>
      <c r="L312" s="225"/>
      <c r="M312" s="383"/>
      <c r="N312" s="285"/>
      <c r="O312" s="285"/>
      <c r="P312" s="285"/>
      <c r="Q312" s="228">
        <v>3.93088251E8</v>
      </c>
      <c r="R312" s="228">
        <v>3.92904794E8</v>
      </c>
      <c r="S312" s="228">
        <v>3.93183962E8</v>
      </c>
      <c r="T312" s="228">
        <v>3.88646423E8</v>
      </c>
      <c r="U312" s="228">
        <v>3.9096534E8</v>
      </c>
      <c r="V312" s="229">
        <v>3.91791575E8</v>
      </c>
      <c r="W312" s="230"/>
      <c r="X312" s="230"/>
      <c r="Y312" s="230"/>
      <c r="Z312" s="230"/>
      <c r="AA312" s="230"/>
      <c r="AB312" s="230"/>
      <c r="AC312" s="231">
        <f t="shared" si="138"/>
        <v>2350580345</v>
      </c>
      <c r="AD312" s="284"/>
      <c r="AE312" s="241"/>
      <c r="AF312" s="194"/>
      <c r="AG312" s="194"/>
      <c r="AH312" s="194"/>
      <c r="AI312" s="194"/>
    </row>
    <row r="313" hidden="1">
      <c r="A313" s="126"/>
      <c r="B313" s="181"/>
      <c r="C313" s="222"/>
      <c r="D313" s="286" t="s">
        <v>194</v>
      </c>
      <c r="E313" s="233"/>
      <c r="F313" s="233"/>
      <c r="G313" s="233"/>
      <c r="H313" s="234"/>
      <c r="I313" s="234"/>
      <c r="J313" s="222"/>
      <c r="K313" s="222" t="s">
        <v>485</v>
      </c>
      <c r="L313" s="287"/>
      <c r="M313" s="236"/>
      <c r="N313" s="285"/>
      <c r="O313" s="285"/>
      <c r="P313" s="285"/>
      <c r="Q313" s="228">
        <v>3.93088251E8</v>
      </c>
      <c r="R313" s="228">
        <v>3.92904794E8</v>
      </c>
      <c r="S313" s="228">
        <v>3.93183962E8</v>
      </c>
      <c r="T313" s="228">
        <v>3.88646423E8</v>
      </c>
      <c r="U313" s="228">
        <v>3.9096534E8</v>
      </c>
      <c r="V313" s="288"/>
      <c r="W313" s="288"/>
      <c r="X313" s="288"/>
      <c r="Y313" s="288"/>
      <c r="Z313" s="288"/>
      <c r="AA313" s="288"/>
      <c r="AB313" s="288"/>
      <c r="AC313" s="378">
        <f t="shared" si="138"/>
        <v>1958788770</v>
      </c>
      <c r="AD313" s="271"/>
      <c r="AE313" s="241"/>
      <c r="AF313" s="194"/>
      <c r="AG313" s="194"/>
      <c r="AH313" s="194"/>
      <c r="AI313" s="194"/>
    </row>
    <row r="314" hidden="1">
      <c r="A314" s="126"/>
      <c r="B314" s="181"/>
      <c r="C314" s="222"/>
      <c r="D314" s="286" t="s">
        <v>498</v>
      </c>
      <c r="E314" s="233"/>
      <c r="F314" s="233"/>
      <c r="G314" s="233"/>
      <c r="H314" s="234"/>
      <c r="I314" s="234"/>
      <c r="J314" s="222"/>
      <c r="K314" s="222" t="s">
        <v>485</v>
      </c>
      <c r="L314" s="287"/>
      <c r="M314" s="236"/>
      <c r="N314" s="285"/>
      <c r="O314" s="285"/>
      <c r="P314" s="285"/>
      <c r="Q314" s="228">
        <v>3.93088251E8</v>
      </c>
      <c r="R314" s="228">
        <v>3.92904794E8</v>
      </c>
      <c r="S314" s="228">
        <v>3.93183962E8</v>
      </c>
      <c r="T314" s="228">
        <v>3.88646423E8</v>
      </c>
      <c r="U314" s="228">
        <v>3.9096534E8</v>
      </c>
      <c r="V314" s="288"/>
      <c r="W314" s="288"/>
      <c r="X314" s="288"/>
      <c r="Y314" s="288"/>
      <c r="Z314" s="288"/>
      <c r="AA314" s="288"/>
      <c r="AB314" s="288"/>
      <c r="AC314" s="378">
        <f t="shared" si="138"/>
        <v>1958788770</v>
      </c>
      <c r="AD314" s="271"/>
      <c r="AE314" s="241"/>
      <c r="AF314" s="194"/>
      <c r="AG314" s="194"/>
      <c r="AH314" s="194"/>
      <c r="AI314" s="194"/>
    </row>
    <row r="315" hidden="1">
      <c r="A315" s="126"/>
      <c r="B315" s="181"/>
      <c r="C315" s="289"/>
      <c r="D315" s="290" t="s">
        <v>499</v>
      </c>
      <c r="E315" s="487"/>
      <c r="F315" s="487"/>
      <c r="G315" s="487"/>
      <c r="H315" s="291"/>
      <c r="I315" s="291"/>
      <c r="J315" s="292"/>
      <c r="K315" s="292" t="s">
        <v>485</v>
      </c>
      <c r="L315" s="293"/>
      <c r="M315" s="294"/>
      <c r="N315" s="295"/>
      <c r="O315" s="295"/>
      <c r="P315" s="295"/>
      <c r="Q315" s="296">
        <f t="shared" ref="Q315:AB315" si="139">Q302+Q303+Q304+Q309+Q310+Q311</f>
        <v>501382666.7</v>
      </c>
      <c r="R315" s="296">
        <f t="shared" si="139"/>
        <v>501382666.7</v>
      </c>
      <c r="S315" s="296">
        <f t="shared" si="139"/>
        <v>499292261.7</v>
      </c>
      <c r="T315" s="296">
        <f t="shared" si="139"/>
        <v>499292261.7</v>
      </c>
      <c r="U315" s="296">
        <f t="shared" si="139"/>
        <v>499292261.7</v>
      </c>
      <c r="V315" s="296">
        <f t="shared" si="139"/>
        <v>499292261.7</v>
      </c>
      <c r="W315" s="296">
        <f t="shared" si="139"/>
        <v>0</v>
      </c>
      <c r="X315" s="296">
        <f t="shared" si="139"/>
        <v>0</v>
      </c>
      <c r="Y315" s="296">
        <f t="shared" si="139"/>
        <v>0</v>
      </c>
      <c r="Z315" s="296">
        <f t="shared" si="139"/>
        <v>0</v>
      </c>
      <c r="AA315" s="296">
        <f t="shared" si="139"/>
        <v>0</v>
      </c>
      <c r="AB315" s="296">
        <f t="shared" si="139"/>
        <v>0</v>
      </c>
      <c r="AC315" s="547">
        <f t="shared" si="138"/>
        <v>2999934380</v>
      </c>
      <c r="AD315" s="264"/>
      <c r="AE315" s="241"/>
      <c r="AF315" s="194"/>
      <c r="AG315" s="194"/>
      <c r="AH315" s="194"/>
      <c r="AI315" s="194"/>
    </row>
    <row r="316" hidden="1">
      <c r="A316" s="126"/>
      <c r="B316" s="298"/>
      <c r="C316" s="299"/>
      <c r="D316" s="300" t="s">
        <v>500</v>
      </c>
      <c r="E316" s="488"/>
      <c r="F316" s="488"/>
      <c r="G316" s="488"/>
      <c r="H316" s="301"/>
      <c r="I316" s="301"/>
      <c r="J316" s="489"/>
      <c r="K316" s="489" t="s">
        <v>485</v>
      </c>
      <c r="L316" s="304"/>
      <c r="M316" s="305"/>
      <c r="N316" s="306"/>
      <c r="O316" s="306"/>
      <c r="P316" s="306"/>
      <c r="Q316" s="307">
        <f t="shared" ref="Q316:AB316" si="140">Q305+Q312</f>
        <v>503548041</v>
      </c>
      <c r="R316" s="307">
        <f t="shared" si="140"/>
        <v>501092192</v>
      </c>
      <c r="S316" s="490">
        <f t="shared" si="140"/>
        <v>493806330</v>
      </c>
      <c r="T316" s="490">
        <f t="shared" si="140"/>
        <v>496817568</v>
      </c>
      <c r="U316" s="490">
        <f t="shared" si="140"/>
        <v>493444550</v>
      </c>
      <c r="V316" s="490">
        <f t="shared" si="140"/>
        <v>489330432</v>
      </c>
      <c r="W316" s="307">
        <f t="shared" si="140"/>
        <v>0</v>
      </c>
      <c r="X316" s="307">
        <f t="shared" si="140"/>
        <v>0</v>
      </c>
      <c r="Y316" s="307">
        <f t="shared" si="140"/>
        <v>0</v>
      </c>
      <c r="Z316" s="307">
        <f t="shared" si="140"/>
        <v>0</v>
      </c>
      <c r="AA316" s="307">
        <f t="shared" si="140"/>
        <v>0</v>
      </c>
      <c r="AB316" s="307">
        <f t="shared" si="140"/>
        <v>0</v>
      </c>
      <c r="AC316" s="309">
        <f t="shared" si="138"/>
        <v>2978039113</v>
      </c>
      <c r="AD316" s="499"/>
      <c r="AE316" s="192"/>
      <c r="AF316" s="310">
        <f t="shared" ref="AF316:AF317" si="142">AC316-AC317</f>
        <v>391791575</v>
      </c>
      <c r="AG316" s="311" t="s">
        <v>226</v>
      </c>
      <c r="AH316" s="194"/>
      <c r="AI316" s="194"/>
    </row>
    <row r="317" hidden="1">
      <c r="A317" s="126"/>
      <c r="B317" s="298"/>
      <c r="C317" s="312"/>
      <c r="D317" s="313" t="s">
        <v>501</v>
      </c>
      <c r="E317" s="331"/>
      <c r="F317" s="331"/>
      <c r="G317" s="331"/>
      <c r="H317" s="199"/>
      <c r="I317" s="199"/>
      <c r="J317" s="222"/>
      <c r="K317" s="222" t="s">
        <v>485</v>
      </c>
      <c r="L317" s="287"/>
      <c r="M317" s="236"/>
      <c r="N317" s="285"/>
      <c r="O317" s="285"/>
      <c r="P317" s="285"/>
      <c r="Q317" s="288">
        <f t="shared" ref="Q317:V317" si="141">Q306+Q313</f>
        <v>503548041</v>
      </c>
      <c r="R317" s="288">
        <f t="shared" si="141"/>
        <v>501092192</v>
      </c>
      <c r="S317" s="314">
        <f t="shared" si="141"/>
        <v>493806330</v>
      </c>
      <c r="T317" s="314">
        <f t="shared" si="141"/>
        <v>496817568</v>
      </c>
      <c r="U317" s="314">
        <f t="shared" si="141"/>
        <v>493444550</v>
      </c>
      <c r="V317" s="314">
        <f t="shared" si="141"/>
        <v>97538857</v>
      </c>
      <c r="W317" s="288"/>
      <c r="X317" s="288"/>
      <c r="Y317" s="288"/>
      <c r="Z317" s="288"/>
      <c r="AA317" s="288"/>
      <c r="AB317" s="288"/>
      <c r="AC317" s="378">
        <f t="shared" si="138"/>
        <v>2586247538</v>
      </c>
      <c r="AD317" s="214"/>
      <c r="AE317" s="192"/>
      <c r="AF317" s="316">
        <f t="shared" si="142"/>
        <v>408811580</v>
      </c>
      <c r="AG317" s="311" t="s">
        <v>228</v>
      </c>
      <c r="AH317" s="194"/>
      <c r="AI317" s="194"/>
    </row>
    <row r="318" hidden="1">
      <c r="A318" s="126"/>
      <c r="B318" s="298"/>
      <c r="C318" s="317"/>
      <c r="D318" s="318" t="s">
        <v>502</v>
      </c>
      <c r="E318" s="493"/>
      <c r="F318" s="493"/>
      <c r="G318" s="493"/>
      <c r="H318" s="494"/>
      <c r="I318" s="494"/>
      <c r="J318" s="320"/>
      <c r="K318" s="320" t="s">
        <v>485</v>
      </c>
      <c r="L318" s="321"/>
      <c r="M318" s="322"/>
      <c r="N318" s="323"/>
      <c r="O318" s="323"/>
      <c r="P318" s="323"/>
      <c r="Q318" s="324">
        <f t="shared" ref="Q318:V318" si="143">Q307+Q314</f>
        <v>503548041</v>
      </c>
      <c r="R318" s="324">
        <f t="shared" si="143"/>
        <v>501092192</v>
      </c>
      <c r="S318" s="325">
        <f t="shared" si="143"/>
        <v>393183962</v>
      </c>
      <c r="T318" s="325">
        <f t="shared" si="143"/>
        <v>388646423</v>
      </c>
      <c r="U318" s="325">
        <f t="shared" si="143"/>
        <v>390965340</v>
      </c>
      <c r="V318" s="325">
        <f t="shared" si="143"/>
        <v>0</v>
      </c>
      <c r="W318" s="324"/>
      <c r="X318" s="324"/>
      <c r="Y318" s="324"/>
      <c r="Z318" s="324"/>
      <c r="AA318" s="324"/>
      <c r="AB318" s="324"/>
      <c r="AC318" s="539">
        <f t="shared" si="138"/>
        <v>2177435958</v>
      </c>
      <c r="AD318" s="214"/>
      <c r="AE318" s="192"/>
      <c r="AF318" s="328">
        <f>AC318</f>
        <v>2177435958</v>
      </c>
      <c r="AG318" s="311" t="s">
        <v>148</v>
      </c>
      <c r="AH318" s="194"/>
      <c r="AI318" s="194"/>
    </row>
    <row r="319">
      <c r="A319" s="126"/>
      <c r="B319" s="181">
        <v>6.0</v>
      </c>
      <c r="C319" s="329" t="s">
        <v>34</v>
      </c>
      <c r="D319" s="330"/>
      <c r="E319" s="496"/>
      <c r="F319" s="496"/>
      <c r="G319" s="496"/>
      <c r="H319" s="332"/>
      <c r="I319" s="332"/>
      <c r="J319" s="333"/>
      <c r="K319" s="333" t="s">
        <v>503</v>
      </c>
      <c r="L319" s="334">
        <f>L320+L326+L338</f>
        <v>21533874414</v>
      </c>
      <c r="M319" s="335"/>
      <c r="N319" s="336"/>
      <c r="O319" s="336"/>
      <c r="P319" s="336"/>
      <c r="Q319" s="337">
        <f t="shared" ref="Q319:AB319" si="144">Q320+Q326+Q337</f>
        <v>858918922.5</v>
      </c>
      <c r="R319" s="337">
        <f t="shared" si="144"/>
        <v>858918922.5</v>
      </c>
      <c r="S319" s="337">
        <f t="shared" si="144"/>
        <v>858918922.5</v>
      </c>
      <c r="T319" s="337">
        <f t="shared" si="144"/>
        <v>858918922.5</v>
      </c>
      <c r="U319" s="337">
        <f t="shared" si="144"/>
        <v>858918922.5</v>
      </c>
      <c r="V319" s="337">
        <f t="shared" si="144"/>
        <v>858918922.5</v>
      </c>
      <c r="W319" s="337">
        <f t="shared" si="144"/>
        <v>858918922.5</v>
      </c>
      <c r="X319" s="337">
        <f t="shared" si="144"/>
        <v>858918922.5</v>
      </c>
      <c r="Y319" s="337">
        <f t="shared" si="144"/>
        <v>858918922.5</v>
      </c>
      <c r="Z319" s="337">
        <f t="shared" si="144"/>
        <v>858918922.5</v>
      </c>
      <c r="AA319" s="337">
        <f t="shared" si="144"/>
        <v>858918922.5</v>
      </c>
      <c r="AB319" s="337">
        <f t="shared" si="144"/>
        <v>858918922.5</v>
      </c>
      <c r="AC319" s="338">
        <f t="shared" si="138"/>
        <v>10307027070</v>
      </c>
      <c r="AD319" s="178">
        <f>AC319-AE319</f>
        <v>-0.2702674866</v>
      </c>
      <c r="AE319" s="192">
        <f>'Proker New'!Y57</f>
        <v>10307027070</v>
      </c>
      <c r="AF319" s="193" t="str">
        <f>C319</f>
        <v>Riau - Pekanbaru (PKU)</v>
      </c>
      <c r="AG319" s="194"/>
      <c r="AH319" s="194"/>
      <c r="AI319" s="194"/>
    </row>
    <row r="320">
      <c r="A320" s="126"/>
      <c r="B320" s="195"/>
      <c r="C320" s="196">
        <v>1.0</v>
      </c>
      <c r="D320" s="197" t="s">
        <v>504</v>
      </c>
      <c r="E320" s="198" t="s">
        <v>186</v>
      </c>
      <c r="F320" s="198" t="s">
        <v>103</v>
      </c>
      <c r="G320" s="198" t="s">
        <v>86</v>
      </c>
      <c r="H320" s="198" t="s">
        <v>86</v>
      </c>
      <c r="I320" s="198" t="s">
        <v>187</v>
      </c>
      <c r="J320" s="198" t="s">
        <v>188</v>
      </c>
      <c r="K320" s="199" t="s">
        <v>503</v>
      </c>
      <c r="L320" s="347">
        <f>5222444949</f>
        <v>5222444949</v>
      </c>
      <c r="M320" s="257" t="s">
        <v>505</v>
      </c>
      <c r="N320" s="366"/>
      <c r="O320" s="366">
        <v>45536.0</v>
      </c>
      <c r="P320" s="366" t="s">
        <v>506</v>
      </c>
      <c r="Q320" s="503">
        <v>4.03809459E8</v>
      </c>
      <c r="R320" s="503">
        <v>4.03809459E8</v>
      </c>
      <c r="S320" s="503">
        <v>4.03809459E8</v>
      </c>
      <c r="T320" s="503">
        <v>4.03809459E8</v>
      </c>
      <c r="U320" s="503">
        <v>4.03809459E8</v>
      </c>
      <c r="V320" s="503">
        <v>4.03809459E8</v>
      </c>
      <c r="W320" s="503">
        <v>4.03809459E8</v>
      </c>
      <c r="X320" s="503">
        <v>4.03809459E8</v>
      </c>
      <c r="Y320" s="503">
        <v>4.03809459E8</v>
      </c>
      <c r="Z320" s="503">
        <v>4.03809459E8</v>
      </c>
      <c r="AA320" s="503">
        <v>4.03809459E8</v>
      </c>
      <c r="AB320" s="503">
        <v>4.03809459E8</v>
      </c>
      <c r="AC320" s="205">
        <v>4.845713508E9</v>
      </c>
      <c r="AD320" s="178">
        <f>SUM(Q320:AB320)-AC320</f>
        <v>0</v>
      </c>
      <c r="AE320" s="241"/>
      <c r="AF320" s="194"/>
      <c r="AG320" s="194"/>
      <c r="AH320" s="194"/>
      <c r="AI320" s="194"/>
    </row>
    <row r="321" hidden="1">
      <c r="A321" s="126"/>
      <c r="B321" s="195"/>
      <c r="C321" s="206"/>
      <c r="D321" s="207"/>
      <c r="E321" s="207"/>
      <c r="F321" s="207"/>
      <c r="G321" s="207"/>
      <c r="H321" s="206"/>
      <c r="I321" s="206"/>
      <c r="J321" s="206"/>
      <c r="K321" s="206" t="s">
        <v>503</v>
      </c>
      <c r="L321" s="245"/>
      <c r="M321" s="209"/>
      <c r="N321" s="367"/>
      <c r="O321" s="367"/>
      <c r="P321" s="367">
        <v>45900.0</v>
      </c>
      <c r="Q321" s="249">
        <f>L320/12</f>
        <v>435203745.8</v>
      </c>
      <c r="R321" s="249">
        <f t="shared" ref="R321:X321" si="145">Q321</f>
        <v>435203745.8</v>
      </c>
      <c r="S321" s="249">
        <f t="shared" si="145"/>
        <v>435203745.8</v>
      </c>
      <c r="T321" s="249">
        <f t="shared" si="145"/>
        <v>435203745.8</v>
      </c>
      <c r="U321" s="249">
        <f t="shared" si="145"/>
        <v>435203745.8</v>
      </c>
      <c r="V321" s="249">
        <f t="shared" si="145"/>
        <v>435203745.8</v>
      </c>
      <c r="W321" s="249">
        <f t="shared" si="145"/>
        <v>435203745.8</v>
      </c>
      <c r="X321" s="249">
        <f t="shared" si="145"/>
        <v>435203745.8</v>
      </c>
      <c r="Y321" s="212"/>
      <c r="Z321" s="212"/>
      <c r="AA321" s="212"/>
      <c r="AB321" s="212"/>
      <c r="AC321" s="213">
        <f t="shared" ref="AC321:AC325" si="146">SUM(Q321:AB321)</f>
        <v>3481629966</v>
      </c>
      <c r="AD321" s="264"/>
      <c r="AE321" s="241"/>
      <c r="AF321" s="194"/>
      <c r="AG321" s="194"/>
      <c r="AH321" s="194"/>
      <c r="AI321" s="194"/>
    </row>
    <row r="322" hidden="1">
      <c r="A322" s="126"/>
      <c r="B322" s="195"/>
      <c r="C322" s="206"/>
      <c r="D322" s="207"/>
      <c r="E322" s="207"/>
      <c r="F322" s="207"/>
      <c r="G322" s="207"/>
      <c r="H322" s="206"/>
      <c r="I322" s="206"/>
      <c r="J322" s="497"/>
      <c r="K322" s="497" t="s">
        <v>503</v>
      </c>
      <c r="L322" s="280"/>
      <c r="M322" s="265"/>
      <c r="N322" s="283"/>
      <c r="O322" s="283"/>
      <c r="P322" s="283"/>
      <c r="Q322" s="504"/>
      <c r="R322" s="249"/>
      <c r="S322" s="249"/>
      <c r="T322" s="249"/>
      <c r="U322" s="249"/>
      <c r="V322" s="212"/>
      <c r="W322" s="212"/>
      <c r="X322" s="212"/>
      <c r="Y322" s="212"/>
      <c r="Z322" s="212"/>
      <c r="AA322" s="212"/>
      <c r="AB322" s="212"/>
      <c r="AC322" s="213">
        <f t="shared" si="146"/>
        <v>0</v>
      </c>
      <c r="AD322" s="273"/>
      <c r="AE322" s="192"/>
      <c r="AF322" s="194"/>
      <c r="AG322" s="194"/>
      <c r="AH322" s="194"/>
      <c r="AI322" s="194"/>
    </row>
    <row r="323" hidden="1">
      <c r="A323" s="126"/>
      <c r="B323" s="195"/>
      <c r="C323" s="222"/>
      <c r="D323" s="250" t="s">
        <v>507</v>
      </c>
      <c r="E323" s="224"/>
      <c r="F323" s="224"/>
      <c r="G323" s="224"/>
      <c r="H323" s="222"/>
      <c r="I323" s="222"/>
      <c r="J323" s="222"/>
      <c r="K323" s="222" t="s">
        <v>503</v>
      </c>
      <c r="L323" s="225"/>
      <c r="M323" s="383"/>
      <c r="N323" s="285"/>
      <c r="O323" s="285"/>
      <c r="P323" s="285"/>
      <c r="Q323" s="270">
        <v>4.30053697E8</v>
      </c>
      <c r="R323" s="229">
        <v>4.87101637E8</v>
      </c>
      <c r="S323" s="229">
        <v>4.87101637E8</v>
      </c>
      <c r="T323" s="229">
        <v>4.87101637E8</v>
      </c>
      <c r="U323" s="229">
        <v>4.87101637E8</v>
      </c>
      <c r="V323" s="229">
        <v>4.38830304E8</v>
      </c>
      <c r="W323" s="230"/>
      <c r="X323" s="230"/>
      <c r="Y323" s="230"/>
      <c r="Z323" s="230"/>
      <c r="AA323" s="230"/>
      <c r="AB323" s="230"/>
      <c r="AC323" s="231">
        <f t="shared" si="146"/>
        <v>2817290549</v>
      </c>
      <c r="AD323" s="273"/>
      <c r="AE323" s="192"/>
      <c r="AF323" s="194"/>
      <c r="AG323" s="194"/>
      <c r="AH323" s="194"/>
      <c r="AI323" s="194"/>
    </row>
    <row r="324" hidden="1">
      <c r="A324" s="126"/>
      <c r="B324" s="195"/>
      <c r="C324" s="196"/>
      <c r="D324" s="254" t="s">
        <v>194</v>
      </c>
      <c r="E324" s="233"/>
      <c r="F324" s="233"/>
      <c r="G324" s="233"/>
      <c r="H324" s="234"/>
      <c r="I324" s="234"/>
      <c r="J324" s="222"/>
      <c r="K324" s="222" t="s">
        <v>503</v>
      </c>
      <c r="L324" s="346"/>
      <c r="M324" s="549"/>
      <c r="N324" s="365"/>
      <c r="O324" s="365"/>
      <c r="P324" s="365"/>
      <c r="Q324" s="270">
        <v>4.30053697E8</v>
      </c>
      <c r="R324" s="502"/>
      <c r="S324" s="502"/>
      <c r="T324" s="502"/>
      <c r="U324" s="502"/>
      <c r="V324" s="502"/>
      <c r="W324" s="502"/>
      <c r="X324" s="502"/>
      <c r="Y324" s="502"/>
      <c r="Z324" s="502"/>
      <c r="AA324" s="502"/>
      <c r="AB324" s="502"/>
      <c r="AC324" s="378">
        <f t="shared" si="146"/>
        <v>430053697</v>
      </c>
      <c r="AD324" s="214"/>
      <c r="AE324" s="192"/>
      <c r="AF324" s="194"/>
      <c r="AG324" s="194"/>
      <c r="AH324" s="194"/>
      <c r="AI324" s="194"/>
    </row>
    <row r="325" hidden="1">
      <c r="A325" s="126"/>
      <c r="B325" s="195"/>
      <c r="C325" s="196"/>
      <c r="D325" s="254" t="s">
        <v>508</v>
      </c>
      <c r="E325" s="233"/>
      <c r="F325" s="233"/>
      <c r="G325" s="233"/>
      <c r="H325" s="234"/>
      <c r="I325" s="234"/>
      <c r="J325" s="222"/>
      <c r="K325" s="222" t="s">
        <v>503</v>
      </c>
      <c r="L325" s="346"/>
      <c r="M325" s="549"/>
      <c r="N325" s="365"/>
      <c r="O325" s="365"/>
      <c r="P325" s="365"/>
      <c r="Q325" s="270">
        <v>4.30053697E8</v>
      </c>
      <c r="R325" s="502"/>
      <c r="S325" s="502"/>
      <c r="T325" s="502"/>
      <c r="U325" s="502"/>
      <c r="V325" s="502"/>
      <c r="W325" s="502"/>
      <c r="X325" s="502"/>
      <c r="Y325" s="502"/>
      <c r="Z325" s="502"/>
      <c r="AA325" s="502"/>
      <c r="AB325" s="502"/>
      <c r="AC325" s="378">
        <f t="shared" si="146"/>
        <v>430053697</v>
      </c>
      <c r="AD325" s="214"/>
      <c r="AE325" s="192"/>
      <c r="AF325" s="194"/>
      <c r="AG325" s="194"/>
      <c r="AH325" s="194"/>
      <c r="AI325" s="194"/>
    </row>
    <row r="326">
      <c r="A326" s="126"/>
      <c r="B326" s="195"/>
      <c r="C326" s="196">
        <v>2.0</v>
      </c>
      <c r="D326" s="184" t="s">
        <v>509</v>
      </c>
      <c r="E326" s="198" t="s">
        <v>186</v>
      </c>
      <c r="F326" s="198" t="s">
        <v>103</v>
      </c>
      <c r="G326" s="198" t="s">
        <v>86</v>
      </c>
      <c r="H326" s="198" t="s">
        <v>86</v>
      </c>
      <c r="I326" s="198" t="s">
        <v>366</v>
      </c>
      <c r="J326" s="198" t="s">
        <v>367</v>
      </c>
      <c r="K326" s="199" t="s">
        <v>503</v>
      </c>
      <c r="L326" s="347">
        <f>533306130*1.1</f>
        <v>586636743</v>
      </c>
      <c r="M326" s="550" t="s">
        <v>510</v>
      </c>
      <c r="N326" s="366"/>
      <c r="O326" s="366">
        <v>44986.0</v>
      </c>
      <c r="P326" s="366">
        <v>45351.0</v>
      </c>
      <c r="Q326" s="503">
        <v>4.4442177477477476E7</v>
      </c>
      <c r="R326" s="503">
        <v>4.4442177477477476E7</v>
      </c>
      <c r="S326" s="503">
        <v>4.4442177477477476E7</v>
      </c>
      <c r="T326" s="503">
        <v>4.4442177477477476E7</v>
      </c>
      <c r="U326" s="503">
        <v>4.4442177477477476E7</v>
      </c>
      <c r="V326" s="503">
        <v>4.4442177477477476E7</v>
      </c>
      <c r="W326" s="503">
        <v>4.4442177477477476E7</v>
      </c>
      <c r="X326" s="503">
        <v>4.4442177477477476E7</v>
      </c>
      <c r="Y326" s="503">
        <v>4.4442177477477476E7</v>
      </c>
      <c r="Z326" s="503">
        <v>4.4442177477477476E7</v>
      </c>
      <c r="AA326" s="503">
        <v>4.4442177477477476E7</v>
      </c>
      <c r="AB326" s="503">
        <v>4.4442177477477476E7</v>
      </c>
      <c r="AC326" s="205">
        <v>5.3330612972972983E8</v>
      </c>
      <c r="AD326" s="178">
        <f>SUM(Q326:AB326)-AC326</f>
        <v>0</v>
      </c>
      <c r="AE326" s="192"/>
      <c r="AF326" s="194"/>
      <c r="AG326" s="194"/>
      <c r="AH326" s="194"/>
      <c r="AI326" s="194"/>
    </row>
    <row r="327" hidden="1">
      <c r="A327" s="126"/>
      <c r="B327" s="195"/>
      <c r="C327" s="206"/>
      <c r="D327" s="215" t="s">
        <v>511</v>
      </c>
      <c r="E327" s="207"/>
      <c r="F327" s="207"/>
      <c r="G327" s="207"/>
      <c r="H327" s="206"/>
      <c r="I327" s="206"/>
      <c r="J327" s="206"/>
      <c r="K327" s="206" t="s">
        <v>503</v>
      </c>
      <c r="L327" s="245"/>
      <c r="M327" s="265" t="s">
        <v>512</v>
      </c>
      <c r="N327" s="367"/>
      <c r="O327" s="367">
        <v>45352.0</v>
      </c>
      <c r="P327" s="367">
        <v>45900.0</v>
      </c>
      <c r="Q327" s="212">
        <f>L326/12</f>
        <v>48886395.25</v>
      </c>
      <c r="R327" s="212">
        <f t="shared" ref="R327:X327" si="147">Q327</f>
        <v>48886395.25</v>
      </c>
      <c r="S327" s="212">
        <f t="shared" si="147"/>
        <v>48886395.25</v>
      </c>
      <c r="T327" s="212">
        <f t="shared" si="147"/>
        <v>48886395.25</v>
      </c>
      <c r="U327" s="212">
        <f t="shared" si="147"/>
        <v>48886395.25</v>
      </c>
      <c r="V327" s="212">
        <f t="shared" si="147"/>
        <v>48886395.25</v>
      </c>
      <c r="W327" s="212">
        <f t="shared" si="147"/>
        <v>48886395.25</v>
      </c>
      <c r="X327" s="212">
        <f t="shared" si="147"/>
        <v>48886395.25</v>
      </c>
      <c r="Y327" s="212"/>
      <c r="Z327" s="212"/>
      <c r="AA327" s="212"/>
      <c r="AB327" s="212"/>
      <c r="AC327" s="213">
        <f t="shared" ref="AC327:AC336" si="149">SUM(Q327:AB327)</f>
        <v>391091162</v>
      </c>
      <c r="AD327" s="273"/>
      <c r="AE327" s="192"/>
      <c r="AF327" s="194"/>
      <c r="AG327" s="194"/>
      <c r="AH327" s="194"/>
      <c r="AI327" s="194"/>
    </row>
    <row r="328" hidden="1">
      <c r="A328" s="126"/>
      <c r="B328" s="195"/>
      <c r="C328" s="206"/>
      <c r="D328" s="215"/>
      <c r="E328" s="207"/>
      <c r="F328" s="207"/>
      <c r="G328" s="207"/>
      <c r="H328" s="206"/>
      <c r="I328" s="206"/>
      <c r="J328" s="206"/>
      <c r="K328" s="206" t="s">
        <v>503</v>
      </c>
      <c r="L328" s="245"/>
      <c r="M328" s="265"/>
      <c r="N328" s="367"/>
      <c r="O328" s="367">
        <v>45901.0</v>
      </c>
      <c r="P328" s="367"/>
      <c r="Q328" s="212">
        <f>L328/12</f>
        <v>0</v>
      </c>
      <c r="R328" s="212">
        <f t="shared" ref="R328:W328" si="148">Q328</f>
        <v>0</v>
      </c>
      <c r="S328" s="212">
        <f t="shared" si="148"/>
        <v>0</v>
      </c>
      <c r="T328" s="212">
        <f t="shared" si="148"/>
        <v>0</v>
      </c>
      <c r="U328" s="212">
        <f t="shared" si="148"/>
        <v>0</v>
      </c>
      <c r="V328" s="212">
        <f t="shared" si="148"/>
        <v>0</v>
      </c>
      <c r="W328" s="212">
        <f t="shared" si="148"/>
        <v>0</v>
      </c>
      <c r="X328" s="212"/>
      <c r="Y328" s="212"/>
      <c r="Z328" s="212"/>
      <c r="AA328" s="212"/>
      <c r="AB328" s="212"/>
      <c r="AC328" s="213">
        <f t="shared" si="149"/>
        <v>0</v>
      </c>
      <c r="AD328" s="273"/>
      <c r="AE328" s="241"/>
      <c r="AF328" s="194"/>
      <c r="AG328" s="194"/>
      <c r="AH328" s="194"/>
      <c r="AI328" s="194"/>
    </row>
    <row r="329" hidden="1">
      <c r="A329" s="126"/>
      <c r="B329" s="195"/>
      <c r="C329" s="222"/>
      <c r="D329" s="250" t="s">
        <v>513</v>
      </c>
      <c r="E329" s="224"/>
      <c r="F329" s="224"/>
      <c r="G329" s="224"/>
      <c r="H329" s="222"/>
      <c r="I329" s="222"/>
      <c r="J329" s="222"/>
      <c r="K329" s="222" t="s">
        <v>503</v>
      </c>
      <c r="L329" s="225"/>
      <c r="M329" s="383"/>
      <c r="N329" s="285"/>
      <c r="O329" s="285"/>
      <c r="P329" s="285"/>
      <c r="Q329" s="229">
        <f>L326/12</f>
        <v>48886395.25</v>
      </c>
      <c r="R329" s="229">
        <f t="shared" ref="R329:V329" si="150">Q329</f>
        <v>48886395.25</v>
      </c>
      <c r="S329" s="229">
        <f t="shared" si="150"/>
        <v>48886395.25</v>
      </c>
      <c r="T329" s="229">
        <f t="shared" si="150"/>
        <v>48886395.25</v>
      </c>
      <c r="U329" s="229">
        <f t="shared" si="150"/>
        <v>48886395.25</v>
      </c>
      <c r="V329" s="229">
        <f t="shared" si="150"/>
        <v>48886395.25</v>
      </c>
      <c r="W329" s="228"/>
      <c r="X329" s="230"/>
      <c r="Y329" s="230"/>
      <c r="Z329" s="230"/>
      <c r="AA329" s="230"/>
      <c r="AB329" s="230"/>
      <c r="AC329" s="231">
        <f t="shared" si="149"/>
        <v>293318371.5</v>
      </c>
      <c r="AD329" s="420"/>
      <c r="AE329" s="241"/>
      <c r="AF329" s="194"/>
      <c r="AG329" s="194"/>
      <c r="AH329" s="194"/>
      <c r="AI329" s="194"/>
    </row>
    <row r="330" hidden="1">
      <c r="A330" s="126"/>
      <c r="B330" s="195"/>
      <c r="C330" s="551"/>
      <c r="D330" s="254" t="s">
        <v>194</v>
      </c>
      <c r="E330" s="509"/>
      <c r="F330" s="509"/>
      <c r="G330" s="509"/>
      <c r="H330" s="510"/>
      <c r="I330" s="510"/>
      <c r="J330" s="511"/>
      <c r="K330" s="222" t="s">
        <v>503</v>
      </c>
      <c r="L330" s="457"/>
      <c r="M330" s="552"/>
      <c r="N330" s="553"/>
      <c r="O330" s="553"/>
      <c r="P330" s="553"/>
      <c r="Q330" s="554"/>
      <c r="R330" s="554"/>
      <c r="S330" s="554"/>
      <c r="T330" s="554"/>
      <c r="U330" s="554"/>
      <c r="V330" s="554"/>
      <c r="W330" s="554"/>
      <c r="X330" s="554"/>
      <c r="Y330" s="554"/>
      <c r="Z330" s="554"/>
      <c r="AA330" s="554"/>
      <c r="AB330" s="554"/>
      <c r="AC330" s="378">
        <f t="shared" si="149"/>
        <v>0</v>
      </c>
      <c r="AD330" s="420"/>
      <c r="AE330" s="241"/>
      <c r="AF330" s="194"/>
      <c r="AG330" s="194"/>
      <c r="AH330" s="194"/>
      <c r="AI330" s="194"/>
    </row>
    <row r="331" hidden="1">
      <c r="A331" s="126"/>
      <c r="B331" s="195"/>
      <c r="C331" s="551"/>
      <c r="D331" s="254" t="s">
        <v>514</v>
      </c>
      <c r="E331" s="509"/>
      <c r="F331" s="509"/>
      <c r="G331" s="509"/>
      <c r="H331" s="510"/>
      <c r="I331" s="510"/>
      <c r="J331" s="511"/>
      <c r="K331" s="222" t="s">
        <v>503</v>
      </c>
      <c r="L331" s="457"/>
      <c r="M331" s="552"/>
      <c r="N331" s="553"/>
      <c r="O331" s="553"/>
      <c r="P331" s="553"/>
      <c r="Q331" s="554"/>
      <c r="R331" s="554"/>
      <c r="S331" s="554"/>
      <c r="T331" s="554"/>
      <c r="U331" s="554"/>
      <c r="V331" s="554"/>
      <c r="W331" s="554"/>
      <c r="X331" s="554"/>
      <c r="Y331" s="554"/>
      <c r="Z331" s="554"/>
      <c r="AA331" s="554"/>
      <c r="AB331" s="554"/>
      <c r="AC331" s="378">
        <f t="shared" si="149"/>
        <v>0</v>
      </c>
      <c r="AD331" s="420"/>
      <c r="AE331" s="241"/>
      <c r="AF331" s="194"/>
      <c r="AG331" s="194"/>
      <c r="AH331" s="194"/>
      <c r="AI331" s="194"/>
    </row>
    <row r="332">
      <c r="A332" s="126"/>
      <c r="B332" s="555"/>
      <c r="C332" s="551">
        <v>3.0</v>
      </c>
      <c r="D332" s="556" t="s">
        <v>515</v>
      </c>
      <c r="E332" s="198" t="s">
        <v>186</v>
      </c>
      <c r="F332" s="198" t="s">
        <v>305</v>
      </c>
      <c r="G332" s="198" t="s">
        <v>92</v>
      </c>
      <c r="H332" s="198" t="s">
        <v>306</v>
      </c>
      <c r="I332" s="198" t="s">
        <v>187</v>
      </c>
      <c r="J332" s="198" t="s">
        <v>188</v>
      </c>
      <c r="K332" s="557" t="s">
        <v>503</v>
      </c>
      <c r="L332" s="436">
        <f>7593218241*1.11</f>
        <v>8428472248</v>
      </c>
      <c r="M332" s="558" t="s">
        <v>516</v>
      </c>
      <c r="N332" s="399"/>
      <c r="O332" s="399">
        <v>45505.0</v>
      </c>
      <c r="P332" s="399">
        <v>46599.0</v>
      </c>
      <c r="Q332" s="559"/>
      <c r="R332" s="559"/>
      <c r="S332" s="559"/>
      <c r="T332" s="559"/>
      <c r="U332" s="559"/>
      <c r="V332" s="559"/>
      <c r="W332" s="559"/>
      <c r="X332" s="559"/>
      <c r="Y332" s="559"/>
      <c r="Z332" s="559"/>
      <c r="AA332" s="559"/>
      <c r="AB332" s="559"/>
      <c r="AC332" s="440">
        <f t="shared" si="149"/>
        <v>0</v>
      </c>
      <c r="AD332" s="420"/>
      <c r="AE332" s="241"/>
      <c r="AF332" s="194"/>
      <c r="AG332" s="194"/>
      <c r="AH332" s="194"/>
      <c r="AI332" s="194"/>
    </row>
    <row r="333" hidden="1">
      <c r="A333" s="126"/>
      <c r="B333" s="555"/>
      <c r="C333" s="206"/>
      <c r="D333" s="207"/>
      <c r="E333" s="534"/>
      <c r="F333" s="534"/>
      <c r="G333" s="534"/>
      <c r="H333" s="523"/>
      <c r="I333" s="523"/>
      <c r="J333" s="216"/>
      <c r="K333" s="523" t="s">
        <v>503</v>
      </c>
      <c r="L333" s="444">
        <v>8.428472248E9</v>
      </c>
      <c r="M333" s="560" t="s">
        <v>516</v>
      </c>
      <c r="N333" s="561"/>
      <c r="O333" s="561" t="s">
        <v>517</v>
      </c>
      <c r="P333" s="561">
        <v>46599.0</v>
      </c>
      <c r="Q333" s="463">
        <f>153347280*1.11</f>
        <v>170215480.8</v>
      </c>
      <c r="R333" s="463">
        <f>157926780*1.11</f>
        <v>175298725.8</v>
      </c>
      <c r="S333" s="463">
        <f>160535480*1.11</f>
        <v>178194382.8</v>
      </c>
      <c r="T333" s="463">
        <f>156363880*1.11</f>
        <v>173563906.8</v>
      </c>
      <c r="U333" s="463">
        <f>166835680*1.11</f>
        <v>185187604.8</v>
      </c>
      <c r="V333" s="444">
        <v>1.56363879E8</v>
      </c>
      <c r="W333" s="463"/>
      <c r="X333" s="463"/>
      <c r="Y333" s="463"/>
      <c r="Z333" s="463"/>
      <c r="AA333" s="463"/>
      <c r="AB333" s="463"/>
      <c r="AC333" s="449">
        <f t="shared" si="149"/>
        <v>1038823980</v>
      </c>
      <c r="AD333" s="420"/>
      <c r="AE333" s="241"/>
      <c r="AF333" s="194"/>
      <c r="AG333" s="194"/>
      <c r="AH333" s="194"/>
      <c r="AI333" s="194"/>
    </row>
    <row r="334" hidden="1">
      <c r="A334" s="126"/>
      <c r="B334" s="555"/>
      <c r="C334" s="222"/>
      <c r="D334" s="250" t="s">
        <v>518</v>
      </c>
      <c r="E334" s="470"/>
      <c r="F334" s="470"/>
      <c r="G334" s="470"/>
      <c r="H334" s="456"/>
      <c r="I334" s="456"/>
      <c r="J334" s="222"/>
      <c r="K334" s="222" t="s">
        <v>503</v>
      </c>
      <c r="L334" s="536"/>
      <c r="M334" s="473"/>
      <c r="N334" s="537"/>
      <c r="O334" s="537"/>
      <c r="P334" s="537"/>
      <c r="Q334" s="270">
        <v>1.70215481E8</v>
      </c>
      <c r="R334" s="270">
        <v>1.75298726E8</v>
      </c>
      <c r="S334" s="270">
        <v>1.78194383E8</v>
      </c>
      <c r="T334" s="270">
        <v>1.73563906E8</v>
      </c>
      <c r="U334" s="229">
        <v>1.4764628E8</v>
      </c>
      <c r="V334" s="229">
        <v>1.56363879E8</v>
      </c>
      <c r="W334" s="452"/>
      <c r="X334" s="452"/>
      <c r="Y334" s="452"/>
      <c r="Z334" s="452"/>
      <c r="AA334" s="452"/>
      <c r="AB334" s="452"/>
      <c r="AC334" s="538">
        <f t="shared" si="149"/>
        <v>1001282655</v>
      </c>
      <c r="AD334" s="420"/>
      <c r="AE334" s="241"/>
      <c r="AF334" s="194"/>
      <c r="AG334" s="194"/>
      <c r="AH334" s="194"/>
      <c r="AI334" s="194"/>
    </row>
    <row r="335" hidden="1">
      <c r="A335" s="126"/>
      <c r="B335" s="555"/>
      <c r="C335" s="196"/>
      <c r="D335" s="286" t="s">
        <v>194</v>
      </c>
      <c r="E335" s="233"/>
      <c r="F335" s="233"/>
      <c r="G335" s="233"/>
      <c r="H335" s="234"/>
      <c r="I335" s="234"/>
      <c r="J335" s="222"/>
      <c r="K335" s="222" t="s">
        <v>503</v>
      </c>
      <c r="L335" s="346"/>
      <c r="M335" s="543"/>
      <c r="N335" s="365"/>
      <c r="O335" s="365"/>
      <c r="P335" s="562"/>
      <c r="Q335" s="270">
        <v>1.70215481E8</v>
      </c>
      <c r="R335" s="270">
        <v>1.75298726E8</v>
      </c>
      <c r="S335" s="270">
        <v>1.78194383E8</v>
      </c>
      <c r="T335" s="270">
        <v>1.73563906E8</v>
      </c>
      <c r="U335" s="502"/>
      <c r="V335" s="502"/>
      <c r="W335" s="502"/>
      <c r="X335" s="502"/>
      <c r="Y335" s="502"/>
      <c r="Z335" s="502"/>
      <c r="AA335" s="502"/>
      <c r="AB335" s="502"/>
      <c r="AC335" s="378">
        <f t="shared" si="149"/>
        <v>697272496</v>
      </c>
      <c r="AD335" s="214"/>
      <c r="AE335" s="241"/>
      <c r="AF335" s="194"/>
      <c r="AG335" s="194"/>
      <c r="AH335" s="194"/>
      <c r="AI335" s="194"/>
    </row>
    <row r="336" hidden="1">
      <c r="A336" s="126"/>
      <c r="B336" s="555"/>
      <c r="C336" s="196"/>
      <c r="D336" s="286" t="s">
        <v>519</v>
      </c>
      <c r="E336" s="233"/>
      <c r="F336" s="233"/>
      <c r="G336" s="233"/>
      <c r="H336" s="234"/>
      <c r="I336" s="234"/>
      <c r="J336" s="222"/>
      <c r="K336" s="222" t="s">
        <v>503</v>
      </c>
      <c r="L336" s="346"/>
      <c r="M336" s="543"/>
      <c r="N336" s="365"/>
      <c r="O336" s="365"/>
      <c r="P336" s="562"/>
      <c r="Q336" s="270">
        <v>1.70215481E8</v>
      </c>
      <c r="R336" s="270">
        <v>1.75298726E8</v>
      </c>
      <c r="S336" s="270">
        <v>1.78194383E8</v>
      </c>
      <c r="T336" s="270">
        <v>1.73563906E8</v>
      </c>
      <c r="U336" s="502"/>
      <c r="V336" s="502"/>
      <c r="W336" s="502"/>
      <c r="X336" s="502"/>
      <c r="Y336" s="502"/>
      <c r="Z336" s="502"/>
      <c r="AA336" s="502"/>
      <c r="AB336" s="502"/>
      <c r="AC336" s="378">
        <f t="shared" si="149"/>
        <v>697272496</v>
      </c>
      <c r="AD336" s="214"/>
      <c r="AE336" s="241"/>
      <c r="AF336" s="194"/>
      <c r="AG336" s="194"/>
      <c r="AH336" s="194"/>
      <c r="AI336" s="194"/>
    </row>
    <row r="337">
      <c r="A337" s="126"/>
      <c r="B337" s="392"/>
      <c r="C337" s="196">
        <v>4.0</v>
      </c>
      <c r="D337" s="563" t="s">
        <v>520</v>
      </c>
      <c r="E337" s="198" t="s">
        <v>186</v>
      </c>
      <c r="F337" s="198" t="s">
        <v>88</v>
      </c>
      <c r="G337" s="198" t="s">
        <v>88</v>
      </c>
      <c r="H337" s="198" t="s">
        <v>218</v>
      </c>
      <c r="I337" s="198" t="s">
        <v>187</v>
      </c>
      <c r="J337" s="198" t="s">
        <v>188</v>
      </c>
      <c r="K337" s="199" t="s">
        <v>503</v>
      </c>
      <c r="L337" s="347">
        <f t="shared" ref="L337:L338" si="151">15724792722</f>
        <v>15724792722</v>
      </c>
      <c r="M337" s="544" t="s">
        <v>521</v>
      </c>
      <c r="N337" s="366"/>
      <c r="O337" s="366">
        <v>45536.0</v>
      </c>
      <c r="P337" s="564">
        <v>46630.0</v>
      </c>
      <c r="Q337" s="503">
        <v>4.10667286E8</v>
      </c>
      <c r="R337" s="503">
        <v>4.10667286E8</v>
      </c>
      <c r="S337" s="503">
        <v>4.10667286E8</v>
      </c>
      <c r="T337" s="503">
        <v>4.10667286E8</v>
      </c>
      <c r="U337" s="503">
        <v>4.10667286E8</v>
      </c>
      <c r="V337" s="503">
        <v>4.10667286E8</v>
      </c>
      <c r="W337" s="503">
        <v>4.10667286E8</v>
      </c>
      <c r="X337" s="503">
        <v>4.10667286E8</v>
      </c>
      <c r="Y337" s="503">
        <v>4.10667286E8</v>
      </c>
      <c r="Z337" s="503">
        <v>4.10667286E8</v>
      </c>
      <c r="AA337" s="503">
        <v>4.10667286E8</v>
      </c>
      <c r="AB337" s="503">
        <v>4.10667286E8</v>
      </c>
      <c r="AC337" s="205">
        <v>4.928007432E9</v>
      </c>
      <c r="AD337" s="178">
        <f>SUM(Q337:AB337)-AC337</f>
        <v>0</v>
      </c>
      <c r="AE337" s="241"/>
      <c r="AF337" s="194"/>
      <c r="AG337" s="194"/>
      <c r="AH337" s="194"/>
      <c r="AI337" s="194"/>
    </row>
    <row r="338" hidden="1">
      <c r="A338" s="126"/>
      <c r="B338" s="392"/>
      <c r="C338" s="206"/>
      <c r="D338" s="215" t="s">
        <v>522</v>
      </c>
      <c r="E338" s="207"/>
      <c r="F338" s="207"/>
      <c r="G338" s="207"/>
      <c r="H338" s="206"/>
      <c r="I338" s="206"/>
      <c r="J338" s="206"/>
      <c r="K338" s="206" t="s">
        <v>503</v>
      </c>
      <c r="L338" s="245">
        <f t="shared" si="151"/>
        <v>15724792722</v>
      </c>
      <c r="M338" s="265" t="s">
        <v>214</v>
      </c>
      <c r="N338" s="367"/>
      <c r="O338" s="367">
        <v>45658.0</v>
      </c>
      <c r="P338" s="382">
        <v>46630.0</v>
      </c>
      <c r="Q338" s="277">
        <f>L338/36</f>
        <v>436799797.8</v>
      </c>
      <c r="R338" s="277">
        <f t="shared" ref="R338:AB338" si="152">Q338</f>
        <v>436799797.8</v>
      </c>
      <c r="S338" s="277">
        <f t="shared" si="152"/>
        <v>436799797.8</v>
      </c>
      <c r="T338" s="277">
        <f t="shared" si="152"/>
        <v>436799797.8</v>
      </c>
      <c r="U338" s="277">
        <f t="shared" si="152"/>
        <v>436799797.8</v>
      </c>
      <c r="V338" s="277">
        <f t="shared" si="152"/>
        <v>436799797.8</v>
      </c>
      <c r="W338" s="277">
        <f t="shared" si="152"/>
        <v>436799797.8</v>
      </c>
      <c r="X338" s="277">
        <f t="shared" si="152"/>
        <v>436799797.8</v>
      </c>
      <c r="Y338" s="277">
        <f t="shared" si="152"/>
        <v>436799797.8</v>
      </c>
      <c r="Z338" s="277">
        <f t="shared" si="152"/>
        <v>436799797.8</v>
      </c>
      <c r="AA338" s="277">
        <f t="shared" si="152"/>
        <v>436799797.8</v>
      </c>
      <c r="AB338" s="277">
        <f t="shared" si="152"/>
        <v>436799797.8</v>
      </c>
      <c r="AC338" s="213">
        <f t="shared" ref="AC338:AC341" si="153">SUM(Q338:AB338)</f>
        <v>5241597574</v>
      </c>
      <c r="AD338" s="420"/>
      <c r="AE338" s="430"/>
      <c r="AF338" s="431"/>
      <c r="AG338" s="431"/>
      <c r="AH338" s="431"/>
      <c r="AI338" s="431"/>
    </row>
    <row r="339" hidden="1">
      <c r="A339" s="126"/>
      <c r="B339" s="392"/>
      <c r="C339" s="222"/>
      <c r="D339" s="250" t="s">
        <v>523</v>
      </c>
      <c r="E339" s="224"/>
      <c r="F339" s="224"/>
      <c r="G339" s="224"/>
      <c r="H339" s="222"/>
      <c r="I339" s="222"/>
      <c r="J339" s="222"/>
      <c r="K339" s="222" t="s">
        <v>503</v>
      </c>
      <c r="L339" s="225"/>
      <c r="M339" s="383"/>
      <c r="N339" s="285"/>
      <c r="O339" s="285"/>
      <c r="P339" s="285"/>
      <c r="Q339" s="229">
        <v>3.93008939E8</v>
      </c>
      <c r="R339" s="229">
        <v>3.93008939E8</v>
      </c>
      <c r="S339" s="229">
        <v>3.93008939E8</v>
      </c>
      <c r="T339" s="229">
        <v>3.93008939E8</v>
      </c>
      <c r="U339" s="229">
        <v>3.93008939E8</v>
      </c>
      <c r="V339" s="229">
        <v>3.93008939E8</v>
      </c>
      <c r="W339" s="229"/>
      <c r="X339" s="230"/>
      <c r="Y339" s="230"/>
      <c r="Z339" s="230"/>
      <c r="AA339" s="230"/>
      <c r="AB339" s="230"/>
      <c r="AC339" s="231">
        <f t="shared" si="153"/>
        <v>2358053634</v>
      </c>
      <c r="AD339" s="420"/>
      <c r="AE339" s="241"/>
      <c r="AF339" s="194"/>
      <c r="AG339" s="194"/>
      <c r="AH339" s="194"/>
      <c r="AI339" s="194"/>
    </row>
    <row r="340" hidden="1">
      <c r="A340" s="126"/>
      <c r="B340" s="421"/>
      <c r="C340" s="222"/>
      <c r="D340" s="286" t="s">
        <v>194</v>
      </c>
      <c r="E340" s="233"/>
      <c r="F340" s="233"/>
      <c r="G340" s="233"/>
      <c r="H340" s="234"/>
      <c r="I340" s="234"/>
      <c r="J340" s="222"/>
      <c r="K340" s="222" t="s">
        <v>503</v>
      </c>
      <c r="L340" s="287"/>
      <c r="M340" s="236"/>
      <c r="N340" s="285"/>
      <c r="O340" s="285"/>
      <c r="P340" s="285"/>
      <c r="Q340" s="288"/>
      <c r="R340" s="288"/>
      <c r="S340" s="288"/>
      <c r="T340" s="288"/>
      <c r="U340" s="288"/>
      <c r="V340" s="288"/>
      <c r="W340" s="288"/>
      <c r="X340" s="288"/>
      <c r="Y340" s="288"/>
      <c r="Z340" s="288"/>
      <c r="AA340" s="288"/>
      <c r="AB340" s="288"/>
      <c r="AC340" s="378">
        <f t="shared" si="153"/>
        <v>0</v>
      </c>
      <c r="AD340" s="284"/>
      <c r="AE340" s="241"/>
      <c r="AF340" s="194"/>
      <c r="AG340" s="194"/>
      <c r="AH340" s="194"/>
      <c r="AI340" s="194"/>
    </row>
    <row r="341" hidden="1">
      <c r="A341" s="126"/>
      <c r="B341" s="421"/>
      <c r="C341" s="222"/>
      <c r="D341" s="286" t="s">
        <v>524</v>
      </c>
      <c r="E341" s="233"/>
      <c r="F341" s="233"/>
      <c r="G341" s="233"/>
      <c r="H341" s="234"/>
      <c r="I341" s="234"/>
      <c r="J341" s="222"/>
      <c r="K341" s="222" t="s">
        <v>503</v>
      </c>
      <c r="L341" s="287"/>
      <c r="M341" s="236"/>
      <c r="N341" s="285"/>
      <c r="O341" s="285"/>
      <c r="P341" s="285"/>
      <c r="Q341" s="288"/>
      <c r="R341" s="288"/>
      <c r="S341" s="288"/>
      <c r="T341" s="288"/>
      <c r="U341" s="288"/>
      <c r="V341" s="288"/>
      <c r="W341" s="288"/>
      <c r="X341" s="288"/>
      <c r="Y341" s="288"/>
      <c r="Z341" s="288"/>
      <c r="AA341" s="288"/>
      <c r="AB341" s="288"/>
      <c r="AC341" s="378">
        <f t="shared" si="153"/>
        <v>0</v>
      </c>
      <c r="AD341" s="284"/>
      <c r="AE341" s="241"/>
      <c r="AF341" s="194"/>
      <c r="AG341" s="194"/>
      <c r="AH341" s="194"/>
      <c r="AI341" s="194"/>
    </row>
    <row r="342" hidden="1">
      <c r="A342" s="126"/>
      <c r="B342" s="181"/>
      <c r="C342" s="289"/>
      <c r="D342" s="290" t="s">
        <v>525</v>
      </c>
      <c r="E342" s="487"/>
      <c r="F342" s="487"/>
      <c r="G342" s="487"/>
      <c r="H342" s="291"/>
      <c r="I342" s="291"/>
      <c r="J342" s="292"/>
      <c r="K342" s="292" t="s">
        <v>503</v>
      </c>
      <c r="L342" s="293"/>
      <c r="M342" s="294"/>
      <c r="N342" s="295"/>
      <c r="O342" s="295"/>
      <c r="P342" s="295"/>
      <c r="Q342" s="296">
        <f t="shared" ref="Q342:AC342" si="154">Q321+Q322+Q327+Q328+Q338</f>
        <v>920889938.8</v>
      </c>
      <c r="R342" s="296">
        <f t="shared" si="154"/>
        <v>920889938.8</v>
      </c>
      <c r="S342" s="296">
        <f t="shared" si="154"/>
        <v>920889938.8</v>
      </c>
      <c r="T342" s="296">
        <f t="shared" si="154"/>
        <v>920889938.8</v>
      </c>
      <c r="U342" s="296">
        <f t="shared" si="154"/>
        <v>920889938.8</v>
      </c>
      <c r="V342" s="296">
        <f t="shared" si="154"/>
        <v>920889938.8</v>
      </c>
      <c r="W342" s="296">
        <f t="shared" si="154"/>
        <v>920889938.8</v>
      </c>
      <c r="X342" s="296">
        <f t="shared" si="154"/>
        <v>920889938.8</v>
      </c>
      <c r="Y342" s="296">
        <f t="shared" si="154"/>
        <v>436799797.8</v>
      </c>
      <c r="Z342" s="296">
        <f t="shared" si="154"/>
        <v>436799797.8</v>
      </c>
      <c r="AA342" s="296">
        <f t="shared" si="154"/>
        <v>436799797.8</v>
      </c>
      <c r="AB342" s="296">
        <f t="shared" si="154"/>
        <v>436799797.8</v>
      </c>
      <c r="AC342" s="297">
        <f t="shared" si="154"/>
        <v>9114318702</v>
      </c>
      <c r="AD342" s="284"/>
      <c r="AE342" s="241"/>
      <c r="AF342" s="194"/>
      <c r="AG342" s="194"/>
      <c r="AH342" s="194"/>
      <c r="AI342" s="194"/>
    </row>
    <row r="343" hidden="1">
      <c r="A343" s="126"/>
      <c r="B343" s="298"/>
      <c r="C343" s="299"/>
      <c r="D343" s="300" t="s">
        <v>526</v>
      </c>
      <c r="E343" s="488"/>
      <c r="F343" s="488"/>
      <c r="G343" s="488"/>
      <c r="H343" s="301"/>
      <c r="I343" s="301"/>
      <c r="J343" s="489"/>
      <c r="K343" s="489" t="s">
        <v>503</v>
      </c>
      <c r="L343" s="304"/>
      <c r="M343" s="305"/>
      <c r="N343" s="306"/>
      <c r="O343" s="306"/>
      <c r="P343" s="306"/>
      <c r="Q343" s="490">
        <f t="shared" ref="Q343:AB343" si="155">Q323+Q329+Q334+Q339</f>
        <v>1042164512</v>
      </c>
      <c r="R343" s="490">
        <f t="shared" si="155"/>
        <v>1104295697</v>
      </c>
      <c r="S343" s="490">
        <f t="shared" si="155"/>
        <v>1107191354</v>
      </c>
      <c r="T343" s="490">
        <f t="shared" si="155"/>
        <v>1102560877</v>
      </c>
      <c r="U343" s="490">
        <f t="shared" si="155"/>
        <v>1076643251</v>
      </c>
      <c r="V343" s="490">
        <f t="shared" si="155"/>
        <v>1037089517</v>
      </c>
      <c r="W343" s="490">
        <f t="shared" si="155"/>
        <v>0</v>
      </c>
      <c r="X343" s="307">
        <f t="shared" si="155"/>
        <v>0</v>
      </c>
      <c r="Y343" s="307">
        <f t="shared" si="155"/>
        <v>0</v>
      </c>
      <c r="Z343" s="307">
        <f t="shared" si="155"/>
        <v>0</v>
      </c>
      <c r="AA343" s="307">
        <f t="shared" si="155"/>
        <v>0</v>
      </c>
      <c r="AB343" s="307">
        <f t="shared" si="155"/>
        <v>0</v>
      </c>
      <c r="AC343" s="309">
        <f t="shared" ref="AC343:AC346" si="157">SUM(Q343:AB343)</f>
        <v>6469945210</v>
      </c>
      <c r="AD343" s="284"/>
      <c r="AE343" s="241"/>
      <c r="AF343" s="310">
        <f t="shared" ref="AF343:AF344" si="158">AC343-AC344</f>
        <v>5342619017</v>
      </c>
      <c r="AG343" s="311" t="s">
        <v>226</v>
      </c>
      <c r="AH343" s="194"/>
      <c r="AI343" s="194"/>
    </row>
    <row r="344" hidden="1">
      <c r="A344" s="126"/>
      <c r="B344" s="298"/>
      <c r="C344" s="312"/>
      <c r="D344" s="313" t="s">
        <v>527</v>
      </c>
      <c r="E344" s="331"/>
      <c r="F344" s="331"/>
      <c r="G344" s="331"/>
      <c r="H344" s="199"/>
      <c r="I344" s="199"/>
      <c r="J344" s="222"/>
      <c r="K344" s="222" t="s">
        <v>503</v>
      </c>
      <c r="L344" s="287"/>
      <c r="M344" s="236"/>
      <c r="N344" s="285"/>
      <c r="O344" s="285"/>
      <c r="P344" s="285"/>
      <c r="Q344" s="314">
        <f t="shared" ref="Q344:V344" si="156">Q324+Q330+Q335+Q340</f>
        <v>600269178</v>
      </c>
      <c r="R344" s="314">
        <f t="shared" si="156"/>
        <v>175298726</v>
      </c>
      <c r="S344" s="314">
        <f t="shared" si="156"/>
        <v>178194383</v>
      </c>
      <c r="T344" s="314">
        <f t="shared" si="156"/>
        <v>173563906</v>
      </c>
      <c r="U344" s="314">
        <f t="shared" si="156"/>
        <v>0</v>
      </c>
      <c r="V344" s="314">
        <f t="shared" si="156"/>
        <v>0</v>
      </c>
      <c r="W344" s="288"/>
      <c r="X344" s="288"/>
      <c r="Y344" s="288"/>
      <c r="Z344" s="288"/>
      <c r="AA344" s="288"/>
      <c r="AB344" s="288"/>
      <c r="AC344" s="378">
        <f t="shared" si="157"/>
        <v>1127326193</v>
      </c>
      <c r="AD344" s="214"/>
      <c r="AE344" s="241"/>
      <c r="AF344" s="316">
        <f t="shared" si="158"/>
        <v>0</v>
      </c>
      <c r="AG344" s="311" t="s">
        <v>228</v>
      </c>
      <c r="AH344" s="194"/>
      <c r="AI344" s="194"/>
    </row>
    <row r="345" hidden="1">
      <c r="A345" s="126"/>
      <c r="B345" s="298"/>
      <c r="C345" s="317"/>
      <c r="D345" s="318" t="s">
        <v>528</v>
      </c>
      <c r="E345" s="493"/>
      <c r="F345" s="493"/>
      <c r="G345" s="493"/>
      <c r="H345" s="494"/>
      <c r="I345" s="494"/>
      <c r="J345" s="320"/>
      <c r="K345" s="320" t="s">
        <v>503</v>
      </c>
      <c r="L345" s="321"/>
      <c r="M345" s="322"/>
      <c r="N345" s="323"/>
      <c r="O345" s="323"/>
      <c r="P345" s="323"/>
      <c r="Q345" s="325">
        <f t="shared" ref="Q345:V345" si="159">Q325+Q331+Q336+Q341</f>
        <v>600269178</v>
      </c>
      <c r="R345" s="325">
        <f t="shared" si="159"/>
        <v>175298726</v>
      </c>
      <c r="S345" s="325">
        <f t="shared" si="159"/>
        <v>178194383</v>
      </c>
      <c r="T345" s="325">
        <f t="shared" si="159"/>
        <v>173563906</v>
      </c>
      <c r="U345" s="325">
        <f t="shared" si="159"/>
        <v>0</v>
      </c>
      <c r="V345" s="325">
        <f t="shared" si="159"/>
        <v>0</v>
      </c>
      <c r="W345" s="324"/>
      <c r="X345" s="324"/>
      <c r="Y345" s="324"/>
      <c r="Z345" s="324"/>
      <c r="AA345" s="324"/>
      <c r="AB345" s="324"/>
      <c r="AC345" s="539">
        <f t="shared" si="157"/>
        <v>1127326193</v>
      </c>
      <c r="AD345" s="214"/>
      <c r="AE345" s="241"/>
      <c r="AF345" s="328">
        <f>AC345</f>
        <v>1127326193</v>
      </c>
      <c r="AG345" s="311" t="s">
        <v>148</v>
      </c>
      <c r="AH345" s="194"/>
      <c r="AI345" s="194"/>
    </row>
    <row r="346">
      <c r="A346" s="126"/>
      <c r="B346" s="181">
        <v>7.0</v>
      </c>
      <c r="C346" s="329" t="s">
        <v>35</v>
      </c>
      <c r="D346" s="330"/>
      <c r="E346" s="496"/>
      <c r="F346" s="496"/>
      <c r="G346" s="496"/>
      <c r="H346" s="332"/>
      <c r="I346" s="332"/>
      <c r="J346" s="333"/>
      <c r="K346" s="333" t="s">
        <v>529</v>
      </c>
      <c r="L346" s="334" t="str">
        <f>L347+L355+#REF!+L1736</f>
        <v>#REF!</v>
      </c>
      <c r="M346" s="335"/>
      <c r="N346" s="336"/>
      <c r="O346" s="336"/>
      <c r="P346" s="336"/>
      <c r="Q346" s="337">
        <f t="shared" ref="Q346:AB346" si="160">Q347+Q355</f>
        <v>476258029</v>
      </c>
      <c r="R346" s="337">
        <f t="shared" si="160"/>
        <v>476258029</v>
      </c>
      <c r="S346" s="337">
        <f t="shared" si="160"/>
        <v>476258029</v>
      </c>
      <c r="T346" s="337">
        <f t="shared" si="160"/>
        <v>476258029</v>
      </c>
      <c r="U346" s="337">
        <f t="shared" si="160"/>
        <v>476258029</v>
      </c>
      <c r="V346" s="337">
        <f t="shared" si="160"/>
        <v>476258029</v>
      </c>
      <c r="W346" s="337">
        <f t="shared" si="160"/>
        <v>476258029</v>
      </c>
      <c r="X346" s="337">
        <f t="shared" si="160"/>
        <v>476258029</v>
      </c>
      <c r="Y346" s="337">
        <f t="shared" si="160"/>
        <v>476258029</v>
      </c>
      <c r="Z346" s="337">
        <f t="shared" si="160"/>
        <v>476258029</v>
      </c>
      <c r="AA346" s="337">
        <f t="shared" si="160"/>
        <v>476258029</v>
      </c>
      <c r="AB346" s="337">
        <f t="shared" si="160"/>
        <v>476258029</v>
      </c>
      <c r="AC346" s="338">
        <f t="shared" si="157"/>
        <v>5715096348</v>
      </c>
      <c r="AD346" s="178">
        <f>AC346-AE346</f>
        <v>0</v>
      </c>
      <c r="AE346" s="241">
        <f>'Proker New'!Y62</f>
        <v>5715096348</v>
      </c>
      <c r="AF346" s="193" t="str">
        <f>C346</f>
        <v>Kepulauan Riau - Tanjung Pinang (TNJ)</v>
      </c>
      <c r="AG346" s="194"/>
      <c r="AH346" s="194"/>
      <c r="AI346" s="194"/>
    </row>
    <row r="347">
      <c r="A347" s="126"/>
      <c r="B347" s="195"/>
      <c r="C347" s="196">
        <v>1.0</v>
      </c>
      <c r="D347" s="354" t="s">
        <v>530</v>
      </c>
      <c r="E347" s="198" t="s">
        <v>186</v>
      </c>
      <c r="F347" s="198" t="s">
        <v>88</v>
      </c>
      <c r="G347" s="198" t="s">
        <v>88</v>
      </c>
      <c r="H347" s="198" t="s">
        <v>218</v>
      </c>
      <c r="I347" s="198" t="s">
        <v>253</v>
      </c>
      <c r="J347" s="198" t="s">
        <v>254</v>
      </c>
      <c r="K347" s="199" t="s">
        <v>529</v>
      </c>
      <c r="L347" s="355">
        <f>421212810</f>
        <v>421212810</v>
      </c>
      <c r="M347" s="257" t="s">
        <v>531</v>
      </c>
      <c r="N347" s="366"/>
      <c r="O347" s="366">
        <v>45383.0</v>
      </c>
      <c r="P347" s="366">
        <v>45688.0</v>
      </c>
      <c r="Q347" s="204">
        <v>3.39241701E8</v>
      </c>
      <c r="R347" s="204">
        <v>3.39241701E8</v>
      </c>
      <c r="S347" s="204">
        <v>3.39241701E8</v>
      </c>
      <c r="T347" s="204">
        <v>3.39241701E8</v>
      </c>
      <c r="U347" s="204">
        <v>3.39241701E8</v>
      </c>
      <c r="V347" s="204">
        <v>3.39241701E8</v>
      </c>
      <c r="W347" s="204">
        <v>3.39241701E8</v>
      </c>
      <c r="X347" s="204">
        <v>3.39241701E8</v>
      </c>
      <c r="Y347" s="204">
        <v>3.39241701E8</v>
      </c>
      <c r="Z347" s="204">
        <v>3.39241701E8</v>
      </c>
      <c r="AA347" s="204">
        <v>3.39241701E8</v>
      </c>
      <c r="AB347" s="204">
        <v>3.39241701E8</v>
      </c>
      <c r="AC347" s="205">
        <v>4.070900412E9</v>
      </c>
      <c r="AD347" s="178">
        <f>SUM(Q347:AB347)-AC347</f>
        <v>0</v>
      </c>
      <c r="AE347" s="241"/>
      <c r="AF347" s="194"/>
      <c r="AG347" s="194"/>
      <c r="AH347" s="194"/>
      <c r="AI347" s="194"/>
    </row>
    <row r="348" hidden="1">
      <c r="A348" s="126"/>
      <c r="B348" s="195"/>
      <c r="C348" s="206"/>
      <c r="D348" s="215"/>
      <c r="E348" s="207"/>
      <c r="F348" s="207"/>
      <c r="G348" s="207"/>
      <c r="H348" s="206"/>
      <c r="I348" s="206"/>
      <c r="J348" s="206"/>
      <c r="K348" s="206" t="s">
        <v>529</v>
      </c>
      <c r="L348" s="277"/>
      <c r="M348" s="209" t="s">
        <v>532</v>
      </c>
      <c r="N348" s="367"/>
      <c r="O348" s="367"/>
      <c r="P348" s="367">
        <v>45688.0</v>
      </c>
      <c r="Q348" s="268">
        <f>L347/10</f>
        <v>42121281</v>
      </c>
      <c r="R348" s="268"/>
      <c r="S348" s="268" t="str">
        <f t="shared" ref="S348:S349" si="161">R348</f>
        <v/>
      </c>
      <c r="T348" s="212"/>
      <c r="U348" s="212"/>
      <c r="V348" s="212"/>
      <c r="W348" s="212"/>
      <c r="X348" s="212"/>
      <c r="Y348" s="212"/>
      <c r="Z348" s="212"/>
      <c r="AA348" s="212"/>
      <c r="AB348" s="212"/>
      <c r="AC348" s="213">
        <f t="shared" ref="AC348:AC354" si="162">SUM(Q348:AB348)</f>
        <v>42121281</v>
      </c>
      <c r="AD348" s="214"/>
      <c r="AE348" s="192"/>
      <c r="AF348" s="194"/>
      <c r="AG348" s="194"/>
      <c r="AH348" s="194"/>
      <c r="AI348" s="194"/>
    </row>
    <row r="349" hidden="1">
      <c r="A349" s="126"/>
      <c r="B349" s="195"/>
      <c r="C349" s="206"/>
      <c r="D349" s="207"/>
      <c r="E349" s="207"/>
      <c r="F349" s="207"/>
      <c r="G349" s="207"/>
      <c r="H349" s="206"/>
      <c r="I349" s="206"/>
      <c r="J349" s="206"/>
      <c r="K349" s="206" t="s">
        <v>529</v>
      </c>
      <c r="L349" s="245">
        <v>8.4242562E7</v>
      </c>
      <c r="M349" s="218" t="s">
        <v>533</v>
      </c>
      <c r="N349" s="367"/>
      <c r="O349" s="367">
        <v>45689.0</v>
      </c>
      <c r="P349" s="367">
        <v>45747.0</v>
      </c>
      <c r="Q349" s="269"/>
      <c r="R349" s="268">
        <f>L349/2</f>
        <v>42121281</v>
      </c>
      <c r="S349" s="268">
        <f t="shared" si="161"/>
        <v>42121281</v>
      </c>
      <c r="T349" s="268"/>
      <c r="U349" s="268"/>
      <c r="V349" s="268"/>
      <c r="W349" s="268"/>
      <c r="X349" s="268"/>
      <c r="Y349" s="212"/>
      <c r="Z349" s="212"/>
      <c r="AA349" s="212"/>
      <c r="AB349" s="212"/>
      <c r="AC349" s="213">
        <f t="shared" si="162"/>
        <v>84242562</v>
      </c>
      <c r="AD349" s="214"/>
      <c r="AE349" s="192"/>
      <c r="AF349" s="194"/>
      <c r="AG349" s="194"/>
      <c r="AH349" s="194"/>
      <c r="AI349" s="194"/>
    </row>
    <row r="350" hidden="1">
      <c r="A350" s="126"/>
      <c r="B350" s="195"/>
      <c r="C350" s="206"/>
      <c r="D350" s="207"/>
      <c r="E350" s="207"/>
      <c r="F350" s="207"/>
      <c r="G350" s="207"/>
      <c r="H350" s="206"/>
      <c r="I350" s="206"/>
      <c r="J350" s="206"/>
      <c r="K350" s="206" t="s">
        <v>529</v>
      </c>
      <c r="L350" s="245">
        <v>1.33577511E8</v>
      </c>
      <c r="M350" s="261" t="s">
        <v>534</v>
      </c>
      <c r="N350" s="367"/>
      <c r="O350" s="367">
        <v>45748.0</v>
      </c>
      <c r="P350" s="367">
        <v>45838.0</v>
      </c>
      <c r="Q350" s="269"/>
      <c r="R350" s="268"/>
      <c r="S350" s="268"/>
      <c r="T350" s="268">
        <f>L350/3</f>
        <v>44525837</v>
      </c>
      <c r="U350" s="268">
        <f t="shared" ref="U350:V350" si="163">T350</f>
        <v>44525837</v>
      </c>
      <c r="V350" s="268">
        <f t="shared" si="163"/>
        <v>44525837</v>
      </c>
      <c r="W350" s="268"/>
      <c r="X350" s="268"/>
      <c r="Y350" s="269"/>
      <c r="Z350" s="269"/>
      <c r="AA350" s="269"/>
      <c r="AB350" s="269"/>
      <c r="AC350" s="213">
        <f t="shared" si="162"/>
        <v>133577511</v>
      </c>
      <c r="AD350" s="214"/>
      <c r="AE350" s="241"/>
      <c r="AF350" s="194"/>
      <c r="AG350" s="194"/>
      <c r="AH350" s="194"/>
      <c r="AI350" s="194"/>
    </row>
    <row r="351" hidden="1">
      <c r="A351" s="126"/>
      <c r="B351" s="195"/>
      <c r="C351" s="206"/>
      <c r="D351" s="533" t="s">
        <v>535</v>
      </c>
      <c r="E351" s="207"/>
      <c r="F351" s="207"/>
      <c r="G351" s="207"/>
      <c r="H351" s="206"/>
      <c r="I351" s="206"/>
      <c r="J351" s="206"/>
      <c r="K351" s="206" t="s">
        <v>529</v>
      </c>
      <c r="L351" s="245">
        <v>8.9051637E7</v>
      </c>
      <c r="M351" s="265" t="s">
        <v>297</v>
      </c>
      <c r="N351" s="389"/>
      <c r="O351" s="389">
        <f>P350+1</f>
        <v>45839</v>
      </c>
      <c r="P351" s="367" t="s">
        <v>536</v>
      </c>
      <c r="Q351" s="212"/>
      <c r="R351" s="267"/>
      <c r="S351" s="267"/>
      <c r="T351" s="268"/>
      <c r="U351" s="268"/>
      <c r="V351" s="268"/>
      <c r="W351" s="268">
        <f>L351/2</f>
        <v>44525818.5</v>
      </c>
      <c r="X351" s="268">
        <f>W351</f>
        <v>44525818.5</v>
      </c>
      <c r="Y351" s="269"/>
      <c r="Z351" s="269"/>
      <c r="AA351" s="269"/>
      <c r="AB351" s="269"/>
      <c r="AC351" s="213">
        <f t="shared" si="162"/>
        <v>89051637</v>
      </c>
      <c r="AD351" s="271"/>
      <c r="AE351" s="241"/>
      <c r="AF351" s="194"/>
      <c r="AG351" s="194"/>
      <c r="AH351" s="194"/>
      <c r="AI351" s="194"/>
    </row>
    <row r="352" hidden="1">
      <c r="A352" s="126"/>
      <c r="B352" s="195"/>
      <c r="C352" s="222"/>
      <c r="D352" s="250" t="s">
        <v>537</v>
      </c>
      <c r="E352" s="224"/>
      <c r="F352" s="224"/>
      <c r="G352" s="224"/>
      <c r="H352" s="222"/>
      <c r="I352" s="222"/>
      <c r="J352" s="222"/>
      <c r="K352" s="222" t="s">
        <v>529</v>
      </c>
      <c r="L352" s="225"/>
      <c r="M352" s="236"/>
      <c r="N352" s="285"/>
      <c r="O352" s="285"/>
      <c r="P352" s="285"/>
      <c r="Q352" s="228">
        <v>4.1779044E7</v>
      </c>
      <c r="R352" s="228">
        <f t="shared" ref="R352:R354" si="164">Q352</f>
        <v>41779044</v>
      </c>
      <c r="S352" s="228">
        <v>4.1816039E7</v>
      </c>
      <c r="T352" s="270">
        <v>4.4276094E7</v>
      </c>
      <c r="U352" s="270">
        <v>4.437784E7</v>
      </c>
      <c r="V352" s="229">
        <v>4.433784E7</v>
      </c>
      <c r="W352" s="238"/>
      <c r="X352" s="238"/>
      <c r="Y352" s="238"/>
      <c r="Z352" s="238"/>
      <c r="AA352" s="238"/>
      <c r="AB352" s="238"/>
      <c r="AC352" s="231">
        <f t="shared" si="162"/>
        <v>258365901</v>
      </c>
      <c r="AD352" s="264"/>
      <c r="AE352" s="241"/>
      <c r="AF352" s="194"/>
      <c r="AG352" s="194"/>
      <c r="AH352" s="194"/>
      <c r="AI352" s="194"/>
    </row>
    <row r="353" hidden="1">
      <c r="A353" s="126"/>
      <c r="B353" s="195"/>
      <c r="C353" s="196"/>
      <c r="D353" s="286" t="s">
        <v>194</v>
      </c>
      <c r="E353" s="233"/>
      <c r="F353" s="233"/>
      <c r="G353" s="233"/>
      <c r="H353" s="234"/>
      <c r="I353" s="234"/>
      <c r="J353" s="222"/>
      <c r="K353" s="222" t="s">
        <v>529</v>
      </c>
      <c r="L353" s="225"/>
      <c r="M353" s="255"/>
      <c r="N353" s="365"/>
      <c r="O353" s="365"/>
      <c r="P353" s="365"/>
      <c r="Q353" s="228">
        <v>4.1779044E7</v>
      </c>
      <c r="R353" s="228">
        <f t="shared" si="164"/>
        <v>41779044</v>
      </c>
      <c r="S353" s="228">
        <v>4.1816039E7</v>
      </c>
      <c r="T353" s="270">
        <v>4.4276094E7</v>
      </c>
      <c r="U353" s="270">
        <v>4.437784E7</v>
      </c>
      <c r="V353" s="238"/>
      <c r="W353" s="238"/>
      <c r="X353" s="238"/>
      <c r="Y353" s="238"/>
      <c r="Z353" s="238"/>
      <c r="AA353" s="238"/>
      <c r="AB353" s="238"/>
      <c r="AC353" s="378">
        <f t="shared" si="162"/>
        <v>214028061</v>
      </c>
      <c r="AD353" s="214"/>
      <c r="AE353" s="192"/>
      <c r="AF353" s="194"/>
      <c r="AG353" s="194"/>
      <c r="AH353" s="194"/>
      <c r="AI353" s="194"/>
    </row>
    <row r="354" hidden="1">
      <c r="A354" s="126"/>
      <c r="B354" s="195"/>
      <c r="C354" s="196"/>
      <c r="D354" s="286" t="s">
        <v>538</v>
      </c>
      <c r="E354" s="233"/>
      <c r="F354" s="233"/>
      <c r="G354" s="233"/>
      <c r="H354" s="234"/>
      <c r="I354" s="234"/>
      <c r="J354" s="222"/>
      <c r="K354" s="222" t="s">
        <v>529</v>
      </c>
      <c r="L354" s="225"/>
      <c r="M354" s="255"/>
      <c r="N354" s="365"/>
      <c r="O354" s="365"/>
      <c r="P354" s="365"/>
      <c r="Q354" s="228">
        <v>4.1779044E7</v>
      </c>
      <c r="R354" s="228">
        <f t="shared" si="164"/>
        <v>41779044</v>
      </c>
      <c r="S354" s="228">
        <v>4.1816039E7</v>
      </c>
      <c r="T354" s="270">
        <v>4.4276094E7</v>
      </c>
      <c r="U354" s="270">
        <v>4.437784E7</v>
      </c>
      <c r="V354" s="238"/>
      <c r="W354" s="238"/>
      <c r="X354" s="238"/>
      <c r="Y354" s="238"/>
      <c r="Z354" s="238"/>
      <c r="AA354" s="238"/>
      <c r="AB354" s="238"/>
      <c r="AC354" s="378">
        <f t="shared" si="162"/>
        <v>214028061</v>
      </c>
      <c r="AD354" s="214"/>
      <c r="AE354" s="192"/>
      <c r="AF354" s="194"/>
      <c r="AG354" s="194"/>
      <c r="AH354" s="194"/>
      <c r="AI354" s="194"/>
    </row>
    <row r="355">
      <c r="A355" s="126"/>
      <c r="B355" s="195"/>
      <c r="C355" s="196">
        <v>2.0</v>
      </c>
      <c r="D355" s="354" t="s">
        <v>539</v>
      </c>
      <c r="E355" s="198" t="s">
        <v>186</v>
      </c>
      <c r="F355" s="198" t="s">
        <v>88</v>
      </c>
      <c r="G355" s="198" t="s">
        <v>88</v>
      </c>
      <c r="H355" s="198" t="s">
        <v>218</v>
      </c>
      <c r="I355" s="198" t="s">
        <v>187</v>
      </c>
      <c r="J355" s="198" t="s">
        <v>188</v>
      </c>
      <c r="K355" s="199" t="s">
        <v>529</v>
      </c>
      <c r="L355" s="355">
        <f>1527561465</f>
        <v>1527561465</v>
      </c>
      <c r="M355" s="257" t="s">
        <v>540</v>
      </c>
      <c r="N355" s="366"/>
      <c r="O355" s="366">
        <v>45383.0</v>
      </c>
      <c r="P355" s="366">
        <v>45688.0</v>
      </c>
      <c r="Q355" s="204">
        <v>1.37016328E8</v>
      </c>
      <c r="R355" s="204">
        <v>1.37016328E8</v>
      </c>
      <c r="S355" s="204">
        <v>1.37016328E8</v>
      </c>
      <c r="T355" s="204">
        <v>1.37016328E8</v>
      </c>
      <c r="U355" s="204">
        <v>1.37016328E8</v>
      </c>
      <c r="V355" s="204">
        <v>1.37016328E8</v>
      </c>
      <c r="W355" s="204">
        <v>1.37016328E8</v>
      </c>
      <c r="X355" s="204">
        <v>1.37016328E8</v>
      </c>
      <c r="Y355" s="204">
        <v>1.37016328E8</v>
      </c>
      <c r="Z355" s="204">
        <v>1.37016328E8</v>
      </c>
      <c r="AA355" s="204">
        <v>1.37016328E8</v>
      </c>
      <c r="AB355" s="204">
        <v>1.37016328E8</v>
      </c>
      <c r="AC355" s="205">
        <v>1.644195936E9</v>
      </c>
      <c r="AD355" s="178">
        <f>SUM(Q355:AB355)-AC355</f>
        <v>0</v>
      </c>
      <c r="AE355" s="192"/>
      <c r="AF355" s="194"/>
      <c r="AG355" s="194"/>
      <c r="AH355" s="194"/>
      <c r="AI355" s="194"/>
    </row>
    <row r="356" hidden="1">
      <c r="A356" s="126"/>
      <c r="B356" s="195"/>
      <c r="C356" s="206"/>
      <c r="D356" s="215"/>
      <c r="E356" s="207"/>
      <c r="F356" s="207"/>
      <c r="G356" s="207"/>
      <c r="H356" s="206"/>
      <c r="I356" s="206"/>
      <c r="J356" s="206"/>
      <c r="K356" s="206" t="s">
        <v>529</v>
      </c>
      <c r="L356" s="245">
        <v>1.474834095E9</v>
      </c>
      <c r="M356" s="209" t="s">
        <v>541</v>
      </c>
      <c r="N356" s="367"/>
      <c r="O356" s="367"/>
      <c r="P356" s="367">
        <v>45688.0</v>
      </c>
      <c r="Q356" s="268">
        <f>L356/10</f>
        <v>147483409.5</v>
      </c>
      <c r="R356" s="268"/>
      <c r="S356" s="268"/>
      <c r="T356" s="212"/>
      <c r="U356" s="212"/>
      <c r="V356" s="212"/>
      <c r="W356" s="212"/>
      <c r="X356" s="212"/>
      <c r="Y356" s="212"/>
      <c r="Z356" s="212"/>
      <c r="AA356" s="212"/>
      <c r="AB356" s="212"/>
      <c r="AC356" s="213">
        <f t="shared" ref="AC356:AC374" si="165">SUM(Q356:AB356)</f>
        <v>147483409.5</v>
      </c>
      <c r="AD356" s="214"/>
      <c r="AE356" s="192"/>
      <c r="AF356" s="194"/>
      <c r="AG356" s="194"/>
      <c r="AH356" s="194"/>
      <c r="AI356" s="194"/>
    </row>
    <row r="357" hidden="1">
      <c r="A357" s="126"/>
      <c r="B357" s="195"/>
      <c r="C357" s="206"/>
      <c r="D357" s="207"/>
      <c r="E357" s="207"/>
      <c r="F357" s="207"/>
      <c r="G357" s="207"/>
      <c r="H357" s="206"/>
      <c r="I357" s="206"/>
      <c r="J357" s="206"/>
      <c r="K357" s="206" t="s">
        <v>529</v>
      </c>
      <c r="L357" s="277">
        <f>293795022</f>
        <v>293795022</v>
      </c>
      <c r="M357" s="218" t="s">
        <v>542</v>
      </c>
      <c r="N357" s="367"/>
      <c r="O357" s="367">
        <f>P356+1</f>
        <v>45689</v>
      </c>
      <c r="P357" s="367">
        <v>45747.0</v>
      </c>
      <c r="Q357" s="268"/>
      <c r="R357" s="268">
        <f>L357/2</f>
        <v>146897511</v>
      </c>
      <c r="S357" s="268">
        <f>R357</f>
        <v>146897511</v>
      </c>
      <c r="T357" s="212"/>
      <c r="U357" s="212"/>
      <c r="V357" s="212"/>
      <c r="W357" s="212"/>
      <c r="X357" s="212"/>
      <c r="Y357" s="212"/>
      <c r="Z357" s="212"/>
      <c r="AA357" s="212"/>
      <c r="AB357" s="212"/>
      <c r="AC357" s="213">
        <f t="shared" si="165"/>
        <v>293795022</v>
      </c>
      <c r="AD357" s="273"/>
      <c r="AE357" s="241"/>
      <c r="AF357" s="194"/>
      <c r="AG357" s="194"/>
      <c r="AH357" s="194"/>
      <c r="AI357" s="194"/>
    </row>
    <row r="358" hidden="1">
      <c r="A358" s="126"/>
      <c r="B358" s="565"/>
      <c r="C358" s="566"/>
      <c r="D358" s="567"/>
      <c r="E358" s="207"/>
      <c r="F358" s="207"/>
      <c r="G358" s="207"/>
      <c r="H358" s="206"/>
      <c r="I358" s="206"/>
      <c r="J358" s="206"/>
      <c r="K358" s="206" t="s">
        <v>529</v>
      </c>
      <c r="L358" s="277">
        <f>465725109</f>
        <v>465725109</v>
      </c>
      <c r="M358" s="261" t="s">
        <v>543</v>
      </c>
      <c r="N358" s="367"/>
      <c r="O358" s="367">
        <v>45748.0</v>
      </c>
      <c r="P358" s="367">
        <v>45838.0</v>
      </c>
      <c r="Q358" s="268"/>
      <c r="R358" s="268"/>
      <c r="S358" s="268"/>
      <c r="T358" s="212">
        <f>L358/3</f>
        <v>155241703</v>
      </c>
      <c r="U358" s="212">
        <f t="shared" ref="U358:V358" si="166">T358</f>
        <v>155241703</v>
      </c>
      <c r="V358" s="212">
        <f t="shared" si="166"/>
        <v>155241703</v>
      </c>
      <c r="W358" s="212"/>
      <c r="X358" s="212"/>
      <c r="Y358" s="212"/>
      <c r="Z358" s="212"/>
      <c r="AA358" s="212"/>
      <c r="AB358" s="212"/>
      <c r="AC358" s="213">
        <f t="shared" si="165"/>
        <v>465725109</v>
      </c>
      <c r="AD358" s="264"/>
      <c r="AE358" s="241"/>
      <c r="AF358" s="194"/>
      <c r="AG358" s="194"/>
      <c r="AH358" s="194"/>
      <c r="AI358" s="194"/>
    </row>
    <row r="359" hidden="1">
      <c r="A359" s="126"/>
      <c r="B359" s="565"/>
      <c r="C359" s="206"/>
      <c r="D359" s="533" t="s">
        <v>535</v>
      </c>
      <c r="E359" s="207"/>
      <c r="F359" s="207"/>
      <c r="G359" s="207"/>
      <c r="H359" s="206"/>
      <c r="I359" s="206"/>
      <c r="J359" s="206"/>
      <c r="K359" s="206" t="s">
        <v>529</v>
      </c>
      <c r="L359" s="245">
        <v>3.10283406E8</v>
      </c>
      <c r="M359" s="265" t="s">
        <v>299</v>
      </c>
      <c r="N359" s="389"/>
      <c r="O359" s="389">
        <f>P358+1</f>
        <v>45839</v>
      </c>
      <c r="P359" s="367" t="s">
        <v>536</v>
      </c>
      <c r="Q359" s="249"/>
      <c r="R359" s="249"/>
      <c r="S359" s="249"/>
      <c r="T359" s="212"/>
      <c r="U359" s="212"/>
      <c r="V359" s="212"/>
      <c r="W359" s="568">
        <f>L359/2</f>
        <v>155141703</v>
      </c>
      <c r="X359" s="568">
        <f>W359</f>
        <v>155141703</v>
      </c>
      <c r="Y359" s="212"/>
      <c r="Z359" s="212"/>
      <c r="AA359" s="212"/>
      <c r="AB359" s="212"/>
      <c r="AC359" s="213">
        <f t="shared" si="165"/>
        <v>310283406</v>
      </c>
      <c r="AD359" s="214"/>
      <c r="AE359" s="192"/>
      <c r="AF359" s="194"/>
      <c r="AG359" s="194"/>
      <c r="AH359" s="194"/>
      <c r="AI359" s="194"/>
    </row>
    <row r="360" hidden="1">
      <c r="A360" s="126"/>
      <c r="B360" s="565"/>
      <c r="C360" s="222"/>
      <c r="D360" s="250" t="s">
        <v>544</v>
      </c>
      <c r="E360" s="224"/>
      <c r="F360" s="224"/>
      <c r="G360" s="224"/>
      <c r="H360" s="222"/>
      <c r="I360" s="222"/>
      <c r="J360" s="222"/>
      <c r="K360" s="222" t="s">
        <v>529</v>
      </c>
      <c r="L360" s="225"/>
      <c r="M360" s="383"/>
      <c r="N360" s="285"/>
      <c r="O360" s="285"/>
      <c r="P360" s="285"/>
      <c r="Q360" s="228">
        <v>1.46388807E8</v>
      </c>
      <c r="R360" s="228">
        <v>1.46564518E8</v>
      </c>
      <c r="S360" s="228">
        <v>1.46277766E8</v>
      </c>
      <c r="T360" s="228">
        <v>1.54614461E8</v>
      </c>
      <c r="U360" s="228">
        <v>1.54780957E8</v>
      </c>
      <c r="V360" s="229">
        <v>1.54780957E8</v>
      </c>
      <c r="W360" s="230"/>
      <c r="X360" s="230"/>
      <c r="Y360" s="230"/>
      <c r="Z360" s="230"/>
      <c r="AA360" s="230"/>
      <c r="AB360" s="230"/>
      <c r="AC360" s="231">
        <f t="shared" si="165"/>
        <v>903407466</v>
      </c>
      <c r="AD360" s="214"/>
      <c r="AE360" s="192"/>
      <c r="AF360" s="194"/>
      <c r="AG360" s="194"/>
      <c r="AH360" s="194"/>
      <c r="AI360" s="194"/>
    </row>
    <row r="361" hidden="1">
      <c r="A361" s="569"/>
      <c r="B361" s="570"/>
      <c r="C361" s="571"/>
      <c r="D361" s="286" t="s">
        <v>194</v>
      </c>
      <c r="E361" s="572"/>
      <c r="F361" s="573"/>
      <c r="G361" s="572"/>
      <c r="H361" s="574"/>
      <c r="I361" s="574"/>
      <c r="J361" s="511"/>
      <c r="K361" s="222" t="s">
        <v>529</v>
      </c>
      <c r="L361" s="575"/>
      <c r="M361" s="576"/>
      <c r="N361" s="577"/>
      <c r="O361" s="577"/>
      <c r="P361" s="577"/>
      <c r="Q361" s="228">
        <v>1.46388807E8</v>
      </c>
      <c r="R361" s="228">
        <v>1.46564518E8</v>
      </c>
      <c r="S361" s="228">
        <v>1.46277766E8</v>
      </c>
      <c r="T361" s="228">
        <v>1.54614461E8</v>
      </c>
      <c r="U361" s="228">
        <v>1.54780957E8</v>
      </c>
      <c r="V361" s="578"/>
      <c r="W361" s="578"/>
      <c r="X361" s="578"/>
      <c r="Y361" s="578"/>
      <c r="Z361" s="578"/>
      <c r="AA361" s="578"/>
      <c r="AB361" s="578"/>
      <c r="AC361" s="378">
        <f t="shared" si="165"/>
        <v>748626509</v>
      </c>
      <c r="AD361" s="579"/>
      <c r="AE361" s="580"/>
      <c r="AF361" s="194"/>
      <c r="AG361" s="581"/>
      <c r="AH361" s="581"/>
      <c r="AI361" s="581"/>
    </row>
    <row r="362" hidden="1">
      <c r="A362" s="569"/>
      <c r="B362" s="570"/>
      <c r="C362" s="571"/>
      <c r="D362" s="286" t="s">
        <v>545</v>
      </c>
      <c r="E362" s="572"/>
      <c r="F362" s="573"/>
      <c r="G362" s="572"/>
      <c r="H362" s="574"/>
      <c r="I362" s="574"/>
      <c r="J362" s="511"/>
      <c r="K362" s="222" t="s">
        <v>529</v>
      </c>
      <c r="L362" s="575"/>
      <c r="M362" s="576"/>
      <c r="N362" s="577"/>
      <c r="O362" s="577"/>
      <c r="P362" s="577"/>
      <c r="Q362" s="228">
        <v>1.46388807E8</v>
      </c>
      <c r="R362" s="228">
        <v>1.46564518E8</v>
      </c>
      <c r="S362" s="228">
        <v>1.46277766E8</v>
      </c>
      <c r="T362" s="228">
        <v>1.54614461E8</v>
      </c>
      <c r="U362" s="228">
        <v>1.54780957E8</v>
      </c>
      <c r="V362" s="578"/>
      <c r="W362" s="578"/>
      <c r="X362" s="578"/>
      <c r="Y362" s="578"/>
      <c r="Z362" s="578"/>
      <c r="AA362" s="578"/>
      <c r="AB362" s="578"/>
      <c r="AC362" s="378">
        <f t="shared" si="165"/>
        <v>748626509</v>
      </c>
      <c r="AD362" s="579"/>
      <c r="AE362" s="580"/>
      <c r="AF362" s="194"/>
      <c r="AG362" s="581"/>
      <c r="AH362" s="581"/>
      <c r="AI362" s="581"/>
    </row>
    <row r="363">
      <c r="A363" s="582"/>
      <c r="B363" s="583"/>
      <c r="C363" s="584">
        <v>3.0</v>
      </c>
      <c r="D363" s="585" t="s">
        <v>546</v>
      </c>
      <c r="E363" s="198" t="s">
        <v>186</v>
      </c>
      <c r="F363" s="198" t="s">
        <v>135</v>
      </c>
      <c r="G363" s="198" t="s">
        <v>135</v>
      </c>
      <c r="H363" s="198" t="s">
        <v>203</v>
      </c>
      <c r="I363" s="198" t="s">
        <v>187</v>
      </c>
      <c r="J363" s="198" t="s">
        <v>188</v>
      </c>
      <c r="K363" s="586" t="s">
        <v>529</v>
      </c>
      <c r="L363" s="587">
        <f>115999440</f>
        <v>115999440</v>
      </c>
      <c r="M363" s="588" t="s">
        <v>547</v>
      </c>
      <c r="N363" s="589"/>
      <c r="O363" s="589">
        <v>45635.0</v>
      </c>
      <c r="P363" s="589">
        <v>45724.0</v>
      </c>
      <c r="Q363" s="590"/>
      <c r="R363" s="590"/>
      <c r="S363" s="590"/>
      <c r="T363" s="590"/>
      <c r="U363" s="590"/>
      <c r="V363" s="590"/>
      <c r="W363" s="590"/>
      <c r="X363" s="590"/>
      <c r="Y363" s="590"/>
      <c r="Z363" s="590"/>
      <c r="AA363" s="590"/>
      <c r="AB363" s="590"/>
      <c r="AC363" s="440">
        <f t="shared" si="165"/>
        <v>0</v>
      </c>
      <c r="AD363" s="579"/>
      <c r="AE363" s="580"/>
      <c r="AF363" s="581"/>
      <c r="AG363" s="581"/>
      <c r="AH363" s="581"/>
      <c r="AI363" s="581"/>
    </row>
    <row r="364" hidden="1">
      <c r="A364" s="126"/>
      <c r="B364" s="591"/>
      <c r="C364" s="566"/>
      <c r="D364" s="592"/>
      <c r="E364" s="593"/>
      <c r="F364" s="593"/>
      <c r="G364" s="593"/>
      <c r="H364" s="594"/>
      <c r="I364" s="594"/>
      <c r="J364" s="595"/>
      <c r="K364" s="596" t="s">
        <v>529</v>
      </c>
      <c r="L364" s="597"/>
      <c r="M364" s="485"/>
      <c r="N364" s="446"/>
      <c r="O364" s="446"/>
      <c r="P364" s="446">
        <f>P363</f>
        <v>45724</v>
      </c>
      <c r="Q364" s="447">
        <f>L363/3</f>
        <v>38666480</v>
      </c>
      <c r="R364" s="447">
        <f t="shared" ref="R364:S364" si="167">Q364</f>
        <v>38666480</v>
      </c>
      <c r="S364" s="447">
        <f t="shared" si="167"/>
        <v>38666480</v>
      </c>
      <c r="T364" s="447"/>
      <c r="U364" s="447"/>
      <c r="V364" s="447"/>
      <c r="W364" s="447"/>
      <c r="X364" s="447"/>
      <c r="Y364" s="447"/>
      <c r="Z364" s="447"/>
      <c r="AA364" s="447"/>
      <c r="AB364" s="447"/>
      <c r="AC364" s="449">
        <f t="shared" si="165"/>
        <v>115999440</v>
      </c>
      <c r="AD364" s="273"/>
      <c r="AE364" s="192"/>
      <c r="AF364" s="194"/>
      <c r="AG364" s="194"/>
      <c r="AH364" s="194"/>
      <c r="AI364" s="194"/>
    </row>
    <row r="365" hidden="1">
      <c r="A365" s="126"/>
      <c r="B365" s="591"/>
      <c r="C365" s="566"/>
      <c r="D365" s="533" t="s">
        <v>548</v>
      </c>
      <c r="E365" s="534"/>
      <c r="F365" s="534"/>
      <c r="G365" s="534"/>
      <c r="H365" s="523"/>
      <c r="I365" s="523"/>
      <c r="J365" s="523"/>
      <c r="K365" s="523" t="s">
        <v>529</v>
      </c>
      <c r="L365" s="598">
        <v>3.8907498E8</v>
      </c>
      <c r="M365" s="485" t="s">
        <v>235</v>
      </c>
      <c r="N365" s="446"/>
      <c r="O365" s="446">
        <v>45725.0</v>
      </c>
      <c r="P365" s="446">
        <v>46030.0</v>
      </c>
      <c r="Q365" s="447"/>
      <c r="R365" s="447"/>
      <c r="S365" s="447"/>
      <c r="T365" s="447">
        <f>L365/10</f>
        <v>38907498</v>
      </c>
      <c r="U365" s="447">
        <f t="shared" ref="U365:AB365" si="168">T365</f>
        <v>38907498</v>
      </c>
      <c r="V365" s="447">
        <f t="shared" si="168"/>
        <v>38907498</v>
      </c>
      <c r="W365" s="447">
        <f t="shared" si="168"/>
        <v>38907498</v>
      </c>
      <c r="X365" s="447">
        <f t="shared" si="168"/>
        <v>38907498</v>
      </c>
      <c r="Y365" s="447">
        <f t="shared" si="168"/>
        <v>38907498</v>
      </c>
      <c r="Z365" s="447">
        <f t="shared" si="168"/>
        <v>38907498</v>
      </c>
      <c r="AA365" s="447">
        <f t="shared" si="168"/>
        <v>38907498</v>
      </c>
      <c r="AB365" s="447">
        <f t="shared" si="168"/>
        <v>38907498</v>
      </c>
      <c r="AC365" s="449">
        <f t="shared" si="165"/>
        <v>350167482</v>
      </c>
      <c r="AD365" s="273"/>
      <c r="AE365" s="241"/>
      <c r="AF365" s="194"/>
      <c r="AG365" s="194"/>
      <c r="AH365" s="194"/>
      <c r="AI365" s="194"/>
    </row>
    <row r="366" hidden="1">
      <c r="A366" s="126"/>
      <c r="B366" s="591"/>
      <c r="C366" s="222"/>
      <c r="D366" s="250" t="s">
        <v>549</v>
      </c>
      <c r="E366" s="470"/>
      <c r="F366" s="470"/>
      <c r="G366" s="470"/>
      <c r="H366" s="456"/>
      <c r="I366" s="456"/>
      <c r="J366" s="222"/>
      <c r="K366" s="222" t="s">
        <v>529</v>
      </c>
      <c r="L366" s="599"/>
      <c r="M366" s="473"/>
      <c r="N366" s="537"/>
      <c r="O366" s="537"/>
      <c r="P366" s="537"/>
      <c r="Q366" s="600">
        <v>3.4834667E7</v>
      </c>
      <c r="R366" s="600">
        <v>3.4834667E7</v>
      </c>
      <c r="S366" s="229">
        <v>3.4834666E7</v>
      </c>
      <c r="T366" s="238">
        <f t="shared" ref="T366:U366" si="169">S366</f>
        <v>34834666</v>
      </c>
      <c r="U366" s="238">
        <f t="shared" si="169"/>
        <v>34834666</v>
      </c>
      <c r="V366" s="229">
        <v>3.50518E7</v>
      </c>
      <c r="W366" s="452"/>
      <c r="X366" s="452"/>
      <c r="Y366" s="452"/>
      <c r="Z366" s="452"/>
      <c r="AA366" s="452"/>
      <c r="AB366" s="452"/>
      <c r="AC366" s="538">
        <f t="shared" si="165"/>
        <v>209225132</v>
      </c>
      <c r="AD366" s="264"/>
      <c r="AE366" s="241"/>
      <c r="AF366" s="194"/>
      <c r="AG366" s="194"/>
      <c r="AH366" s="194"/>
      <c r="AI366" s="194"/>
    </row>
    <row r="367" hidden="1">
      <c r="A367" s="126"/>
      <c r="B367" s="591"/>
      <c r="C367" s="515"/>
      <c r="D367" s="286" t="s">
        <v>194</v>
      </c>
      <c r="E367" s="509"/>
      <c r="F367" s="527"/>
      <c r="G367" s="509"/>
      <c r="H367" s="510"/>
      <c r="I367" s="510"/>
      <c r="J367" s="511"/>
      <c r="K367" s="222" t="s">
        <v>529</v>
      </c>
      <c r="L367" s="536"/>
      <c r="M367" s="601"/>
      <c r="N367" s="514"/>
      <c r="O367" s="514"/>
      <c r="P367" s="514"/>
      <c r="Q367" s="600">
        <v>3.4834667E7</v>
      </c>
      <c r="R367" s="600">
        <v>3.4834667E7</v>
      </c>
      <c r="S367" s="452"/>
      <c r="T367" s="452"/>
      <c r="U367" s="452"/>
      <c r="V367" s="452"/>
      <c r="W367" s="452"/>
      <c r="X367" s="452"/>
      <c r="Y367" s="452"/>
      <c r="Z367" s="452"/>
      <c r="AA367" s="452"/>
      <c r="AB367" s="452"/>
      <c r="AC367" s="378">
        <f t="shared" si="165"/>
        <v>69669334</v>
      </c>
      <c r="AD367" s="273"/>
      <c r="AE367" s="192"/>
      <c r="AF367" s="194"/>
      <c r="AG367" s="194"/>
      <c r="AH367" s="194"/>
      <c r="AI367" s="194"/>
    </row>
    <row r="368" hidden="1">
      <c r="A368" s="126"/>
      <c r="B368" s="591"/>
      <c r="C368" s="515"/>
      <c r="D368" s="286" t="s">
        <v>550</v>
      </c>
      <c r="E368" s="509"/>
      <c r="F368" s="527"/>
      <c r="G368" s="509"/>
      <c r="H368" s="510"/>
      <c r="I368" s="510"/>
      <c r="J368" s="511"/>
      <c r="K368" s="222" t="s">
        <v>529</v>
      </c>
      <c r="L368" s="536"/>
      <c r="M368" s="601"/>
      <c r="N368" s="514"/>
      <c r="O368" s="514"/>
      <c r="P368" s="514"/>
      <c r="Q368" s="600">
        <v>3.4834667E7</v>
      </c>
      <c r="R368" s="600">
        <v>3.4834667E7</v>
      </c>
      <c r="S368" s="452"/>
      <c r="T368" s="452"/>
      <c r="U368" s="452"/>
      <c r="V368" s="452"/>
      <c r="W368" s="452"/>
      <c r="X368" s="452"/>
      <c r="Y368" s="452"/>
      <c r="Z368" s="452"/>
      <c r="AA368" s="452"/>
      <c r="AB368" s="452"/>
      <c r="AC368" s="378">
        <f t="shared" si="165"/>
        <v>69669334</v>
      </c>
      <c r="AD368" s="273"/>
      <c r="AE368" s="192"/>
      <c r="AF368" s="194"/>
      <c r="AG368" s="194"/>
      <c r="AH368" s="194"/>
      <c r="AI368" s="194"/>
    </row>
    <row r="369">
      <c r="A369" s="126"/>
      <c r="B369" s="591"/>
      <c r="C369" s="602">
        <v>4.0</v>
      </c>
      <c r="D369" s="603" t="s">
        <v>551</v>
      </c>
      <c r="E369" s="198" t="s">
        <v>186</v>
      </c>
      <c r="F369" s="198" t="s">
        <v>103</v>
      </c>
      <c r="G369" s="198" t="s">
        <v>86</v>
      </c>
      <c r="H369" s="198" t="s">
        <v>86</v>
      </c>
      <c r="I369" s="198" t="s">
        <v>187</v>
      </c>
      <c r="J369" s="198" t="s">
        <v>188</v>
      </c>
      <c r="K369" s="529" t="s">
        <v>529</v>
      </c>
      <c r="L369" s="604">
        <f>182493990</f>
        <v>182493990</v>
      </c>
      <c r="M369" s="531" t="s">
        <v>552</v>
      </c>
      <c r="N369" s="532"/>
      <c r="O369" s="532">
        <v>45658.0</v>
      </c>
      <c r="P369" s="532">
        <v>45747.0</v>
      </c>
      <c r="Q369" s="439"/>
      <c r="R369" s="439"/>
      <c r="S369" s="439"/>
      <c r="T369" s="439"/>
      <c r="U369" s="439"/>
      <c r="V369" s="439"/>
      <c r="W369" s="439"/>
      <c r="X369" s="439"/>
      <c r="Y369" s="439"/>
      <c r="Z369" s="439"/>
      <c r="AA369" s="439"/>
      <c r="AB369" s="439"/>
      <c r="AC369" s="440">
        <f t="shared" si="165"/>
        <v>0</v>
      </c>
      <c r="AD369" s="273"/>
      <c r="AE369" s="192"/>
      <c r="AF369" s="194"/>
      <c r="AG369" s="194"/>
      <c r="AH369" s="194"/>
      <c r="AI369" s="194"/>
    </row>
    <row r="370" hidden="1">
      <c r="A370" s="126"/>
      <c r="B370" s="591"/>
      <c r="C370" s="566"/>
      <c r="D370" s="592"/>
      <c r="E370" s="593"/>
      <c r="F370" s="593"/>
      <c r="G370" s="593"/>
      <c r="H370" s="594"/>
      <c r="I370" s="594"/>
      <c r="J370" s="594"/>
      <c r="K370" s="523" t="s">
        <v>529</v>
      </c>
      <c r="L370" s="444">
        <v>1.8249399E8</v>
      </c>
      <c r="M370" s="485"/>
      <c r="N370" s="446"/>
      <c r="O370" s="446"/>
      <c r="P370" s="446">
        <f>P369</f>
        <v>45747</v>
      </c>
      <c r="Q370" s="447">
        <f>L370/3</f>
        <v>60831330</v>
      </c>
      <c r="R370" s="447">
        <f t="shared" ref="R370:S370" si="170">Q370</f>
        <v>60831330</v>
      </c>
      <c r="S370" s="447">
        <f t="shared" si="170"/>
        <v>60831330</v>
      </c>
      <c r="T370" s="447"/>
      <c r="U370" s="447"/>
      <c r="V370" s="447"/>
      <c r="W370" s="447"/>
      <c r="X370" s="447"/>
      <c r="Y370" s="447"/>
      <c r="Z370" s="447"/>
      <c r="AA370" s="447"/>
      <c r="AB370" s="447"/>
      <c r="AC370" s="449">
        <f t="shared" si="165"/>
        <v>182493990</v>
      </c>
      <c r="AD370" s="273"/>
      <c r="AE370" s="192"/>
      <c r="AF370" s="194"/>
      <c r="AG370" s="194"/>
      <c r="AH370" s="194"/>
      <c r="AI370" s="194"/>
    </row>
    <row r="371" hidden="1">
      <c r="A371" s="126"/>
      <c r="B371" s="591"/>
      <c r="C371" s="566"/>
      <c r="D371" s="533" t="s">
        <v>548</v>
      </c>
      <c r="E371" s="534"/>
      <c r="F371" s="534"/>
      <c r="G371" s="534"/>
      <c r="H371" s="523"/>
      <c r="I371" s="523"/>
      <c r="J371" s="523"/>
      <c r="K371" s="523" t="s">
        <v>529</v>
      </c>
      <c r="L371" s="598">
        <v>5.46453E8</v>
      </c>
      <c r="M371" s="485" t="s">
        <v>235</v>
      </c>
      <c r="N371" s="446"/>
      <c r="O371" s="446">
        <v>45748.0</v>
      </c>
      <c r="P371" s="446">
        <v>46022.0</v>
      </c>
      <c r="Q371" s="447"/>
      <c r="R371" s="447"/>
      <c r="S371" s="447"/>
      <c r="T371" s="447">
        <v>5.4803E7</v>
      </c>
      <c r="U371" s="447">
        <v>5.4803E7</v>
      </c>
      <c r="V371" s="447">
        <v>5.4803E7</v>
      </c>
      <c r="W371" s="447">
        <v>5.4803E7</v>
      </c>
      <c r="X371" s="447">
        <v>5.4803E7</v>
      </c>
      <c r="Y371" s="447">
        <v>5.4803E7</v>
      </c>
      <c r="Z371" s="447">
        <v>5.4803E7</v>
      </c>
      <c r="AA371" s="447">
        <v>5.4803E7</v>
      </c>
      <c r="AB371" s="447">
        <v>5.4803E7</v>
      </c>
      <c r="AC371" s="449">
        <f t="shared" si="165"/>
        <v>493227000</v>
      </c>
      <c r="AD371" s="273"/>
      <c r="AE371" s="192"/>
      <c r="AF371" s="194"/>
      <c r="AG371" s="194"/>
      <c r="AH371" s="194"/>
      <c r="AI371" s="194"/>
    </row>
    <row r="372" hidden="1">
      <c r="A372" s="126"/>
      <c r="B372" s="591"/>
      <c r="C372" s="222"/>
      <c r="D372" s="250" t="s">
        <v>553</v>
      </c>
      <c r="E372" s="470"/>
      <c r="F372" s="470"/>
      <c r="G372" s="470"/>
      <c r="H372" s="456"/>
      <c r="I372" s="456"/>
      <c r="J372" s="222"/>
      <c r="K372" s="222" t="s">
        <v>529</v>
      </c>
      <c r="L372" s="599"/>
      <c r="M372" s="473"/>
      <c r="N372" s="537"/>
      <c r="O372" s="537"/>
      <c r="P372" s="537"/>
      <c r="Q372" s="600">
        <v>4.7313697E7</v>
      </c>
      <c r="R372" s="600">
        <v>6.083133E7</v>
      </c>
      <c r="S372" s="600">
        <f t="shared" ref="S372:S374" si="172">R372</f>
        <v>60831330</v>
      </c>
      <c r="T372" s="229">
        <v>5.47E7</v>
      </c>
      <c r="U372" s="238">
        <f t="shared" ref="U372:V372" si="171">T372</f>
        <v>54700000</v>
      </c>
      <c r="V372" s="238">
        <f t="shared" si="171"/>
        <v>54700000</v>
      </c>
      <c r="W372" s="452"/>
      <c r="X372" s="452"/>
      <c r="Y372" s="452"/>
      <c r="Z372" s="452"/>
      <c r="AA372" s="452"/>
      <c r="AB372" s="452"/>
      <c r="AC372" s="538">
        <f t="shared" si="165"/>
        <v>333076357</v>
      </c>
      <c r="AD372" s="273"/>
      <c r="AE372" s="241"/>
      <c r="AF372" s="194"/>
      <c r="AG372" s="194"/>
      <c r="AH372" s="194"/>
      <c r="AI372" s="194"/>
    </row>
    <row r="373" hidden="1">
      <c r="A373" s="126"/>
      <c r="B373" s="591"/>
      <c r="C373" s="222"/>
      <c r="D373" s="286" t="s">
        <v>194</v>
      </c>
      <c r="E373" s="233"/>
      <c r="F373" s="233"/>
      <c r="G373" s="233"/>
      <c r="H373" s="234"/>
      <c r="I373" s="234"/>
      <c r="J373" s="222"/>
      <c r="K373" s="222" t="s">
        <v>529</v>
      </c>
      <c r="L373" s="287"/>
      <c r="M373" s="236"/>
      <c r="N373" s="285"/>
      <c r="O373" s="285"/>
      <c r="P373" s="285"/>
      <c r="Q373" s="600">
        <v>4.7313697E7</v>
      </c>
      <c r="R373" s="600">
        <v>6.083133E7</v>
      </c>
      <c r="S373" s="600">
        <f t="shared" si="172"/>
        <v>60831330</v>
      </c>
      <c r="T373" s="288"/>
      <c r="U373" s="288"/>
      <c r="V373" s="288"/>
      <c r="W373" s="288"/>
      <c r="X373" s="288"/>
      <c r="Y373" s="288"/>
      <c r="Z373" s="288"/>
      <c r="AA373" s="288"/>
      <c r="AB373" s="288"/>
      <c r="AC373" s="378">
        <f t="shared" si="165"/>
        <v>168976357</v>
      </c>
      <c r="AD373" s="273"/>
      <c r="AE373" s="241"/>
      <c r="AF373" s="194"/>
      <c r="AG373" s="194"/>
      <c r="AH373" s="194"/>
      <c r="AI373" s="194"/>
    </row>
    <row r="374" hidden="1">
      <c r="A374" s="126"/>
      <c r="B374" s="591"/>
      <c r="C374" s="222"/>
      <c r="D374" s="286" t="s">
        <v>554</v>
      </c>
      <c r="E374" s="233"/>
      <c r="F374" s="233"/>
      <c r="G374" s="233"/>
      <c r="H374" s="234"/>
      <c r="I374" s="234"/>
      <c r="J374" s="222"/>
      <c r="K374" s="222" t="s">
        <v>529</v>
      </c>
      <c r="L374" s="287"/>
      <c r="M374" s="236"/>
      <c r="N374" s="285"/>
      <c r="O374" s="285"/>
      <c r="P374" s="285"/>
      <c r="Q374" s="600">
        <v>4.7313697E7</v>
      </c>
      <c r="R374" s="600">
        <v>6.083133E7</v>
      </c>
      <c r="S374" s="600">
        <f t="shared" si="172"/>
        <v>60831330</v>
      </c>
      <c r="T374" s="288"/>
      <c r="U374" s="288"/>
      <c r="V374" s="288"/>
      <c r="W374" s="288"/>
      <c r="X374" s="288"/>
      <c r="Y374" s="288"/>
      <c r="Z374" s="288"/>
      <c r="AA374" s="288"/>
      <c r="AB374" s="288"/>
      <c r="AC374" s="378">
        <f t="shared" si="165"/>
        <v>168976357</v>
      </c>
      <c r="AD374" s="273"/>
      <c r="AE374" s="241"/>
      <c r="AF374" s="194"/>
      <c r="AG374" s="194"/>
      <c r="AH374" s="194"/>
      <c r="AI374" s="194"/>
    </row>
    <row r="375" hidden="1">
      <c r="A375" s="126"/>
      <c r="B375" s="181"/>
      <c r="C375" s="289"/>
      <c r="D375" s="290" t="s">
        <v>555</v>
      </c>
      <c r="E375" s="487"/>
      <c r="F375" s="487"/>
      <c r="G375" s="487"/>
      <c r="H375" s="291"/>
      <c r="I375" s="291"/>
      <c r="J375" s="292"/>
      <c r="K375" s="292" t="s">
        <v>529</v>
      </c>
      <c r="L375" s="293"/>
      <c r="M375" s="294"/>
      <c r="N375" s="295"/>
      <c r="O375" s="295"/>
      <c r="P375" s="295"/>
      <c r="Q375" s="296">
        <f t="shared" ref="Q375:AC375" si="173">Q348+Q349+Q350+Q351+Q356+Q357+Q358+Q359</f>
        <v>189604690.5</v>
      </c>
      <c r="R375" s="296">
        <f t="shared" si="173"/>
        <v>189018792</v>
      </c>
      <c r="S375" s="296">
        <f t="shared" si="173"/>
        <v>189018792</v>
      </c>
      <c r="T375" s="296">
        <f t="shared" si="173"/>
        <v>199767540</v>
      </c>
      <c r="U375" s="296">
        <f t="shared" si="173"/>
        <v>199767540</v>
      </c>
      <c r="V375" s="296">
        <f t="shared" si="173"/>
        <v>199767540</v>
      </c>
      <c r="W375" s="296">
        <f t="shared" si="173"/>
        <v>199667521.5</v>
      </c>
      <c r="X375" s="296">
        <f t="shared" si="173"/>
        <v>199667521.5</v>
      </c>
      <c r="Y375" s="296">
        <f t="shared" si="173"/>
        <v>0</v>
      </c>
      <c r="Z375" s="296">
        <f t="shared" si="173"/>
        <v>0</v>
      </c>
      <c r="AA375" s="296">
        <f t="shared" si="173"/>
        <v>0</v>
      </c>
      <c r="AB375" s="296">
        <f t="shared" si="173"/>
        <v>0</v>
      </c>
      <c r="AC375" s="297">
        <f t="shared" si="173"/>
        <v>1566279938</v>
      </c>
      <c r="AD375" s="273"/>
      <c r="AE375" s="241"/>
      <c r="AF375" s="194"/>
      <c r="AG375" s="194"/>
      <c r="AH375" s="194"/>
      <c r="AI375" s="194"/>
    </row>
    <row r="376" hidden="1">
      <c r="A376" s="126"/>
      <c r="B376" s="298"/>
      <c r="C376" s="299"/>
      <c r="D376" s="300" t="s">
        <v>556</v>
      </c>
      <c r="E376" s="488"/>
      <c r="F376" s="488"/>
      <c r="G376" s="488"/>
      <c r="H376" s="301"/>
      <c r="I376" s="301"/>
      <c r="J376" s="489"/>
      <c r="K376" s="489" t="s">
        <v>529</v>
      </c>
      <c r="L376" s="304"/>
      <c r="M376" s="305"/>
      <c r="N376" s="306"/>
      <c r="O376" s="306"/>
      <c r="P376" s="306"/>
      <c r="Q376" s="307">
        <f t="shared" ref="Q376:AB376" si="174">Q352+Q360+Q366+Q372</f>
        <v>270316215</v>
      </c>
      <c r="R376" s="307">
        <f t="shared" si="174"/>
        <v>284009559</v>
      </c>
      <c r="S376" s="308">
        <f t="shared" si="174"/>
        <v>283759801</v>
      </c>
      <c r="T376" s="308">
        <f t="shared" si="174"/>
        <v>288425221</v>
      </c>
      <c r="U376" s="308">
        <f t="shared" si="174"/>
        <v>288693463</v>
      </c>
      <c r="V376" s="308">
        <f t="shared" si="174"/>
        <v>288870597</v>
      </c>
      <c r="W376" s="307">
        <f t="shared" si="174"/>
        <v>0</v>
      </c>
      <c r="X376" s="307">
        <f t="shared" si="174"/>
        <v>0</v>
      </c>
      <c r="Y376" s="307">
        <f t="shared" si="174"/>
        <v>0</v>
      </c>
      <c r="Z376" s="307">
        <f t="shared" si="174"/>
        <v>0</v>
      </c>
      <c r="AA376" s="307">
        <f t="shared" si="174"/>
        <v>0</v>
      </c>
      <c r="AB376" s="307">
        <f t="shared" si="174"/>
        <v>0</v>
      </c>
      <c r="AC376" s="309">
        <f t="shared" ref="AC376:AC379" si="176">SUM(Q376:AB376)</f>
        <v>1704074856</v>
      </c>
      <c r="AD376" s="273"/>
      <c r="AE376" s="192"/>
      <c r="AF376" s="310">
        <f t="shared" ref="AF376:AF377" si="177">AC376-AC377</f>
        <v>502774595</v>
      </c>
      <c r="AG376" s="311" t="s">
        <v>226</v>
      </c>
      <c r="AH376" s="194"/>
      <c r="AI376" s="194"/>
    </row>
    <row r="377" hidden="1">
      <c r="A377" s="126"/>
      <c r="B377" s="298"/>
      <c r="C377" s="312"/>
      <c r="D377" s="313" t="s">
        <v>557</v>
      </c>
      <c r="E377" s="331"/>
      <c r="F377" s="331"/>
      <c r="G377" s="331"/>
      <c r="H377" s="199"/>
      <c r="I377" s="199"/>
      <c r="J377" s="222"/>
      <c r="K377" s="222" t="s">
        <v>529</v>
      </c>
      <c r="L377" s="287"/>
      <c r="M377" s="236"/>
      <c r="N377" s="285"/>
      <c r="O377" s="285"/>
      <c r="P377" s="285"/>
      <c r="Q377" s="288">
        <f t="shared" ref="Q377:V377" si="175">Q353+Q361+Q367+Q373</f>
        <v>270316215</v>
      </c>
      <c r="R377" s="288">
        <f t="shared" si="175"/>
        <v>284009559</v>
      </c>
      <c r="S377" s="605">
        <f t="shared" si="175"/>
        <v>248925135</v>
      </c>
      <c r="T377" s="605">
        <f t="shared" si="175"/>
        <v>198890555</v>
      </c>
      <c r="U377" s="605">
        <f t="shared" si="175"/>
        <v>199158797</v>
      </c>
      <c r="V377" s="605">
        <f t="shared" si="175"/>
        <v>0</v>
      </c>
      <c r="W377" s="288"/>
      <c r="X377" s="288"/>
      <c r="Y377" s="288"/>
      <c r="Z377" s="288"/>
      <c r="AA377" s="288"/>
      <c r="AB377" s="288"/>
      <c r="AC377" s="378">
        <f t="shared" si="176"/>
        <v>1201300261</v>
      </c>
      <c r="AD377" s="178"/>
      <c r="AE377" s="192"/>
      <c r="AF377" s="316">
        <f t="shared" si="177"/>
        <v>0</v>
      </c>
      <c r="AG377" s="311" t="s">
        <v>228</v>
      </c>
      <c r="AH377" s="194"/>
      <c r="AI377" s="194"/>
    </row>
    <row r="378" hidden="1">
      <c r="A378" s="126"/>
      <c r="B378" s="298"/>
      <c r="C378" s="317"/>
      <c r="D378" s="318" t="s">
        <v>558</v>
      </c>
      <c r="E378" s="493"/>
      <c r="F378" s="493"/>
      <c r="G378" s="493"/>
      <c r="H378" s="494"/>
      <c r="I378" s="494"/>
      <c r="J378" s="320"/>
      <c r="K378" s="320" t="s">
        <v>529</v>
      </c>
      <c r="L378" s="321"/>
      <c r="M378" s="322"/>
      <c r="N378" s="323"/>
      <c r="O378" s="323"/>
      <c r="P378" s="323"/>
      <c r="Q378" s="324">
        <f t="shared" ref="Q378:V378" si="178">Q354+Q362+Q368+Q374</f>
        <v>270316215</v>
      </c>
      <c r="R378" s="324">
        <f t="shared" si="178"/>
        <v>284009559</v>
      </c>
      <c r="S378" s="326">
        <f t="shared" si="178"/>
        <v>248925135</v>
      </c>
      <c r="T378" s="326">
        <f t="shared" si="178"/>
        <v>198890555</v>
      </c>
      <c r="U378" s="326">
        <f t="shared" si="178"/>
        <v>199158797</v>
      </c>
      <c r="V378" s="326">
        <f t="shared" si="178"/>
        <v>0</v>
      </c>
      <c r="W378" s="324"/>
      <c r="X378" s="324"/>
      <c r="Y378" s="324"/>
      <c r="Z378" s="324"/>
      <c r="AA378" s="324"/>
      <c r="AB378" s="324"/>
      <c r="AC378" s="539">
        <f t="shared" si="176"/>
        <v>1201300261</v>
      </c>
      <c r="AD378" s="178"/>
      <c r="AE378" s="192"/>
      <c r="AF378" s="328">
        <f>AC378</f>
        <v>1201300261</v>
      </c>
      <c r="AG378" s="311" t="s">
        <v>148</v>
      </c>
      <c r="AH378" s="194"/>
      <c r="AI378" s="194"/>
    </row>
    <row r="379">
      <c r="A379" s="126"/>
      <c r="B379" s="181">
        <v>8.0</v>
      </c>
      <c r="C379" s="329" t="s">
        <v>36</v>
      </c>
      <c r="D379" s="330"/>
      <c r="E379" s="496"/>
      <c r="F379" s="496"/>
      <c r="G379" s="496"/>
      <c r="H379" s="332"/>
      <c r="I379" s="332"/>
      <c r="J379" s="333"/>
      <c r="K379" s="333" t="s">
        <v>559</v>
      </c>
      <c r="L379" s="334">
        <f>L380+L387</f>
        <v>1728847375</v>
      </c>
      <c r="M379" s="335"/>
      <c r="N379" s="336"/>
      <c r="O379" s="336"/>
      <c r="P379" s="336"/>
      <c r="Q379" s="337">
        <f t="shared" ref="Q379:AB379" si="179">Q380+Q387</f>
        <v>148403230.7</v>
      </c>
      <c r="R379" s="337">
        <f t="shared" si="179"/>
        <v>148403230.7</v>
      </c>
      <c r="S379" s="337">
        <f t="shared" si="179"/>
        <v>148403230.7</v>
      </c>
      <c r="T379" s="337">
        <f t="shared" si="179"/>
        <v>148403230.7</v>
      </c>
      <c r="U379" s="337">
        <f t="shared" si="179"/>
        <v>148403230.7</v>
      </c>
      <c r="V379" s="337">
        <f t="shared" si="179"/>
        <v>148403230.7</v>
      </c>
      <c r="W379" s="337">
        <f t="shared" si="179"/>
        <v>148403230.7</v>
      </c>
      <c r="X379" s="337">
        <f t="shared" si="179"/>
        <v>148403230.7</v>
      </c>
      <c r="Y379" s="337">
        <f t="shared" si="179"/>
        <v>148403230.7</v>
      </c>
      <c r="Z379" s="337">
        <f t="shared" si="179"/>
        <v>148403230.7</v>
      </c>
      <c r="AA379" s="337">
        <f t="shared" si="179"/>
        <v>148403230.7</v>
      </c>
      <c r="AB379" s="337">
        <f t="shared" si="179"/>
        <v>148403230.7</v>
      </c>
      <c r="AC379" s="338">
        <f t="shared" si="176"/>
        <v>1780838768</v>
      </c>
      <c r="AD379" s="178">
        <f>AC379-AE379</f>
        <v>0.1081078053</v>
      </c>
      <c r="AE379" s="192">
        <f>'Proker New'!Y67</f>
        <v>1780838768</v>
      </c>
      <c r="AF379" s="193" t="str">
        <f>C379</f>
        <v>Jambi - Jambi (DJB)</v>
      </c>
      <c r="AG379" s="194"/>
      <c r="AH379" s="194"/>
      <c r="AI379" s="194"/>
    </row>
    <row r="380">
      <c r="A380" s="126"/>
      <c r="B380" s="195"/>
      <c r="C380" s="196">
        <v>1.0</v>
      </c>
      <c r="D380" s="354" t="s">
        <v>560</v>
      </c>
      <c r="E380" s="198" t="s">
        <v>186</v>
      </c>
      <c r="F380" s="198" t="s">
        <v>103</v>
      </c>
      <c r="G380" s="198" t="s">
        <v>86</v>
      </c>
      <c r="H380" s="198" t="s">
        <v>86</v>
      </c>
      <c r="I380" s="198" t="s">
        <v>187</v>
      </c>
      <c r="J380" s="198" t="s">
        <v>188</v>
      </c>
      <c r="K380" s="199" t="s">
        <v>559</v>
      </c>
      <c r="L380" s="347">
        <v>1.056778835E9</v>
      </c>
      <c r="M380" s="257" t="s">
        <v>561</v>
      </c>
      <c r="N380" s="366"/>
      <c r="O380" s="366">
        <v>45383.0</v>
      </c>
      <c r="P380" s="366">
        <v>45747.0</v>
      </c>
      <c r="Q380" s="204">
        <v>9.04003756756757E7</v>
      </c>
      <c r="R380" s="204">
        <v>9.04003756756757E7</v>
      </c>
      <c r="S380" s="204">
        <v>9.04003756756757E7</v>
      </c>
      <c r="T380" s="204">
        <v>9.04003756756757E7</v>
      </c>
      <c r="U380" s="204">
        <v>9.04003756756757E7</v>
      </c>
      <c r="V380" s="204">
        <v>9.04003756756757E7</v>
      </c>
      <c r="W380" s="204">
        <v>9.04003756756757E7</v>
      </c>
      <c r="X380" s="204">
        <v>9.04003756756757E7</v>
      </c>
      <c r="Y380" s="204">
        <v>9.04003756756757E7</v>
      </c>
      <c r="Z380" s="204">
        <v>9.04003756756757E7</v>
      </c>
      <c r="AA380" s="204">
        <v>9.04003756756757E7</v>
      </c>
      <c r="AB380" s="204">
        <v>9.04003756756757E7</v>
      </c>
      <c r="AC380" s="205">
        <v>1.0848045081081088E9</v>
      </c>
      <c r="AD380" s="178">
        <f>SUM(Q380:AB380)-AC380</f>
        <v>0</v>
      </c>
      <c r="AE380" s="241"/>
      <c r="AF380" s="194"/>
      <c r="AG380" s="194"/>
      <c r="AH380" s="194"/>
      <c r="AI380" s="194"/>
    </row>
    <row r="381" ht="27.75" hidden="1" customHeight="1">
      <c r="A381" s="126"/>
      <c r="B381" s="195"/>
      <c r="C381" s="206"/>
      <c r="D381" s="207"/>
      <c r="E381" s="207"/>
      <c r="F381" s="207"/>
      <c r="G381" s="207"/>
      <c r="H381" s="206"/>
      <c r="I381" s="206"/>
      <c r="J381" s="206"/>
      <c r="K381" s="206" t="s">
        <v>559</v>
      </c>
      <c r="L381" s="245">
        <v>1.204133E9</v>
      </c>
      <c r="M381" s="209" t="s">
        <v>562</v>
      </c>
      <c r="N381" s="367"/>
      <c r="O381" s="367"/>
      <c r="P381" s="367">
        <v>45747.0</v>
      </c>
      <c r="Q381" s="212">
        <f>L381/12</f>
        <v>100344416.7</v>
      </c>
      <c r="R381" s="212">
        <f t="shared" ref="R381:S381" si="180">Q381</f>
        <v>100344416.7</v>
      </c>
      <c r="S381" s="212">
        <f t="shared" si="180"/>
        <v>100344416.7</v>
      </c>
      <c r="T381" s="212"/>
      <c r="U381" s="212"/>
      <c r="V381" s="212"/>
      <c r="W381" s="212"/>
      <c r="X381" s="212"/>
      <c r="Y381" s="212"/>
      <c r="Z381" s="212"/>
      <c r="AA381" s="212"/>
      <c r="AB381" s="212"/>
      <c r="AC381" s="213">
        <f t="shared" ref="AC381:AC386" si="181">SUM(Q381:AB381)</f>
        <v>301033250</v>
      </c>
      <c r="AD381" s="273"/>
      <c r="AE381" s="192"/>
      <c r="AF381" s="194"/>
      <c r="AG381" s="194"/>
      <c r="AH381" s="194"/>
      <c r="AI381" s="194"/>
    </row>
    <row r="382" hidden="1">
      <c r="A382" s="126"/>
      <c r="B382" s="195"/>
      <c r="C382" s="206"/>
      <c r="D382" s="265"/>
      <c r="E382" s="207"/>
      <c r="F382" s="207"/>
      <c r="G382" s="207"/>
      <c r="H382" s="206"/>
      <c r="I382" s="206"/>
      <c r="J382" s="206"/>
      <c r="K382" s="206" t="s">
        <v>559</v>
      </c>
      <c r="L382" s="245">
        <v>1.501015E9</v>
      </c>
      <c r="M382" s="247" t="s">
        <v>563</v>
      </c>
      <c r="N382" s="367"/>
      <c r="O382" s="367"/>
      <c r="P382" s="367">
        <v>45838.0</v>
      </c>
      <c r="Q382" s="212"/>
      <c r="R382" s="212"/>
      <c r="S382" s="212"/>
      <c r="T382" s="212">
        <v>9.04003756756757E7</v>
      </c>
      <c r="U382" s="212">
        <v>9.04003756756757E7</v>
      </c>
      <c r="V382" s="212">
        <v>9.04003756756757E7</v>
      </c>
      <c r="W382" s="212"/>
      <c r="X382" s="212"/>
      <c r="Y382" s="212"/>
      <c r="Z382" s="212"/>
      <c r="AA382" s="212"/>
      <c r="AB382" s="212"/>
      <c r="AC382" s="213">
        <f t="shared" si="181"/>
        <v>271201127</v>
      </c>
      <c r="AD382" s="273"/>
      <c r="AE382" s="241"/>
      <c r="AF382" s="194"/>
      <c r="AG382" s="194"/>
      <c r="AH382" s="194"/>
      <c r="AI382" s="194"/>
    </row>
    <row r="383" hidden="1">
      <c r="A383" s="126"/>
      <c r="B383" s="195"/>
      <c r="C383" s="206"/>
      <c r="D383" s="215" t="s">
        <v>564</v>
      </c>
      <c r="E383" s="207"/>
      <c r="F383" s="207"/>
      <c r="G383" s="207"/>
      <c r="H383" s="206"/>
      <c r="I383" s="206"/>
      <c r="J383" s="206"/>
      <c r="K383" s="206" t="s">
        <v>559</v>
      </c>
      <c r="L383" s="277"/>
      <c r="M383" s="265"/>
      <c r="N383" s="389"/>
      <c r="O383" s="389">
        <f>P382+1</f>
        <v>45839</v>
      </c>
      <c r="P383" s="389"/>
      <c r="Q383" s="249"/>
      <c r="R383" s="249"/>
      <c r="S383" s="249"/>
      <c r="T383" s="249"/>
      <c r="U383" s="249"/>
      <c r="V383" s="249"/>
      <c r="W383" s="212"/>
      <c r="X383" s="212"/>
      <c r="Y383" s="212"/>
      <c r="Z383" s="212"/>
      <c r="AA383" s="212"/>
      <c r="AB383" s="212"/>
      <c r="AC383" s="213">
        <f t="shared" si="181"/>
        <v>0</v>
      </c>
      <c r="AD383" s="271"/>
      <c r="AE383" s="241"/>
      <c r="AF383" s="194"/>
      <c r="AG383" s="194"/>
      <c r="AH383" s="194"/>
      <c r="AI383" s="194"/>
    </row>
    <row r="384" hidden="1">
      <c r="A384" s="126"/>
      <c r="B384" s="195"/>
      <c r="C384" s="222"/>
      <c r="D384" s="250" t="s">
        <v>565</v>
      </c>
      <c r="E384" s="224"/>
      <c r="F384" s="224"/>
      <c r="G384" s="224"/>
      <c r="H384" s="222"/>
      <c r="I384" s="222"/>
      <c r="J384" s="222"/>
      <c r="K384" s="222" t="s">
        <v>559</v>
      </c>
      <c r="L384" s="225"/>
      <c r="M384" s="383"/>
      <c r="N384" s="285"/>
      <c r="O384" s="285"/>
      <c r="P384" s="285"/>
      <c r="Q384" s="228">
        <v>9.7752042E7</v>
      </c>
      <c r="R384" s="228">
        <f t="shared" ref="R384:S384" si="182">Q384</f>
        <v>97752042</v>
      </c>
      <c r="S384" s="228">
        <f t="shared" si="182"/>
        <v>97752042</v>
      </c>
      <c r="T384" s="229">
        <f t="shared" ref="T384:U384" si="183">98960667</f>
        <v>98960667</v>
      </c>
      <c r="U384" s="229">
        <f t="shared" si="183"/>
        <v>98960667</v>
      </c>
      <c r="V384" s="229">
        <f>U384</f>
        <v>98960667</v>
      </c>
      <c r="W384" s="230"/>
      <c r="X384" s="230"/>
      <c r="Y384" s="230"/>
      <c r="Z384" s="230"/>
      <c r="AA384" s="230"/>
      <c r="AB384" s="230"/>
      <c r="AC384" s="231">
        <f t="shared" si="181"/>
        <v>590138127</v>
      </c>
      <c r="AD384" s="264"/>
      <c r="AE384" s="241"/>
      <c r="AF384" s="194"/>
      <c r="AG384" s="194"/>
      <c r="AH384" s="194"/>
      <c r="AI384" s="194"/>
    </row>
    <row r="385" hidden="1">
      <c r="A385" s="126"/>
      <c r="B385" s="195"/>
      <c r="C385" s="196"/>
      <c r="D385" s="286" t="s">
        <v>194</v>
      </c>
      <c r="E385" s="233"/>
      <c r="F385" s="233"/>
      <c r="G385" s="233"/>
      <c r="H385" s="234"/>
      <c r="I385" s="234"/>
      <c r="J385" s="222"/>
      <c r="K385" s="222" t="s">
        <v>559</v>
      </c>
      <c r="L385" s="225"/>
      <c r="M385" s="255"/>
      <c r="N385" s="365"/>
      <c r="O385" s="365"/>
      <c r="P385" s="365"/>
      <c r="Q385" s="228">
        <v>9.7752042E7</v>
      </c>
      <c r="R385" s="228">
        <f t="shared" ref="R385:S385" si="184">Q385</f>
        <v>97752042</v>
      </c>
      <c r="S385" s="228">
        <f t="shared" si="184"/>
        <v>97752042</v>
      </c>
      <c r="T385" s="238"/>
      <c r="U385" s="238"/>
      <c r="V385" s="238"/>
      <c r="W385" s="238"/>
      <c r="X385" s="238"/>
      <c r="Y385" s="238"/>
      <c r="Z385" s="238"/>
      <c r="AA385" s="238"/>
      <c r="AB385" s="238"/>
      <c r="AC385" s="378">
        <f t="shared" si="181"/>
        <v>293256126</v>
      </c>
      <c r="AD385" s="214"/>
      <c r="AE385" s="192"/>
      <c r="AF385" s="194"/>
      <c r="AG385" s="194"/>
      <c r="AH385" s="194"/>
      <c r="AI385" s="194"/>
    </row>
    <row r="386" hidden="1">
      <c r="A386" s="126"/>
      <c r="B386" s="195"/>
      <c r="C386" s="196"/>
      <c r="D386" s="286" t="s">
        <v>566</v>
      </c>
      <c r="E386" s="233"/>
      <c r="F386" s="233"/>
      <c r="G386" s="233"/>
      <c r="H386" s="234"/>
      <c r="I386" s="234"/>
      <c r="J386" s="222"/>
      <c r="K386" s="222" t="s">
        <v>559</v>
      </c>
      <c r="L386" s="225"/>
      <c r="M386" s="255"/>
      <c r="N386" s="365"/>
      <c r="O386" s="365"/>
      <c r="P386" s="365"/>
      <c r="Q386" s="228">
        <v>9.7752042E7</v>
      </c>
      <c r="R386" s="228">
        <f t="shared" ref="R386:S386" si="185">Q386</f>
        <v>97752042</v>
      </c>
      <c r="S386" s="228">
        <f t="shared" si="185"/>
        <v>97752042</v>
      </c>
      <c r="T386" s="238"/>
      <c r="U386" s="238"/>
      <c r="V386" s="238"/>
      <c r="W386" s="238"/>
      <c r="X386" s="238"/>
      <c r="Y386" s="238"/>
      <c r="Z386" s="238"/>
      <c r="AA386" s="238"/>
      <c r="AB386" s="238"/>
      <c r="AC386" s="378">
        <f t="shared" si="181"/>
        <v>293256126</v>
      </c>
      <c r="AD386" s="214"/>
      <c r="AE386" s="192"/>
      <c r="AF386" s="194"/>
      <c r="AG386" s="194"/>
      <c r="AH386" s="194"/>
      <c r="AI386" s="194"/>
    </row>
    <row r="387">
      <c r="A387" s="126"/>
      <c r="B387" s="195"/>
      <c r="C387" s="196">
        <v>2.0</v>
      </c>
      <c r="D387" s="354" t="s">
        <v>567</v>
      </c>
      <c r="E387" s="198" t="s">
        <v>186</v>
      </c>
      <c r="F387" s="198" t="s">
        <v>88</v>
      </c>
      <c r="G387" s="198" t="s">
        <v>88</v>
      </c>
      <c r="H387" s="198" t="s">
        <v>218</v>
      </c>
      <c r="I387" s="198" t="s">
        <v>187</v>
      </c>
      <c r="J387" s="198" t="s">
        <v>188</v>
      </c>
      <c r="K387" s="199" t="s">
        <v>559</v>
      </c>
      <c r="L387" s="355">
        <f>745996079/1.11</f>
        <v>672068539.6</v>
      </c>
      <c r="M387" s="257" t="s">
        <v>568</v>
      </c>
      <c r="N387" s="366"/>
      <c r="O387" s="366">
        <v>45383.0</v>
      </c>
      <c r="P387" s="366">
        <v>45747.0</v>
      </c>
      <c r="Q387" s="204">
        <v>5.8002855E7</v>
      </c>
      <c r="R387" s="204">
        <v>5.8002855E7</v>
      </c>
      <c r="S387" s="204">
        <v>5.8002855E7</v>
      </c>
      <c r="T387" s="204">
        <v>5.8002855E7</v>
      </c>
      <c r="U387" s="204">
        <v>5.8002855E7</v>
      </c>
      <c r="V387" s="204">
        <v>5.8002855E7</v>
      </c>
      <c r="W387" s="204">
        <v>5.8002855E7</v>
      </c>
      <c r="X387" s="204">
        <v>5.8002855E7</v>
      </c>
      <c r="Y387" s="204">
        <v>5.8002855E7</v>
      </c>
      <c r="Z387" s="204">
        <v>5.8002855E7</v>
      </c>
      <c r="AA387" s="204">
        <v>5.8002855E7</v>
      </c>
      <c r="AB387" s="204">
        <v>5.8002855E7</v>
      </c>
      <c r="AC387" s="205">
        <v>6.9603426E8</v>
      </c>
      <c r="AD387" s="178">
        <f>SUM(Q387:AB387)-AC387</f>
        <v>0</v>
      </c>
      <c r="AE387" s="192"/>
      <c r="AF387" s="194"/>
      <c r="AG387" s="194"/>
      <c r="AH387" s="194"/>
      <c r="AI387" s="194"/>
    </row>
    <row r="388" hidden="1">
      <c r="A388" s="126"/>
      <c r="B388" s="195"/>
      <c r="C388" s="206"/>
      <c r="D388" s="215"/>
      <c r="E388" s="207"/>
      <c r="F388" s="207"/>
      <c r="G388" s="207"/>
      <c r="H388" s="206"/>
      <c r="I388" s="206"/>
      <c r="J388" s="206"/>
      <c r="K388" s="206" t="s">
        <v>559</v>
      </c>
      <c r="L388" s="245">
        <v>7.45996079E8</v>
      </c>
      <c r="M388" s="209" t="s">
        <v>569</v>
      </c>
      <c r="N388" s="367"/>
      <c r="O388" s="367">
        <v>45383.0</v>
      </c>
      <c r="P388" s="367">
        <v>45747.0</v>
      </c>
      <c r="Q388" s="268">
        <f>L388/12</f>
        <v>62166339.92</v>
      </c>
      <c r="R388" s="268">
        <f t="shared" ref="R388:S388" si="186">Q388</f>
        <v>62166339.92</v>
      </c>
      <c r="S388" s="268">
        <f t="shared" si="186"/>
        <v>62166339.92</v>
      </c>
      <c r="T388" s="212"/>
      <c r="U388" s="212"/>
      <c r="V388" s="212"/>
      <c r="W388" s="212"/>
      <c r="X388" s="212"/>
      <c r="Y388" s="212"/>
      <c r="Z388" s="212"/>
      <c r="AA388" s="212"/>
      <c r="AB388" s="212"/>
      <c r="AC388" s="213">
        <f t="shared" ref="AC388:AC398" si="188">SUM(Q388:AB388)</f>
        <v>186499019.8</v>
      </c>
      <c r="AD388" s="273"/>
      <c r="AE388" s="241"/>
      <c r="AF388" s="194"/>
      <c r="AG388" s="194"/>
      <c r="AH388" s="194"/>
      <c r="AI388" s="194"/>
    </row>
    <row r="389" hidden="1">
      <c r="A389" s="126"/>
      <c r="B389" s="195"/>
      <c r="C389" s="206"/>
      <c r="D389" s="207"/>
      <c r="E389" s="207"/>
      <c r="F389" s="207"/>
      <c r="G389" s="207"/>
      <c r="H389" s="206"/>
      <c r="I389" s="206"/>
      <c r="J389" s="206"/>
      <c r="K389" s="206" t="s">
        <v>559</v>
      </c>
      <c r="L389" s="245">
        <v>2.29350161E8</v>
      </c>
      <c r="M389" s="218" t="s">
        <v>570</v>
      </c>
      <c r="N389" s="367"/>
      <c r="O389" s="367">
        <v>45748.0</v>
      </c>
      <c r="P389" s="367">
        <v>45838.0</v>
      </c>
      <c r="Q389" s="249"/>
      <c r="R389" s="212"/>
      <c r="S389" s="212"/>
      <c r="T389" s="268">
        <f>L389/3</f>
        <v>76450053.67</v>
      </c>
      <c r="U389" s="268">
        <f t="shared" ref="U389:V389" si="187">T389</f>
        <v>76450053.67</v>
      </c>
      <c r="V389" s="268">
        <f t="shared" si="187"/>
        <v>76450053.67</v>
      </c>
      <c r="W389" s="212"/>
      <c r="X389" s="212"/>
      <c r="Y389" s="212"/>
      <c r="Z389" s="212"/>
      <c r="AA389" s="212"/>
      <c r="AB389" s="212"/>
      <c r="AC389" s="213">
        <f t="shared" si="188"/>
        <v>229350161</v>
      </c>
      <c r="AD389" s="264"/>
      <c r="AE389" s="241"/>
      <c r="AF389" s="194"/>
      <c r="AG389" s="194"/>
      <c r="AH389" s="194"/>
      <c r="AI389" s="194"/>
    </row>
    <row r="390" hidden="1">
      <c r="A390" s="126"/>
      <c r="B390" s="195"/>
      <c r="C390" s="206"/>
      <c r="D390" s="215" t="s">
        <v>571</v>
      </c>
      <c r="E390" s="207"/>
      <c r="F390" s="207"/>
      <c r="G390" s="207"/>
      <c r="H390" s="206"/>
      <c r="I390" s="206"/>
      <c r="J390" s="206"/>
      <c r="K390" s="206" t="s">
        <v>559</v>
      </c>
      <c r="L390" s="277"/>
      <c r="M390" s="265"/>
      <c r="N390" s="389"/>
      <c r="O390" s="389"/>
      <c r="P390" s="367">
        <v>46022.0</v>
      </c>
      <c r="Q390" s="249"/>
      <c r="R390" s="212"/>
      <c r="S390" s="212"/>
      <c r="T390" s="249"/>
      <c r="U390" s="212"/>
      <c r="V390" s="212"/>
      <c r="W390" s="212"/>
      <c r="X390" s="212"/>
      <c r="Y390" s="212"/>
      <c r="Z390" s="212"/>
      <c r="AA390" s="212"/>
      <c r="AB390" s="212"/>
      <c r="AC390" s="213">
        <f t="shared" si="188"/>
        <v>0</v>
      </c>
      <c r="AD390" s="273"/>
      <c r="AE390" s="192"/>
      <c r="AF390" s="194"/>
      <c r="AG390" s="194"/>
      <c r="AH390" s="194"/>
      <c r="AI390" s="194"/>
    </row>
    <row r="391" hidden="1">
      <c r="A391" s="126"/>
      <c r="B391" s="195"/>
      <c r="C391" s="222"/>
      <c r="D391" s="250" t="s">
        <v>572</v>
      </c>
      <c r="E391" s="224"/>
      <c r="F391" s="224"/>
      <c r="G391" s="224"/>
      <c r="H391" s="222"/>
      <c r="I391" s="222"/>
      <c r="J391" s="222"/>
      <c r="K391" s="222" t="s">
        <v>559</v>
      </c>
      <c r="L391" s="225"/>
      <c r="M391" s="383"/>
      <c r="N391" s="285"/>
      <c r="O391" s="285"/>
      <c r="P391" s="285"/>
      <c r="Q391" s="228">
        <v>6.216634E7</v>
      </c>
      <c r="R391" s="228">
        <v>6.216634E7</v>
      </c>
      <c r="S391" s="228">
        <v>6.216634E7</v>
      </c>
      <c r="T391" s="228">
        <v>7.6450054E7</v>
      </c>
      <c r="U391" s="230">
        <f t="shared" ref="U391:V391" si="189">T391</f>
        <v>76450054</v>
      </c>
      <c r="V391" s="238">
        <f t="shared" si="189"/>
        <v>76450054</v>
      </c>
      <c r="W391" s="230"/>
      <c r="X391" s="230"/>
      <c r="Y391" s="230"/>
      <c r="Z391" s="230"/>
      <c r="AA391" s="230"/>
      <c r="AB391" s="230"/>
      <c r="AC391" s="231">
        <f t="shared" si="188"/>
        <v>415849182</v>
      </c>
      <c r="AD391" s="273"/>
      <c r="AE391" s="192"/>
      <c r="AF391" s="194"/>
      <c r="AG391" s="194"/>
      <c r="AH391" s="194"/>
      <c r="AI391" s="194"/>
    </row>
    <row r="392" hidden="1">
      <c r="A392" s="126"/>
      <c r="B392" s="421"/>
      <c r="C392" s="196"/>
      <c r="D392" s="286" t="s">
        <v>194</v>
      </c>
      <c r="E392" s="233"/>
      <c r="F392" s="233"/>
      <c r="G392" s="233"/>
      <c r="H392" s="234"/>
      <c r="I392" s="234"/>
      <c r="J392" s="222"/>
      <c r="K392" s="222" t="s">
        <v>559</v>
      </c>
      <c r="L392" s="225"/>
      <c r="M392" s="255"/>
      <c r="N392" s="365"/>
      <c r="O392" s="365"/>
      <c r="P392" s="365"/>
      <c r="Q392" s="228">
        <v>6.216634E7</v>
      </c>
      <c r="R392" s="228">
        <v>6.216634E7</v>
      </c>
      <c r="S392" s="228">
        <v>6.216634E7</v>
      </c>
      <c r="T392" s="228">
        <v>7.6450054E7</v>
      </c>
      <c r="U392" s="230">
        <f t="shared" ref="U392:U393" si="190">T392</f>
        <v>76450054</v>
      </c>
      <c r="V392" s="238"/>
      <c r="W392" s="238"/>
      <c r="X392" s="238"/>
      <c r="Y392" s="238"/>
      <c r="Z392" s="238"/>
      <c r="AA392" s="238"/>
      <c r="AB392" s="238"/>
      <c r="AC392" s="378">
        <f t="shared" si="188"/>
        <v>339399128</v>
      </c>
      <c r="AD392" s="214"/>
      <c r="AE392" s="192"/>
      <c r="AF392" s="194"/>
      <c r="AG392" s="194"/>
      <c r="AH392" s="194"/>
      <c r="AI392" s="194"/>
    </row>
    <row r="393" hidden="1">
      <c r="A393" s="126"/>
      <c r="B393" s="421"/>
      <c r="C393" s="196"/>
      <c r="D393" s="286" t="s">
        <v>573</v>
      </c>
      <c r="E393" s="233"/>
      <c r="F393" s="233"/>
      <c r="G393" s="233"/>
      <c r="H393" s="234"/>
      <c r="I393" s="234"/>
      <c r="J393" s="222"/>
      <c r="K393" s="222" t="s">
        <v>559</v>
      </c>
      <c r="L393" s="225"/>
      <c r="M393" s="255"/>
      <c r="N393" s="365"/>
      <c r="O393" s="365"/>
      <c r="P393" s="365"/>
      <c r="Q393" s="228">
        <v>6.216634E7</v>
      </c>
      <c r="R393" s="228">
        <v>6.216634E7</v>
      </c>
      <c r="S393" s="228">
        <v>6.216634E7</v>
      </c>
      <c r="T393" s="228">
        <v>7.6450054E7</v>
      </c>
      <c r="U393" s="230">
        <f t="shared" si="190"/>
        <v>76450054</v>
      </c>
      <c r="V393" s="238"/>
      <c r="W393" s="238"/>
      <c r="X393" s="238"/>
      <c r="Y393" s="238"/>
      <c r="Z393" s="238"/>
      <c r="AA393" s="238"/>
      <c r="AB393" s="238"/>
      <c r="AC393" s="378">
        <f t="shared" si="188"/>
        <v>339399128</v>
      </c>
      <c r="AD393" s="214"/>
      <c r="AE393" s="192"/>
      <c r="AF393" s="194"/>
      <c r="AG393" s="194"/>
      <c r="AH393" s="194"/>
      <c r="AI393" s="194"/>
    </row>
    <row r="394">
      <c r="A394" s="126"/>
      <c r="B394" s="432"/>
      <c r="C394" s="196">
        <v>3.0</v>
      </c>
      <c r="D394" s="476" t="s">
        <v>574</v>
      </c>
      <c r="E394" s="198" t="s">
        <v>186</v>
      </c>
      <c r="F394" s="198" t="s">
        <v>88</v>
      </c>
      <c r="G394" s="198" t="s">
        <v>88</v>
      </c>
      <c r="H394" s="198" t="s">
        <v>218</v>
      </c>
      <c r="I394" s="198" t="s">
        <v>187</v>
      </c>
      <c r="J394" s="198" t="s">
        <v>188</v>
      </c>
      <c r="K394" s="606" t="s">
        <v>559</v>
      </c>
      <c r="L394" s="604">
        <f>132258708</f>
        <v>132258708</v>
      </c>
      <c r="M394" s="479" t="s">
        <v>575</v>
      </c>
      <c r="N394" s="438"/>
      <c r="O394" s="438">
        <v>45839.0</v>
      </c>
      <c r="P394" s="438">
        <v>46022.0</v>
      </c>
      <c r="Q394" s="439"/>
      <c r="R394" s="439"/>
      <c r="S394" s="439"/>
      <c r="T394" s="439"/>
      <c r="U394" s="439"/>
      <c r="V394" s="439"/>
      <c r="W394" s="439"/>
      <c r="X394" s="439"/>
      <c r="Y394" s="439"/>
      <c r="Z394" s="439"/>
      <c r="AA394" s="439"/>
      <c r="AB394" s="439"/>
      <c r="AC394" s="440">
        <f t="shared" si="188"/>
        <v>0</v>
      </c>
      <c r="AD394" s="178">
        <f>SUM(Q394:AB394)-AC394</f>
        <v>0</v>
      </c>
      <c r="AE394" s="192"/>
      <c r="AF394" s="194"/>
      <c r="AG394" s="194"/>
      <c r="AH394" s="194"/>
      <c r="AI394" s="194"/>
    </row>
    <row r="395" hidden="1">
      <c r="A395" s="126"/>
      <c r="B395" s="432"/>
      <c r="C395" s="441"/>
      <c r="D395" s="607"/>
      <c r="E395" s="260"/>
      <c r="F395" s="260"/>
      <c r="G395" s="260"/>
      <c r="H395" s="221"/>
      <c r="I395" s="221"/>
      <c r="J395" s="497"/>
      <c r="K395" s="596" t="s">
        <v>559</v>
      </c>
      <c r="L395" s="597"/>
      <c r="M395" s="535"/>
      <c r="N395" s="464"/>
      <c r="O395" s="464"/>
      <c r="P395" s="464">
        <f>P394</f>
        <v>46022</v>
      </c>
      <c r="Q395" s="447"/>
      <c r="R395" s="447"/>
      <c r="S395" s="447"/>
      <c r="T395" s="447"/>
      <c r="U395" s="447"/>
      <c r="V395" s="447"/>
      <c r="W395" s="447">
        <f>L394/6</f>
        <v>22043118</v>
      </c>
      <c r="X395" s="447">
        <f t="shared" ref="X395:AB395" si="191">W395</f>
        <v>22043118</v>
      </c>
      <c r="Y395" s="447">
        <f t="shared" si="191"/>
        <v>22043118</v>
      </c>
      <c r="Z395" s="447">
        <f t="shared" si="191"/>
        <v>22043118</v>
      </c>
      <c r="AA395" s="447">
        <f t="shared" si="191"/>
        <v>22043118</v>
      </c>
      <c r="AB395" s="447">
        <f t="shared" si="191"/>
        <v>22043118</v>
      </c>
      <c r="AC395" s="449">
        <f t="shared" si="188"/>
        <v>132258708</v>
      </c>
      <c r="AD395" s="273"/>
      <c r="AE395" s="192"/>
      <c r="AF395" s="194"/>
      <c r="AG395" s="194"/>
      <c r="AH395" s="194"/>
      <c r="AI395" s="194"/>
    </row>
    <row r="396" hidden="1">
      <c r="A396" s="126"/>
      <c r="B396" s="432"/>
      <c r="C396" s="222"/>
      <c r="D396" s="250" t="s">
        <v>576</v>
      </c>
      <c r="E396" s="224"/>
      <c r="F396" s="224"/>
      <c r="G396" s="224"/>
      <c r="H396" s="222"/>
      <c r="I396" s="222"/>
      <c r="J396" s="222"/>
      <c r="K396" s="222" t="s">
        <v>559</v>
      </c>
      <c r="L396" s="225"/>
      <c r="M396" s="383"/>
      <c r="N396" s="285"/>
      <c r="O396" s="285"/>
      <c r="P396" s="285"/>
      <c r="Q396" s="228"/>
      <c r="R396" s="228"/>
      <c r="S396" s="228"/>
      <c r="T396" s="228"/>
      <c r="U396" s="228"/>
      <c r="V396" s="228"/>
      <c r="W396" s="230"/>
      <c r="X396" s="230"/>
      <c r="Y396" s="230"/>
      <c r="Z396" s="230"/>
      <c r="AA396" s="230"/>
      <c r="AB396" s="230"/>
      <c r="AC396" s="231">
        <f t="shared" si="188"/>
        <v>0</v>
      </c>
      <c r="AD396" s="273"/>
      <c r="AE396" s="192"/>
      <c r="AF396" s="194"/>
      <c r="AG396" s="194"/>
      <c r="AH396" s="194"/>
      <c r="AI396" s="194"/>
    </row>
    <row r="397" hidden="1">
      <c r="A397" s="126"/>
      <c r="B397" s="432"/>
      <c r="C397" s="222"/>
      <c r="D397" s="286" t="s">
        <v>194</v>
      </c>
      <c r="E397" s="233"/>
      <c r="F397" s="233"/>
      <c r="G397" s="233"/>
      <c r="H397" s="234"/>
      <c r="I397" s="234"/>
      <c r="J397" s="222"/>
      <c r="K397" s="222" t="s">
        <v>559</v>
      </c>
      <c r="L397" s="287"/>
      <c r="M397" s="236"/>
      <c r="N397" s="285"/>
      <c r="O397" s="285"/>
      <c r="P397" s="285"/>
      <c r="Q397" s="288"/>
      <c r="R397" s="288"/>
      <c r="S397" s="288"/>
      <c r="T397" s="288"/>
      <c r="U397" s="288"/>
      <c r="V397" s="288"/>
      <c r="W397" s="288"/>
      <c r="X397" s="288"/>
      <c r="Y397" s="288"/>
      <c r="Z397" s="288"/>
      <c r="AA397" s="288"/>
      <c r="AB397" s="288"/>
      <c r="AC397" s="378">
        <f t="shared" si="188"/>
        <v>0</v>
      </c>
      <c r="AD397" s="273"/>
      <c r="AE397" s="192"/>
      <c r="AF397" s="194"/>
      <c r="AG397" s="194"/>
      <c r="AH397" s="194"/>
      <c r="AI397" s="194"/>
    </row>
    <row r="398" hidden="1">
      <c r="A398" s="126"/>
      <c r="B398" s="432"/>
      <c r="C398" s="222"/>
      <c r="D398" s="286" t="s">
        <v>577</v>
      </c>
      <c r="E398" s="233"/>
      <c r="F398" s="233"/>
      <c r="G398" s="233"/>
      <c r="H398" s="234"/>
      <c r="I398" s="234"/>
      <c r="J398" s="222"/>
      <c r="K398" s="222" t="s">
        <v>559</v>
      </c>
      <c r="L398" s="287"/>
      <c r="M398" s="236"/>
      <c r="N398" s="285"/>
      <c r="O398" s="285"/>
      <c r="P398" s="285"/>
      <c r="Q398" s="288"/>
      <c r="R398" s="288"/>
      <c r="S398" s="288"/>
      <c r="T398" s="288"/>
      <c r="U398" s="288"/>
      <c r="V398" s="288"/>
      <c r="W398" s="288"/>
      <c r="X398" s="288"/>
      <c r="Y398" s="288"/>
      <c r="Z398" s="288"/>
      <c r="AA398" s="288"/>
      <c r="AB398" s="288"/>
      <c r="AC398" s="378">
        <f t="shared" si="188"/>
        <v>0</v>
      </c>
      <c r="AD398" s="273"/>
      <c r="AE398" s="192"/>
      <c r="AF398" s="194"/>
      <c r="AG398" s="194"/>
      <c r="AH398" s="194"/>
      <c r="AI398" s="194"/>
    </row>
    <row r="399" hidden="1">
      <c r="A399" s="126"/>
      <c r="B399" s="181"/>
      <c r="C399" s="289"/>
      <c r="D399" s="290" t="s">
        <v>578</v>
      </c>
      <c r="E399" s="487"/>
      <c r="F399" s="487"/>
      <c r="G399" s="487"/>
      <c r="H399" s="291"/>
      <c r="I399" s="291"/>
      <c r="J399" s="292"/>
      <c r="K399" s="292" t="s">
        <v>559</v>
      </c>
      <c r="L399" s="293"/>
      <c r="M399" s="294"/>
      <c r="N399" s="295"/>
      <c r="O399" s="295"/>
      <c r="P399" s="295"/>
      <c r="Q399" s="296">
        <f t="shared" ref="Q399:AC399" si="192">Q381+Q382+Q383+Q388+Q389+Q390</f>
        <v>162510756.6</v>
      </c>
      <c r="R399" s="296">
        <f t="shared" si="192"/>
        <v>162510756.6</v>
      </c>
      <c r="S399" s="296">
        <f t="shared" si="192"/>
        <v>162510756.6</v>
      </c>
      <c r="T399" s="296">
        <f t="shared" si="192"/>
        <v>166850429.3</v>
      </c>
      <c r="U399" s="296">
        <f t="shared" si="192"/>
        <v>166850429.3</v>
      </c>
      <c r="V399" s="296">
        <f t="shared" si="192"/>
        <v>166850429.3</v>
      </c>
      <c r="W399" s="296">
        <f t="shared" si="192"/>
        <v>0</v>
      </c>
      <c r="X399" s="296">
        <f t="shared" si="192"/>
        <v>0</v>
      </c>
      <c r="Y399" s="296">
        <f t="shared" si="192"/>
        <v>0</v>
      </c>
      <c r="Z399" s="296">
        <f t="shared" si="192"/>
        <v>0</v>
      </c>
      <c r="AA399" s="296">
        <f t="shared" si="192"/>
        <v>0</v>
      </c>
      <c r="AB399" s="296">
        <f t="shared" si="192"/>
        <v>0</v>
      </c>
      <c r="AC399" s="297">
        <f t="shared" si="192"/>
        <v>988083557.8</v>
      </c>
      <c r="AD399" s="273"/>
      <c r="AE399" s="192"/>
      <c r="AF399" s="194"/>
      <c r="AG399" s="194"/>
      <c r="AH399" s="194"/>
      <c r="AI399" s="194"/>
    </row>
    <row r="400" hidden="1">
      <c r="A400" s="126"/>
      <c r="B400" s="298"/>
      <c r="C400" s="299"/>
      <c r="D400" s="300" t="s">
        <v>579</v>
      </c>
      <c r="E400" s="488"/>
      <c r="F400" s="488"/>
      <c r="G400" s="488"/>
      <c r="H400" s="301"/>
      <c r="I400" s="301"/>
      <c r="J400" s="489"/>
      <c r="K400" s="489" t="s">
        <v>559</v>
      </c>
      <c r="L400" s="304"/>
      <c r="M400" s="305"/>
      <c r="N400" s="306"/>
      <c r="O400" s="306"/>
      <c r="P400" s="306"/>
      <c r="Q400" s="307">
        <f t="shared" ref="Q400:AB400" si="193">Q384+Q391+Q396</f>
        <v>159918382</v>
      </c>
      <c r="R400" s="307">
        <f t="shared" si="193"/>
        <v>159918382</v>
      </c>
      <c r="S400" s="307">
        <f t="shared" si="193"/>
        <v>159918382</v>
      </c>
      <c r="T400" s="490">
        <f t="shared" si="193"/>
        <v>175410721</v>
      </c>
      <c r="U400" s="490">
        <f t="shared" si="193"/>
        <v>175410721</v>
      </c>
      <c r="V400" s="490">
        <f t="shared" si="193"/>
        <v>175410721</v>
      </c>
      <c r="W400" s="307">
        <f t="shared" si="193"/>
        <v>0</v>
      </c>
      <c r="X400" s="307">
        <f t="shared" si="193"/>
        <v>0</v>
      </c>
      <c r="Y400" s="307">
        <f t="shared" si="193"/>
        <v>0</v>
      </c>
      <c r="Z400" s="307">
        <f t="shared" si="193"/>
        <v>0</v>
      </c>
      <c r="AA400" s="307">
        <f t="shared" si="193"/>
        <v>0</v>
      </c>
      <c r="AB400" s="307">
        <f t="shared" si="193"/>
        <v>0</v>
      </c>
      <c r="AC400" s="309">
        <f t="shared" ref="AC400:AC403" si="195">SUM(Q400:AB400)</f>
        <v>1005987309</v>
      </c>
      <c r="AD400" s="273"/>
      <c r="AE400" s="241"/>
      <c r="AF400" s="310">
        <f t="shared" ref="AF400:AF401" si="196">AC400-AC401</f>
        <v>373332055</v>
      </c>
      <c r="AG400" s="311" t="s">
        <v>226</v>
      </c>
      <c r="AH400" s="194"/>
      <c r="AI400" s="194"/>
    </row>
    <row r="401" hidden="1">
      <c r="A401" s="126"/>
      <c r="B401" s="298"/>
      <c r="C401" s="312"/>
      <c r="D401" s="313" t="s">
        <v>580</v>
      </c>
      <c r="E401" s="331"/>
      <c r="F401" s="331"/>
      <c r="G401" s="331"/>
      <c r="H401" s="199"/>
      <c r="I401" s="199"/>
      <c r="J401" s="222"/>
      <c r="K401" s="222" t="s">
        <v>559</v>
      </c>
      <c r="L401" s="287"/>
      <c r="M401" s="236"/>
      <c r="N401" s="285"/>
      <c r="O401" s="285"/>
      <c r="P401" s="285"/>
      <c r="Q401" s="288">
        <f t="shared" ref="Q401:V401" si="194">Q385+Q392+Q397</f>
        <v>159918382</v>
      </c>
      <c r="R401" s="288">
        <f t="shared" si="194"/>
        <v>159918382</v>
      </c>
      <c r="S401" s="288">
        <f t="shared" si="194"/>
        <v>159918382</v>
      </c>
      <c r="T401" s="314">
        <f t="shared" si="194"/>
        <v>76450054</v>
      </c>
      <c r="U401" s="314">
        <f t="shared" si="194"/>
        <v>76450054</v>
      </c>
      <c r="V401" s="314">
        <f t="shared" si="194"/>
        <v>0</v>
      </c>
      <c r="W401" s="288"/>
      <c r="X401" s="288"/>
      <c r="Y401" s="288"/>
      <c r="Z401" s="288"/>
      <c r="AA401" s="288"/>
      <c r="AB401" s="288"/>
      <c r="AC401" s="378">
        <f t="shared" si="195"/>
        <v>632655254</v>
      </c>
      <c r="AD401" s="214"/>
      <c r="AE401" s="241"/>
      <c r="AF401" s="316">
        <f t="shared" si="196"/>
        <v>0</v>
      </c>
      <c r="AG401" s="311" t="s">
        <v>228</v>
      </c>
      <c r="AH401" s="194"/>
      <c r="AI401" s="194"/>
    </row>
    <row r="402" hidden="1">
      <c r="A402" s="126"/>
      <c r="B402" s="298"/>
      <c r="C402" s="317"/>
      <c r="D402" s="318" t="s">
        <v>581</v>
      </c>
      <c r="E402" s="493"/>
      <c r="F402" s="493"/>
      <c r="G402" s="493"/>
      <c r="H402" s="494"/>
      <c r="I402" s="494"/>
      <c r="J402" s="320"/>
      <c r="K402" s="320" t="s">
        <v>559</v>
      </c>
      <c r="L402" s="321"/>
      <c r="M402" s="322"/>
      <c r="N402" s="323"/>
      <c r="O402" s="323"/>
      <c r="P402" s="323"/>
      <c r="Q402" s="324">
        <f t="shared" ref="Q402:V402" si="197">Q386+Q393+Q398</f>
        <v>159918382</v>
      </c>
      <c r="R402" s="324">
        <f t="shared" si="197"/>
        <v>159918382</v>
      </c>
      <c r="S402" s="324">
        <f t="shared" si="197"/>
        <v>159918382</v>
      </c>
      <c r="T402" s="325">
        <f t="shared" si="197"/>
        <v>76450054</v>
      </c>
      <c r="U402" s="325">
        <f t="shared" si="197"/>
        <v>76450054</v>
      </c>
      <c r="V402" s="325">
        <f t="shared" si="197"/>
        <v>0</v>
      </c>
      <c r="W402" s="324"/>
      <c r="X402" s="324"/>
      <c r="Y402" s="324"/>
      <c r="Z402" s="324"/>
      <c r="AA402" s="324"/>
      <c r="AB402" s="324"/>
      <c r="AC402" s="539">
        <f t="shared" si="195"/>
        <v>632655254</v>
      </c>
      <c r="AD402" s="214"/>
      <c r="AE402" s="241"/>
      <c r="AF402" s="328">
        <f>AC402</f>
        <v>632655254</v>
      </c>
      <c r="AG402" s="311" t="s">
        <v>148</v>
      </c>
      <c r="AH402" s="194"/>
      <c r="AI402" s="194"/>
    </row>
    <row r="403">
      <c r="A403" s="126"/>
      <c r="B403" s="181">
        <v>9.0</v>
      </c>
      <c r="C403" s="329" t="s">
        <v>37</v>
      </c>
      <c r="D403" s="330"/>
      <c r="E403" s="496"/>
      <c r="F403" s="496"/>
      <c r="G403" s="496"/>
      <c r="H403" s="332"/>
      <c r="I403" s="332"/>
      <c r="J403" s="333"/>
      <c r="K403" s="333" t="s">
        <v>582</v>
      </c>
      <c r="L403" s="334">
        <f>L404+L411</f>
        <v>9468741882</v>
      </c>
      <c r="M403" s="335"/>
      <c r="N403" s="336"/>
      <c r="O403" s="336"/>
      <c r="P403" s="336"/>
      <c r="Q403" s="337">
        <f t="shared" ref="Q403:AB403" si="198">Q404+Q411</f>
        <v>680137088.7</v>
      </c>
      <c r="R403" s="337">
        <f t="shared" si="198"/>
        <v>680137088.7</v>
      </c>
      <c r="S403" s="337">
        <f t="shared" si="198"/>
        <v>680137088.7</v>
      </c>
      <c r="T403" s="337">
        <f t="shared" si="198"/>
        <v>680137088.7</v>
      </c>
      <c r="U403" s="337">
        <f t="shared" si="198"/>
        <v>680137088.7</v>
      </c>
      <c r="V403" s="337">
        <f t="shared" si="198"/>
        <v>680137088.7</v>
      </c>
      <c r="W403" s="337">
        <f t="shared" si="198"/>
        <v>680137088.7</v>
      </c>
      <c r="X403" s="337">
        <f t="shared" si="198"/>
        <v>680137088.7</v>
      </c>
      <c r="Y403" s="337">
        <f t="shared" si="198"/>
        <v>680137088.7</v>
      </c>
      <c r="Z403" s="337">
        <f t="shared" si="198"/>
        <v>680137088.7</v>
      </c>
      <c r="AA403" s="337">
        <f t="shared" si="198"/>
        <v>680137088.7</v>
      </c>
      <c r="AB403" s="337">
        <f t="shared" si="198"/>
        <v>680137088.7</v>
      </c>
      <c r="AC403" s="338">
        <f t="shared" si="195"/>
        <v>8161645064</v>
      </c>
      <c r="AD403" s="178">
        <f>AC403-AE403</f>
        <v>0.000003814697266</v>
      </c>
      <c r="AE403" s="241">
        <f>'Proker New'!Y71</f>
        <v>8161645064</v>
      </c>
      <c r="AF403" s="193" t="str">
        <f>C403</f>
        <v>Lampung - Bandar Lampung (TKG)</v>
      </c>
      <c r="AG403" s="194"/>
      <c r="AH403" s="194"/>
      <c r="AI403" s="194"/>
    </row>
    <row r="404">
      <c r="A404" s="126"/>
      <c r="B404" s="195"/>
      <c r="C404" s="196">
        <v>1.0</v>
      </c>
      <c r="D404" s="354" t="s">
        <v>583</v>
      </c>
      <c r="E404" s="198" t="s">
        <v>186</v>
      </c>
      <c r="F404" s="198" t="s">
        <v>103</v>
      </c>
      <c r="G404" s="198" t="s">
        <v>86</v>
      </c>
      <c r="H404" s="198" t="s">
        <v>86</v>
      </c>
      <c r="I404" s="198" t="s">
        <v>187</v>
      </c>
      <c r="J404" s="198" t="s">
        <v>188</v>
      </c>
      <c r="K404" s="608" t="s">
        <v>582</v>
      </c>
      <c r="L404" s="347">
        <v>1.996999992E9</v>
      </c>
      <c r="M404" s="257" t="s">
        <v>584</v>
      </c>
      <c r="N404" s="366"/>
      <c r="O404" s="366">
        <v>45383.0</v>
      </c>
      <c r="P404" s="366">
        <v>45747.0</v>
      </c>
      <c r="Q404" s="204">
        <v>1.66416666666667E8</v>
      </c>
      <c r="R404" s="204">
        <v>1.66416666666667E8</v>
      </c>
      <c r="S404" s="204">
        <v>1.66416666666667E8</v>
      </c>
      <c r="T404" s="204">
        <v>1.66416666666667E8</v>
      </c>
      <c r="U404" s="204">
        <v>1.66416666666667E8</v>
      </c>
      <c r="V404" s="204">
        <v>1.66416666666667E8</v>
      </c>
      <c r="W404" s="204">
        <v>1.66416666666667E8</v>
      </c>
      <c r="X404" s="204">
        <v>1.66416666666667E8</v>
      </c>
      <c r="Y404" s="204">
        <v>1.66416666666667E8</v>
      </c>
      <c r="Z404" s="204">
        <v>1.66416666666667E8</v>
      </c>
      <c r="AA404" s="204">
        <v>1.66416666666667E8</v>
      </c>
      <c r="AB404" s="204">
        <v>1.66416666666667E8</v>
      </c>
      <c r="AC404" s="205">
        <v>1.997000000000004E9</v>
      </c>
      <c r="AD404" s="178">
        <f>SUM(Q404:AB404)-AC404</f>
        <v>0</v>
      </c>
      <c r="AE404" s="241"/>
      <c r="AF404" s="194"/>
      <c r="AG404" s="194"/>
      <c r="AH404" s="194"/>
      <c r="AI404" s="194"/>
    </row>
    <row r="405" hidden="1">
      <c r="A405" s="126"/>
      <c r="B405" s="195"/>
      <c r="C405" s="206"/>
      <c r="D405" s="207"/>
      <c r="E405" s="207"/>
      <c r="F405" s="207"/>
      <c r="G405" s="207"/>
      <c r="H405" s="206"/>
      <c r="I405" s="206"/>
      <c r="J405" s="206"/>
      <c r="K405" s="206" t="s">
        <v>582</v>
      </c>
      <c r="L405" s="245"/>
      <c r="M405" s="209"/>
      <c r="N405" s="367"/>
      <c r="O405" s="367"/>
      <c r="P405" s="367">
        <v>45747.0</v>
      </c>
      <c r="Q405" s="212">
        <f>L404/12</f>
        <v>166416666</v>
      </c>
      <c r="R405" s="212">
        <f t="shared" ref="R405:S405" si="199">Q405</f>
        <v>166416666</v>
      </c>
      <c r="S405" s="212">
        <f t="shared" si="199"/>
        <v>166416666</v>
      </c>
      <c r="T405" s="212"/>
      <c r="U405" s="212"/>
      <c r="V405" s="212"/>
      <c r="W405" s="212"/>
      <c r="X405" s="212"/>
      <c r="Y405" s="212"/>
      <c r="Z405" s="212"/>
      <c r="AA405" s="212"/>
      <c r="AB405" s="212"/>
      <c r="AC405" s="213">
        <f t="shared" ref="AC405:AC410" si="200">SUM(Q405:AB405)</f>
        <v>499249998</v>
      </c>
      <c r="AD405" s="609"/>
      <c r="AE405" s="241"/>
      <c r="AF405" s="194"/>
      <c r="AG405" s="194"/>
      <c r="AH405" s="194"/>
      <c r="AI405" s="194"/>
    </row>
    <row r="406" hidden="1">
      <c r="A406" s="126"/>
      <c r="B406" s="195"/>
      <c r="C406" s="206"/>
      <c r="D406" s="207"/>
      <c r="E406" s="207"/>
      <c r="F406" s="207"/>
      <c r="G406" s="207"/>
      <c r="H406" s="206"/>
      <c r="I406" s="206"/>
      <c r="J406" s="206"/>
      <c r="K406" s="206" t="s">
        <v>582</v>
      </c>
      <c r="L406" s="245">
        <v>2.666982917E9</v>
      </c>
      <c r="M406" s="218" t="s">
        <v>585</v>
      </c>
      <c r="N406" s="367"/>
      <c r="O406" s="367">
        <v>45748.0</v>
      </c>
      <c r="P406" s="367">
        <v>45838.0</v>
      </c>
      <c r="Q406" s="212"/>
      <c r="R406" s="212"/>
      <c r="S406" s="212"/>
      <c r="T406" s="212">
        <v>1.66416666666667E8</v>
      </c>
      <c r="U406" s="212">
        <v>1.66416666666667E8</v>
      </c>
      <c r="V406" s="212">
        <v>1.66416666666667E8</v>
      </c>
      <c r="W406" s="212"/>
      <c r="X406" s="212"/>
      <c r="Y406" s="212"/>
      <c r="Z406" s="212"/>
      <c r="AA406" s="212"/>
      <c r="AB406" s="212"/>
      <c r="AC406" s="213">
        <f t="shared" si="200"/>
        <v>499250000</v>
      </c>
      <c r="AD406" s="284"/>
      <c r="AE406" s="241"/>
      <c r="AF406" s="194"/>
      <c r="AG406" s="194"/>
      <c r="AH406" s="194"/>
      <c r="AI406" s="194"/>
    </row>
    <row r="407" hidden="1">
      <c r="A407" s="126"/>
      <c r="B407" s="195"/>
      <c r="C407" s="206"/>
      <c r="D407" s="215" t="s">
        <v>586</v>
      </c>
      <c r="E407" s="207"/>
      <c r="F407" s="207"/>
      <c r="G407" s="207"/>
      <c r="H407" s="206"/>
      <c r="I407" s="206"/>
      <c r="J407" s="206"/>
      <c r="K407" s="206" t="s">
        <v>582</v>
      </c>
      <c r="L407" s="245">
        <v>4.006948753E9</v>
      </c>
      <c r="M407" s="265" t="s">
        <v>587</v>
      </c>
      <c r="N407" s="389"/>
      <c r="O407" s="389">
        <f>P406+1</f>
        <v>45839</v>
      </c>
      <c r="P407" s="367">
        <v>46022.0</v>
      </c>
      <c r="Q407" s="249"/>
      <c r="R407" s="249"/>
      <c r="S407" s="249"/>
      <c r="T407" s="212"/>
      <c r="U407" s="212"/>
      <c r="V407" s="212"/>
      <c r="W407" s="212"/>
      <c r="X407" s="212"/>
      <c r="Y407" s="212"/>
      <c r="Z407" s="212"/>
      <c r="AA407" s="212"/>
      <c r="AB407" s="212"/>
      <c r="AC407" s="213">
        <f t="shared" si="200"/>
        <v>0</v>
      </c>
      <c r="AD407" s="271"/>
      <c r="AE407" s="241"/>
      <c r="AF407" s="194"/>
      <c r="AG407" s="194"/>
      <c r="AH407" s="194"/>
      <c r="AI407" s="194"/>
    </row>
    <row r="408" hidden="1">
      <c r="A408" s="126"/>
      <c r="B408" s="195"/>
      <c r="C408" s="222"/>
      <c r="D408" s="250" t="s">
        <v>588</v>
      </c>
      <c r="E408" s="224"/>
      <c r="F408" s="224"/>
      <c r="G408" s="224"/>
      <c r="H408" s="222"/>
      <c r="I408" s="222"/>
      <c r="J408" s="222"/>
      <c r="K408" s="222" t="s">
        <v>582</v>
      </c>
      <c r="L408" s="225"/>
      <c r="M408" s="383"/>
      <c r="N408" s="285"/>
      <c r="O408" s="285"/>
      <c r="P408" s="285"/>
      <c r="Q408" s="228">
        <v>1.847225E8</v>
      </c>
      <c r="R408" s="228">
        <f t="shared" ref="R408:S408" si="201">Q408</f>
        <v>184722500</v>
      </c>
      <c r="S408" s="228">
        <f t="shared" si="201"/>
        <v>184722500</v>
      </c>
      <c r="T408" s="229">
        <v>1.92322539E8</v>
      </c>
      <c r="U408" s="229">
        <v>2.18898339E8</v>
      </c>
      <c r="V408" s="229">
        <v>2.42977157E8</v>
      </c>
      <c r="W408" s="230"/>
      <c r="X408" s="230"/>
      <c r="Y408" s="230"/>
      <c r="Z408" s="230"/>
      <c r="AA408" s="230"/>
      <c r="AB408" s="230"/>
      <c r="AC408" s="231">
        <f t="shared" si="200"/>
        <v>1208365535</v>
      </c>
      <c r="AD408" s="264"/>
      <c r="AE408" s="241"/>
      <c r="AF408" s="194"/>
      <c r="AG408" s="194"/>
      <c r="AH408" s="194"/>
      <c r="AI408" s="194"/>
    </row>
    <row r="409" hidden="1">
      <c r="A409" s="126"/>
      <c r="B409" s="195"/>
      <c r="C409" s="196"/>
      <c r="D409" s="254" t="s">
        <v>194</v>
      </c>
      <c r="E409" s="233"/>
      <c r="F409" s="233"/>
      <c r="G409" s="233"/>
      <c r="H409" s="234"/>
      <c r="I409" s="234"/>
      <c r="J409" s="222"/>
      <c r="K409" s="222" t="s">
        <v>582</v>
      </c>
      <c r="L409" s="225"/>
      <c r="M409" s="255"/>
      <c r="N409" s="365"/>
      <c r="O409" s="365"/>
      <c r="P409" s="365"/>
      <c r="Q409" s="228">
        <v>1.847225E8</v>
      </c>
      <c r="R409" s="228">
        <f t="shared" ref="R409:S409" si="202">Q409</f>
        <v>184722500</v>
      </c>
      <c r="S409" s="228">
        <f t="shared" si="202"/>
        <v>184722500</v>
      </c>
      <c r="T409" s="238"/>
      <c r="U409" s="238"/>
      <c r="V409" s="238"/>
      <c r="W409" s="238"/>
      <c r="X409" s="238"/>
      <c r="Y409" s="238"/>
      <c r="Z409" s="238"/>
      <c r="AA409" s="238"/>
      <c r="AB409" s="238"/>
      <c r="AC409" s="378">
        <f t="shared" si="200"/>
        <v>554167500</v>
      </c>
      <c r="AD409" s="214"/>
      <c r="AE409" s="192"/>
      <c r="AF409" s="194"/>
      <c r="AG409" s="194"/>
      <c r="AH409" s="194"/>
      <c r="AI409" s="194"/>
    </row>
    <row r="410" hidden="1">
      <c r="A410" s="126"/>
      <c r="B410" s="195"/>
      <c r="C410" s="196"/>
      <c r="D410" s="254" t="s">
        <v>589</v>
      </c>
      <c r="E410" s="233"/>
      <c r="F410" s="233"/>
      <c r="G410" s="233"/>
      <c r="H410" s="234"/>
      <c r="I410" s="234"/>
      <c r="J410" s="222"/>
      <c r="K410" s="222" t="s">
        <v>582</v>
      </c>
      <c r="L410" s="225"/>
      <c r="M410" s="255"/>
      <c r="N410" s="365"/>
      <c r="O410" s="365"/>
      <c r="P410" s="365"/>
      <c r="Q410" s="228">
        <v>1.847225E8</v>
      </c>
      <c r="R410" s="228">
        <f t="shared" ref="R410:S410" si="203">Q410</f>
        <v>184722500</v>
      </c>
      <c r="S410" s="228">
        <f t="shared" si="203"/>
        <v>184722500</v>
      </c>
      <c r="T410" s="238"/>
      <c r="U410" s="238"/>
      <c r="V410" s="238"/>
      <c r="W410" s="238"/>
      <c r="X410" s="238"/>
      <c r="Y410" s="238"/>
      <c r="Z410" s="238"/>
      <c r="AA410" s="238"/>
      <c r="AB410" s="238"/>
      <c r="AC410" s="378">
        <f t="shared" si="200"/>
        <v>554167500</v>
      </c>
      <c r="AD410" s="214"/>
      <c r="AE410" s="192"/>
      <c r="AF410" s="194"/>
      <c r="AG410" s="194"/>
      <c r="AH410" s="194"/>
      <c r="AI410" s="194"/>
    </row>
    <row r="411">
      <c r="A411" s="126"/>
      <c r="B411" s="195"/>
      <c r="C411" s="196">
        <v>2.0</v>
      </c>
      <c r="D411" s="197" t="s">
        <v>590</v>
      </c>
      <c r="E411" s="198" t="s">
        <v>186</v>
      </c>
      <c r="F411" s="198" t="s">
        <v>88</v>
      </c>
      <c r="G411" s="198" t="s">
        <v>88</v>
      </c>
      <c r="H411" s="198" t="s">
        <v>218</v>
      </c>
      <c r="I411" s="198" t="s">
        <v>187</v>
      </c>
      <c r="J411" s="198" t="s">
        <v>188</v>
      </c>
      <c r="K411" s="608" t="s">
        <v>582</v>
      </c>
      <c r="L411" s="355">
        <f>(6344299000+387000000)*1.11</f>
        <v>7471741890</v>
      </c>
      <c r="M411" s="257" t="s">
        <v>591</v>
      </c>
      <c r="N411" s="366"/>
      <c r="O411" s="366">
        <v>45383.0</v>
      </c>
      <c r="P411" s="366">
        <v>45747.0</v>
      </c>
      <c r="Q411" s="204">
        <v>5.13720422E8</v>
      </c>
      <c r="R411" s="204">
        <v>5.13720422E8</v>
      </c>
      <c r="S411" s="204">
        <v>5.13720422E8</v>
      </c>
      <c r="T411" s="204">
        <v>5.13720422E8</v>
      </c>
      <c r="U411" s="204">
        <v>5.13720422E8</v>
      </c>
      <c r="V411" s="204">
        <v>5.13720422E8</v>
      </c>
      <c r="W411" s="204">
        <v>5.13720422E8</v>
      </c>
      <c r="X411" s="204">
        <v>5.13720422E8</v>
      </c>
      <c r="Y411" s="204">
        <v>5.13720422E8</v>
      </c>
      <c r="Z411" s="204">
        <v>5.13720422E8</v>
      </c>
      <c r="AA411" s="204">
        <v>5.13720422E8</v>
      </c>
      <c r="AB411" s="204">
        <v>5.13720422E8</v>
      </c>
      <c r="AC411" s="205">
        <v>6.164645064E9</v>
      </c>
      <c r="AD411" s="178">
        <f>SUM(Q411:AB411)-AC411</f>
        <v>0</v>
      </c>
      <c r="AE411" s="192"/>
      <c r="AF411" s="194"/>
      <c r="AG411" s="194"/>
      <c r="AH411" s="194"/>
      <c r="AI411" s="194"/>
    </row>
    <row r="412" hidden="1">
      <c r="A412" s="126"/>
      <c r="B412" s="195"/>
      <c r="C412" s="206"/>
      <c r="D412" s="207"/>
      <c r="E412" s="207"/>
      <c r="F412" s="207"/>
      <c r="G412" s="207"/>
      <c r="H412" s="206"/>
      <c r="I412" s="206"/>
      <c r="J412" s="206"/>
      <c r="K412" s="206" t="s">
        <v>582</v>
      </c>
      <c r="L412" s="277"/>
      <c r="M412" s="209" t="s">
        <v>592</v>
      </c>
      <c r="N412" s="367"/>
      <c r="O412" s="367"/>
      <c r="P412" s="367">
        <v>45747.0</v>
      </c>
      <c r="Q412" s="268">
        <f>L411/12</f>
        <v>622645157.5</v>
      </c>
      <c r="R412" s="268">
        <f t="shared" ref="R412:S412" si="204">Q412</f>
        <v>622645157.5</v>
      </c>
      <c r="S412" s="268">
        <f t="shared" si="204"/>
        <v>622645157.5</v>
      </c>
      <c r="T412" s="212"/>
      <c r="U412" s="212"/>
      <c r="V412" s="212"/>
      <c r="W412" s="212"/>
      <c r="X412" s="212"/>
      <c r="Y412" s="212"/>
      <c r="Z412" s="212"/>
      <c r="AA412" s="212"/>
      <c r="AB412" s="212"/>
      <c r="AC412" s="213">
        <f t="shared" ref="AC412:AC426" si="206">SUM(Q412:AB412)</f>
        <v>1867935473</v>
      </c>
      <c r="AD412" s="273"/>
      <c r="AE412" s="192"/>
      <c r="AF412" s="194"/>
      <c r="AG412" s="194"/>
      <c r="AH412" s="194"/>
      <c r="AI412" s="194"/>
    </row>
    <row r="413" hidden="1">
      <c r="A413" s="126"/>
      <c r="B413" s="195"/>
      <c r="C413" s="206"/>
      <c r="D413" s="220" t="s">
        <v>593</v>
      </c>
      <c r="E413" s="207"/>
      <c r="F413" s="207"/>
      <c r="G413" s="207"/>
      <c r="H413" s="206"/>
      <c r="I413" s="206"/>
      <c r="J413" s="206"/>
      <c r="K413" s="206" t="s">
        <v>582</v>
      </c>
      <c r="L413" s="245">
        <f>8777600688*1.11</f>
        <v>9743136764</v>
      </c>
      <c r="M413" s="218" t="s">
        <v>594</v>
      </c>
      <c r="N413" s="367"/>
      <c r="O413" s="367">
        <f t="shared" ref="O413:O414" si="207">P412+1</f>
        <v>45748</v>
      </c>
      <c r="P413" s="367">
        <v>45838.0</v>
      </c>
      <c r="Q413" s="268"/>
      <c r="R413" s="268"/>
      <c r="S413" s="268"/>
      <c r="T413" s="268">
        <f>L413/15</f>
        <v>649542450.9</v>
      </c>
      <c r="U413" s="268">
        <f t="shared" ref="U413:V413" si="205">T413</f>
        <v>649542450.9</v>
      </c>
      <c r="V413" s="268">
        <f t="shared" si="205"/>
        <v>649542450.9</v>
      </c>
      <c r="W413" s="212"/>
      <c r="X413" s="212"/>
      <c r="Y413" s="212"/>
      <c r="Z413" s="212"/>
      <c r="AA413" s="212"/>
      <c r="AB413" s="212"/>
      <c r="AC413" s="213">
        <f t="shared" si="206"/>
        <v>1948627353</v>
      </c>
      <c r="AD413" s="273"/>
      <c r="AE413" s="241"/>
      <c r="AF413" s="194"/>
      <c r="AG413" s="194"/>
      <c r="AH413" s="194"/>
      <c r="AI413" s="194"/>
    </row>
    <row r="414" hidden="1">
      <c r="A414" s="126"/>
      <c r="B414" s="195"/>
      <c r="C414" s="206"/>
      <c r="D414" s="215" t="s">
        <v>595</v>
      </c>
      <c r="E414" s="207"/>
      <c r="F414" s="207"/>
      <c r="G414" s="207"/>
      <c r="H414" s="206"/>
      <c r="I414" s="206"/>
      <c r="J414" s="221"/>
      <c r="K414" s="221" t="s">
        <v>582</v>
      </c>
      <c r="L414" s="282">
        <f>10141713813*1.11</f>
        <v>11257302332</v>
      </c>
      <c r="M414" s="247" t="s">
        <v>596</v>
      </c>
      <c r="N414" s="283"/>
      <c r="O414" s="283">
        <f t="shared" si="207"/>
        <v>45839</v>
      </c>
      <c r="P414" s="368">
        <v>45900.0</v>
      </c>
      <c r="Q414" s="249"/>
      <c r="R414" s="249"/>
      <c r="S414" s="249"/>
      <c r="T414" s="212"/>
      <c r="U414" s="212"/>
      <c r="V414" s="212"/>
      <c r="W414" s="212">
        <f>L414/17</f>
        <v>662194254.8</v>
      </c>
      <c r="X414" s="212">
        <f>W414</f>
        <v>662194254.8</v>
      </c>
      <c r="Y414" s="212"/>
      <c r="Z414" s="212"/>
      <c r="AA414" s="212"/>
      <c r="AB414" s="212"/>
      <c r="AC414" s="213">
        <f t="shared" si="206"/>
        <v>1324388510</v>
      </c>
      <c r="AD414" s="271"/>
      <c r="AE414" s="241"/>
      <c r="AF414" s="194"/>
      <c r="AG414" s="194"/>
      <c r="AH414" s="194"/>
      <c r="AI414" s="194"/>
    </row>
    <row r="415" hidden="1">
      <c r="A415" s="126"/>
      <c r="B415" s="195"/>
      <c r="C415" s="222"/>
      <c r="D415" s="250" t="s">
        <v>597</v>
      </c>
      <c r="E415" s="224"/>
      <c r="F415" s="224"/>
      <c r="G415" s="224"/>
      <c r="H415" s="222"/>
      <c r="I415" s="222"/>
      <c r="J415" s="222"/>
      <c r="K415" s="222" t="s">
        <v>582</v>
      </c>
      <c r="L415" s="225"/>
      <c r="M415" s="236"/>
      <c r="N415" s="285"/>
      <c r="O415" s="285"/>
      <c r="P415" s="285"/>
      <c r="Q415" s="228">
        <v>5.82392175E8</v>
      </c>
      <c r="R415" s="228">
        <v>5.8742027E8</v>
      </c>
      <c r="S415" s="228">
        <v>5.97489343E8</v>
      </c>
      <c r="T415" s="228">
        <v>6.91117496E8</v>
      </c>
      <c r="U415" s="228">
        <v>6.96452152E8</v>
      </c>
      <c r="V415" s="229">
        <v>6.96452152E8</v>
      </c>
      <c r="W415" s="230"/>
      <c r="X415" s="230"/>
      <c r="Y415" s="230"/>
      <c r="Z415" s="230"/>
      <c r="AA415" s="230"/>
      <c r="AB415" s="230"/>
      <c r="AC415" s="231">
        <f t="shared" si="206"/>
        <v>3851323588</v>
      </c>
      <c r="AD415" s="264"/>
      <c r="AE415" s="241"/>
      <c r="AF415" s="194"/>
      <c r="AG415" s="194"/>
      <c r="AH415" s="194"/>
      <c r="AI415" s="194"/>
    </row>
    <row r="416" hidden="1">
      <c r="A416" s="126"/>
      <c r="B416" s="195"/>
      <c r="C416" s="222"/>
      <c r="D416" s="286" t="s">
        <v>194</v>
      </c>
      <c r="E416" s="610"/>
      <c r="F416" s="611"/>
      <c r="G416" s="610"/>
      <c r="H416" s="612"/>
      <c r="I416" s="612"/>
      <c r="J416" s="222"/>
      <c r="K416" s="222" t="s">
        <v>582</v>
      </c>
      <c r="L416" s="613"/>
      <c r="M416" s="427"/>
      <c r="N416" s="428"/>
      <c r="O416" s="428"/>
      <c r="P416" s="428"/>
      <c r="Q416" s="228">
        <v>5.82392175E8</v>
      </c>
      <c r="R416" s="228">
        <v>5.8742027E8</v>
      </c>
      <c r="S416" s="228">
        <v>5.97489343E8</v>
      </c>
      <c r="T416" s="228">
        <v>6.91117496E8</v>
      </c>
      <c r="U416" s="228">
        <v>6.96452152E8</v>
      </c>
      <c r="V416" s="429"/>
      <c r="W416" s="614"/>
      <c r="X416" s="614"/>
      <c r="Y416" s="614"/>
      <c r="Z416" s="614"/>
      <c r="AA416" s="614"/>
      <c r="AB416" s="614"/>
      <c r="AC416" s="378">
        <f t="shared" si="206"/>
        <v>3154871436</v>
      </c>
      <c r="AD416" s="273"/>
      <c r="AE416" s="386"/>
      <c r="AF416" s="194"/>
      <c r="AG416" s="311"/>
      <c r="AH416" s="311"/>
      <c r="AI416" s="311"/>
    </row>
    <row r="417" hidden="1">
      <c r="A417" s="126"/>
      <c r="B417" s="195"/>
      <c r="C417" s="222"/>
      <c r="D417" s="286" t="s">
        <v>598</v>
      </c>
      <c r="E417" s="610"/>
      <c r="F417" s="611"/>
      <c r="G417" s="610"/>
      <c r="H417" s="612"/>
      <c r="I417" s="612"/>
      <c r="J417" s="222"/>
      <c r="K417" s="222" t="s">
        <v>582</v>
      </c>
      <c r="L417" s="613"/>
      <c r="M417" s="427"/>
      <c r="N417" s="428"/>
      <c r="O417" s="428"/>
      <c r="P417" s="428"/>
      <c r="Q417" s="228">
        <v>5.82392175E8</v>
      </c>
      <c r="R417" s="228">
        <v>5.8742027E8</v>
      </c>
      <c r="S417" s="228">
        <v>5.97489343E8</v>
      </c>
      <c r="T417" s="228">
        <v>6.91117496E8</v>
      </c>
      <c r="U417" s="228">
        <v>6.96452152E8</v>
      </c>
      <c r="V417" s="429"/>
      <c r="W417" s="614"/>
      <c r="X417" s="614"/>
      <c r="Y417" s="614"/>
      <c r="Z417" s="614"/>
      <c r="AA417" s="614"/>
      <c r="AB417" s="614"/>
      <c r="AC417" s="378">
        <f t="shared" si="206"/>
        <v>3154871436</v>
      </c>
      <c r="AD417" s="273"/>
      <c r="AE417" s="386"/>
      <c r="AF417" s="194"/>
      <c r="AG417" s="311"/>
      <c r="AH417" s="311"/>
      <c r="AI417" s="311"/>
    </row>
    <row r="418">
      <c r="A418" s="126"/>
      <c r="B418" s="615"/>
      <c r="C418" s="196">
        <v>3.0</v>
      </c>
      <c r="D418" s="616" t="s">
        <v>599</v>
      </c>
      <c r="E418" s="198" t="s">
        <v>326</v>
      </c>
      <c r="F418" s="198" t="s">
        <v>103</v>
      </c>
      <c r="G418" s="198" t="s">
        <v>84</v>
      </c>
      <c r="H418" s="198" t="s">
        <v>328</v>
      </c>
      <c r="I418" s="198" t="s">
        <v>187</v>
      </c>
      <c r="J418" s="198" t="s">
        <v>188</v>
      </c>
      <c r="K418" s="606" t="s">
        <v>582</v>
      </c>
      <c r="L418" s="604"/>
      <c r="M418" s="479"/>
      <c r="N418" s="438"/>
      <c r="O418" s="438"/>
      <c r="P418" s="438"/>
      <c r="Q418" s="617"/>
      <c r="R418" s="617"/>
      <c r="S418" s="617"/>
      <c r="T418" s="617"/>
      <c r="U418" s="617"/>
      <c r="V418" s="618">
        <v>5.0E9</v>
      </c>
      <c r="W418" s="617"/>
      <c r="X418" s="617"/>
      <c r="Y418" s="617"/>
      <c r="Z418" s="617"/>
      <c r="AA418" s="617"/>
      <c r="AB418" s="617"/>
      <c r="AC418" s="619">
        <f t="shared" si="206"/>
        <v>5000000000</v>
      </c>
      <c r="AD418" s="620"/>
      <c r="AE418" s="386"/>
      <c r="AF418" s="311"/>
      <c r="AG418" s="311"/>
      <c r="AH418" s="311"/>
      <c r="AI418" s="311"/>
    </row>
    <row r="419" hidden="1">
      <c r="A419" s="126"/>
      <c r="B419" s="615"/>
      <c r="C419" s="441"/>
      <c r="D419" s="567"/>
      <c r="E419" s="621"/>
      <c r="F419" s="621"/>
      <c r="G419" s="621"/>
      <c r="H419" s="622"/>
      <c r="I419" s="622"/>
      <c r="J419" s="622"/>
      <c r="K419" s="622" t="s">
        <v>582</v>
      </c>
      <c r="L419" s="623"/>
      <c r="M419" s="624"/>
      <c r="N419" s="625"/>
      <c r="O419" s="625"/>
      <c r="P419" s="625"/>
      <c r="Q419" s="626"/>
      <c r="R419" s="626"/>
      <c r="S419" s="626"/>
      <c r="T419" s="626"/>
      <c r="U419" s="626"/>
      <c r="V419" s="627"/>
      <c r="W419" s="626"/>
      <c r="X419" s="626"/>
      <c r="Y419" s="626"/>
      <c r="Z419" s="626"/>
      <c r="AA419" s="626"/>
      <c r="AB419" s="626"/>
      <c r="AC419" s="628">
        <f t="shared" si="206"/>
        <v>0</v>
      </c>
      <c r="AD419" s="264"/>
      <c r="AE419" s="241"/>
      <c r="AF419" s="194"/>
      <c r="AG419" s="194"/>
      <c r="AH419" s="194"/>
      <c r="AI419" s="194"/>
    </row>
    <row r="420" hidden="1">
      <c r="A420" s="126"/>
      <c r="B420" s="615"/>
      <c r="C420" s="222"/>
      <c r="D420" s="250" t="s">
        <v>600</v>
      </c>
      <c r="E420" s="611"/>
      <c r="F420" s="611"/>
      <c r="G420" s="611"/>
      <c r="H420" s="612"/>
      <c r="I420" s="612"/>
      <c r="J420" s="222"/>
      <c r="K420" s="222" t="s">
        <v>582</v>
      </c>
      <c r="L420" s="613"/>
      <c r="M420" s="629"/>
      <c r="N420" s="630"/>
      <c r="O420" s="630"/>
      <c r="P420" s="630"/>
      <c r="Q420" s="429"/>
      <c r="R420" s="429"/>
      <c r="S420" s="429"/>
      <c r="T420" s="614"/>
      <c r="U420" s="614"/>
      <c r="V420" s="614"/>
      <c r="W420" s="614"/>
      <c r="X420" s="614"/>
      <c r="Y420" s="614"/>
      <c r="Z420" s="614"/>
      <c r="AA420" s="614"/>
      <c r="AB420" s="614"/>
      <c r="AC420" s="231">
        <f t="shared" si="206"/>
        <v>0</v>
      </c>
      <c r="AD420" s="273"/>
      <c r="AE420" s="192"/>
      <c r="AF420" s="194"/>
      <c r="AG420" s="194"/>
      <c r="AH420" s="194"/>
      <c r="AI420" s="194"/>
    </row>
    <row r="421" hidden="1">
      <c r="A421" s="126"/>
      <c r="B421" s="615"/>
      <c r="C421" s="222"/>
      <c r="D421" s="286" t="s">
        <v>194</v>
      </c>
      <c r="E421" s="233"/>
      <c r="F421" s="233"/>
      <c r="G421" s="233"/>
      <c r="H421" s="234"/>
      <c r="I421" s="234"/>
      <c r="J421" s="222"/>
      <c r="K421" s="222" t="s">
        <v>582</v>
      </c>
      <c r="L421" s="287"/>
      <c r="M421" s="236"/>
      <c r="N421" s="285"/>
      <c r="O421" s="285"/>
      <c r="P421" s="285"/>
      <c r="Q421" s="288"/>
      <c r="R421" s="288"/>
      <c r="S421" s="288"/>
      <c r="T421" s="288"/>
      <c r="U421" s="288"/>
      <c r="V421" s="288"/>
      <c r="W421" s="288"/>
      <c r="X421" s="288"/>
      <c r="Y421" s="288"/>
      <c r="Z421" s="288"/>
      <c r="AA421" s="288"/>
      <c r="AB421" s="288"/>
      <c r="AC421" s="378">
        <f t="shared" si="206"/>
        <v>0</v>
      </c>
      <c r="AD421" s="273"/>
      <c r="AE421" s="192"/>
      <c r="AF421" s="194"/>
      <c r="AG421" s="194"/>
      <c r="AH421" s="194"/>
      <c r="AI421" s="194"/>
    </row>
    <row r="422" hidden="1">
      <c r="A422" s="126"/>
      <c r="B422" s="615"/>
      <c r="C422" s="222"/>
      <c r="D422" s="286" t="s">
        <v>601</v>
      </c>
      <c r="E422" s="233"/>
      <c r="F422" s="233"/>
      <c r="G422" s="233"/>
      <c r="H422" s="234"/>
      <c r="I422" s="234"/>
      <c r="J422" s="222"/>
      <c r="K422" s="222" t="s">
        <v>582</v>
      </c>
      <c r="L422" s="287"/>
      <c r="M422" s="236"/>
      <c r="N422" s="285"/>
      <c r="O422" s="285"/>
      <c r="P422" s="285"/>
      <c r="Q422" s="288"/>
      <c r="R422" s="288"/>
      <c r="S422" s="288"/>
      <c r="T422" s="288"/>
      <c r="U422" s="288"/>
      <c r="V422" s="288"/>
      <c r="W422" s="288"/>
      <c r="X422" s="288"/>
      <c r="Y422" s="288"/>
      <c r="Z422" s="288"/>
      <c r="AA422" s="288"/>
      <c r="AB422" s="288"/>
      <c r="AC422" s="378">
        <f t="shared" si="206"/>
        <v>0</v>
      </c>
      <c r="AD422" s="273"/>
      <c r="AE422" s="192"/>
      <c r="AF422" s="194"/>
      <c r="AG422" s="194"/>
      <c r="AH422" s="194"/>
      <c r="AI422" s="194"/>
    </row>
    <row r="423" hidden="1">
      <c r="A423" s="126"/>
      <c r="B423" s="181"/>
      <c r="C423" s="289"/>
      <c r="D423" s="290" t="s">
        <v>602</v>
      </c>
      <c r="E423" s="487"/>
      <c r="F423" s="487"/>
      <c r="G423" s="487"/>
      <c r="H423" s="291"/>
      <c r="I423" s="291"/>
      <c r="J423" s="292"/>
      <c r="K423" s="292" t="s">
        <v>582</v>
      </c>
      <c r="L423" s="293"/>
      <c r="M423" s="294"/>
      <c r="N423" s="295"/>
      <c r="O423" s="295"/>
      <c r="P423" s="295"/>
      <c r="Q423" s="296">
        <f t="shared" ref="Q423:AB423" si="208">Q405+Q406+Q407+Q412+Q413+Q414+Q419</f>
        <v>789061823.5</v>
      </c>
      <c r="R423" s="296">
        <f t="shared" si="208"/>
        <v>789061823.5</v>
      </c>
      <c r="S423" s="296">
        <f t="shared" si="208"/>
        <v>789061823.5</v>
      </c>
      <c r="T423" s="296">
        <f t="shared" si="208"/>
        <v>815959117.6</v>
      </c>
      <c r="U423" s="296">
        <f t="shared" si="208"/>
        <v>815959117.6</v>
      </c>
      <c r="V423" s="296">
        <f t="shared" si="208"/>
        <v>815959117.6</v>
      </c>
      <c r="W423" s="296">
        <f t="shared" si="208"/>
        <v>662194254.8</v>
      </c>
      <c r="X423" s="296">
        <f t="shared" si="208"/>
        <v>662194254.8</v>
      </c>
      <c r="Y423" s="296">
        <f t="shared" si="208"/>
        <v>0</v>
      </c>
      <c r="Z423" s="296">
        <f t="shared" si="208"/>
        <v>0</v>
      </c>
      <c r="AA423" s="296">
        <f t="shared" si="208"/>
        <v>0</v>
      </c>
      <c r="AB423" s="296">
        <f t="shared" si="208"/>
        <v>0</v>
      </c>
      <c r="AC423" s="547">
        <f t="shared" si="206"/>
        <v>6139451333</v>
      </c>
      <c r="AD423" s="273"/>
      <c r="AE423" s="241"/>
      <c r="AF423" s="194"/>
      <c r="AG423" s="194"/>
      <c r="AH423" s="194"/>
      <c r="AI423" s="194"/>
    </row>
    <row r="424" hidden="1">
      <c r="A424" s="126"/>
      <c r="B424" s="298"/>
      <c r="C424" s="299"/>
      <c r="D424" s="300" t="s">
        <v>603</v>
      </c>
      <c r="E424" s="488"/>
      <c r="F424" s="488"/>
      <c r="G424" s="488"/>
      <c r="H424" s="301"/>
      <c r="I424" s="301"/>
      <c r="J424" s="489"/>
      <c r="K424" s="489" t="s">
        <v>582</v>
      </c>
      <c r="L424" s="304"/>
      <c r="M424" s="305"/>
      <c r="N424" s="306"/>
      <c r="O424" s="306"/>
      <c r="P424" s="306"/>
      <c r="Q424" s="307">
        <f t="shared" ref="Q424:AB424" si="209">Q408+Q415+Q420</f>
        <v>767114675</v>
      </c>
      <c r="R424" s="307">
        <f t="shared" si="209"/>
        <v>772142770</v>
      </c>
      <c r="S424" s="307">
        <f t="shared" si="209"/>
        <v>782211843</v>
      </c>
      <c r="T424" s="490">
        <f t="shared" si="209"/>
        <v>883440035</v>
      </c>
      <c r="U424" s="490">
        <f t="shared" si="209"/>
        <v>915350491</v>
      </c>
      <c r="V424" s="490">
        <f t="shared" si="209"/>
        <v>939429309</v>
      </c>
      <c r="W424" s="307">
        <f t="shared" si="209"/>
        <v>0</v>
      </c>
      <c r="X424" s="307">
        <f t="shared" si="209"/>
        <v>0</v>
      </c>
      <c r="Y424" s="307">
        <f t="shared" si="209"/>
        <v>0</v>
      </c>
      <c r="Z424" s="307">
        <f t="shared" si="209"/>
        <v>0</v>
      </c>
      <c r="AA424" s="307">
        <f t="shared" si="209"/>
        <v>0</v>
      </c>
      <c r="AB424" s="307">
        <f t="shared" si="209"/>
        <v>0</v>
      </c>
      <c r="AC424" s="309">
        <f t="shared" si="206"/>
        <v>5059689123</v>
      </c>
      <c r="AD424" s="264"/>
      <c r="AE424" s="241"/>
      <c r="AF424" s="310">
        <f t="shared" ref="AF424:AF425" si="211">AC424-AC425</f>
        <v>1350650187</v>
      </c>
      <c r="AG424" s="311" t="s">
        <v>226</v>
      </c>
      <c r="AH424" s="194"/>
      <c r="AI424" s="194"/>
    </row>
    <row r="425" hidden="1">
      <c r="A425" s="126"/>
      <c r="B425" s="298"/>
      <c r="C425" s="312"/>
      <c r="D425" s="313" t="s">
        <v>604</v>
      </c>
      <c r="E425" s="331"/>
      <c r="F425" s="331"/>
      <c r="G425" s="331"/>
      <c r="H425" s="199"/>
      <c r="I425" s="199"/>
      <c r="J425" s="222"/>
      <c r="K425" s="222" t="s">
        <v>582</v>
      </c>
      <c r="L425" s="287"/>
      <c r="M425" s="236"/>
      <c r="N425" s="285"/>
      <c r="O425" s="285"/>
      <c r="P425" s="285"/>
      <c r="Q425" s="288">
        <f t="shared" ref="Q425:V425" si="210">Q409+Q416+Q421</f>
        <v>767114675</v>
      </c>
      <c r="R425" s="288">
        <f t="shared" si="210"/>
        <v>772142770</v>
      </c>
      <c r="S425" s="288">
        <f t="shared" si="210"/>
        <v>782211843</v>
      </c>
      <c r="T425" s="314">
        <f t="shared" si="210"/>
        <v>691117496</v>
      </c>
      <c r="U425" s="314">
        <f t="shared" si="210"/>
        <v>696452152</v>
      </c>
      <c r="V425" s="314">
        <f t="shared" si="210"/>
        <v>0</v>
      </c>
      <c r="W425" s="288"/>
      <c r="X425" s="288"/>
      <c r="Y425" s="288"/>
      <c r="Z425" s="288"/>
      <c r="AA425" s="288"/>
      <c r="AB425" s="288"/>
      <c r="AC425" s="378">
        <f t="shared" si="206"/>
        <v>3709038936</v>
      </c>
      <c r="AD425" s="214"/>
      <c r="AE425" s="192"/>
      <c r="AF425" s="316">
        <f t="shared" si="211"/>
        <v>0</v>
      </c>
      <c r="AG425" s="311" t="s">
        <v>228</v>
      </c>
      <c r="AH425" s="194"/>
      <c r="AI425" s="194"/>
    </row>
    <row r="426" hidden="1">
      <c r="A426" s="126"/>
      <c r="B426" s="298"/>
      <c r="C426" s="317"/>
      <c r="D426" s="318" t="s">
        <v>605</v>
      </c>
      <c r="E426" s="493"/>
      <c r="F426" s="493"/>
      <c r="G426" s="493"/>
      <c r="H426" s="494"/>
      <c r="I426" s="494"/>
      <c r="J426" s="320"/>
      <c r="K426" s="320" t="s">
        <v>582</v>
      </c>
      <c r="L426" s="321"/>
      <c r="M426" s="322"/>
      <c r="N426" s="323"/>
      <c r="O426" s="323"/>
      <c r="P426" s="323"/>
      <c r="Q426" s="324">
        <f t="shared" ref="Q426:V426" si="212">Q410+Q417+Q422</f>
        <v>767114675</v>
      </c>
      <c r="R426" s="324">
        <f t="shared" si="212"/>
        <v>772142770</v>
      </c>
      <c r="S426" s="324">
        <f t="shared" si="212"/>
        <v>782211843</v>
      </c>
      <c r="T426" s="325">
        <f t="shared" si="212"/>
        <v>691117496</v>
      </c>
      <c r="U426" s="325">
        <f t="shared" si="212"/>
        <v>696452152</v>
      </c>
      <c r="V426" s="325">
        <f t="shared" si="212"/>
        <v>0</v>
      </c>
      <c r="W426" s="324"/>
      <c r="X426" s="324"/>
      <c r="Y426" s="324"/>
      <c r="Z426" s="324"/>
      <c r="AA426" s="324"/>
      <c r="AB426" s="324"/>
      <c r="AC426" s="539">
        <f t="shared" si="206"/>
        <v>3709038936</v>
      </c>
      <c r="AD426" s="214"/>
      <c r="AE426" s="192"/>
      <c r="AF426" s="328">
        <f>AC426</f>
        <v>3709038936</v>
      </c>
      <c r="AG426" s="311" t="s">
        <v>148</v>
      </c>
      <c r="AH426" s="194"/>
      <c r="AI426" s="194"/>
    </row>
    <row r="427">
      <c r="A427" s="126"/>
      <c r="B427" s="181">
        <v>10.0</v>
      </c>
      <c r="C427" s="329" t="s">
        <v>38</v>
      </c>
      <c r="D427" s="330"/>
      <c r="E427" s="496"/>
      <c r="F427" s="496"/>
      <c r="G427" s="496"/>
      <c r="H427" s="332"/>
      <c r="I427" s="332"/>
      <c r="J427" s="333"/>
      <c r="K427" s="333" t="s">
        <v>606</v>
      </c>
      <c r="L427" s="334" t="str">
        <f>L428+L435+#REF!+L451+L473+L479</f>
        <v>#REF!</v>
      </c>
      <c r="M427" s="335"/>
      <c r="N427" s="336"/>
      <c r="O427" s="336"/>
      <c r="P427" s="336"/>
      <c r="Q427" s="337">
        <f t="shared" ref="Q427:AC427" si="213">Q428+Q435+Q443+Q451</f>
        <v>1465355157</v>
      </c>
      <c r="R427" s="337">
        <f t="shared" si="213"/>
        <v>1465355157</v>
      </c>
      <c r="S427" s="337">
        <f t="shared" si="213"/>
        <v>1465355157</v>
      </c>
      <c r="T427" s="337">
        <f t="shared" si="213"/>
        <v>1465355157</v>
      </c>
      <c r="U427" s="337">
        <f t="shared" si="213"/>
        <v>1465355157</v>
      </c>
      <c r="V427" s="337">
        <f t="shared" si="213"/>
        <v>1465355157</v>
      </c>
      <c r="W427" s="337">
        <f t="shared" si="213"/>
        <v>1465355157</v>
      </c>
      <c r="X427" s="337">
        <f t="shared" si="213"/>
        <v>1465355157</v>
      </c>
      <c r="Y427" s="337">
        <f t="shared" si="213"/>
        <v>1465355157</v>
      </c>
      <c r="Z427" s="337">
        <f t="shared" si="213"/>
        <v>1465355157</v>
      </c>
      <c r="AA427" s="337">
        <f t="shared" si="213"/>
        <v>1465355157</v>
      </c>
      <c r="AB427" s="337">
        <f t="shared" si="213"/>
        <v>1465355157</v>
      </c>
      <c r="AC427" s="338">
        <f t="shared" si="213"/>
        <v>17584261884</v>
      </c>
      <c r="AD427" s="178">
        <f>AC427-AE427</f>
        <v>0</v>
      </c>
      <c r="AE427" s="192">
        <f>'Proker New'!Y75</f>
        <v>17584261884</v>
      </c>
      <c r="AF427" s="193" t="str">
        <f>C427</f>
        <v>Bangka Belitung - Pangkal Pinang (PGK)</v>
      </c>
      <c r="AG427" s="194"/>
      <c r="AH427" s="194"/>
      <c r="AI427" s="194"/>
    </row>
    <row r="428">
      <c r="A428" s="126"/>
      <c r="B428" s="195"/>
      <c r="C428" s="196">
        <v>1.0</v>
      </c>
      <c r="D428" s="354" t="s">
        <v>607</v>
      </c>
      <c r="E428" s="198" t="s">
        <v>186</v>
      </c>
      <c r="F428" s="198" t="s">
        <v>103</v>
      </c>
      <c r="G428" s="198" t="s">
        <v>86</v>
      </c>
      <c r="H428" s="198" t="s">
        <v>86</v>
      </c>
      <c r="I428" s="198" t="s">
        <v>187</v>
      </c>
      <c r="J428" s="198" t="s">
        <v>188</v>
      </c>
      <c r="K428" s="199" t="s">
        <v>606</v>
      </c>
      <c r="L428" s="347">
        <v>1.29648917E9</v>
      </c>
      <c r="M428" s="257" t="s">
        <v>608</v>
      </c>
      <c r="N428" s="366"/>
      <c r="O428" s="366">
        <v>45413.0</v>
      </c>
      <c r="P428" s="366">
        <v>45657.0</v>
      </c>
      <c r="Q428" s="204">
        <v>1.61850664E8</v>
      </c>
      <c r="R428" s="204">
        <v>1.61850664E8</v>
      </c>
      <c r="S428" s="204">
        <v>1.61850664E8</v>
      </c>
      <c r="T428" s="204">
        <v>1.61850664E8</v>
      </c>
      <c r="U428" s="204">
        <v>1.61850664E8</v>
      </c>
      <c r="V428" s="204">
        <v>1.61850664E8</v>
      </c>
      <c r="W428" s="204">
        <v>1.61850664E8</v>
      </c>
      <c r="X428" s="204">
        <v>1.61850664E8</v>
      </c>
      <c r="Y428" s="204">
        <v>1.61850664E8</v>
      </c>
      <c r="Z428" s="204">
        <v>1.61850664E8</v>
      </c>
      <c r="AA428" s="204">
        <v>1.61850664E8</v>
      </c>
      <c r="AB428" s="204">
        <v>1.61850664E8</v>
      </c>
      <c r="AC428" s="205">
        <v>1.942207968E9</v>
      </c>
      <c r="AD428" s="178">
        <f>SUM(Q428:AB428)-AC428</f>
        <v>0</v>
      </c>
      <c r="AE428" s="241"/>
      <c r="AF428" s="194"/>
      <c r="AG428" s="194"/>
      <c r="AH428" s="194"/>
      <c r="AI428" s="194"/>
    </row>
    <row r="429" hidden="1">
      <c r="A429" s="126"/>
      <c r="B429" s="195"/>
      <c r="C429" s="206"/>
      <c r="D429" s="215"/>
      <c r="E429" s="207"/>
      <c r="F429" s="207"/>
      <c r="G429" s="207"/>
      <c r="H429" s="206"/>
      <c r="I429" s="206"/>
      <c r="J429" s="206"/>
      <c r="K429" s="206" t="s">
        <v>606</v>
      </c>
      <c r="L429" s="245">
        <f>1805761107-L428</f>
        <v>509271937</v>
      </c>
      <c r="M429" s="218" t="s">
        <v>609</v>
      </c>
      <c r="N429" s="367"/>
      <c r="O429" s="367">
        <v>45658.0</v>
      </c>
      <c r="P429" s="367">
        <v>45747.0</v>
      </c>
      <c r="Q429" s="249">
        <f>L429/3</f>
        <v>169757312.3</v>
      </c>
      <c r="R429" s="249">
        <f t="shared" ref="R429:S429" si="214">Q429</f>
        <v>169757312.3</v>
      </c>
      <c r="S429" s="249">
        <f t="shared" si="214"/>
        <v>169757312.3</v>
      </c>
      <c r="T429" s="212"/>
      <c r="U429" s="212"/>
      <c r="V429" s="212"/>
      <c r="W429" s="212"/>
      <c r="X429" s="212"/>
      <c r="Y429" s="212"/>
      <c r="Z429" s="212"/>
      <c r="AA429" s="212"/>
      <c r="AB429" s="212"/>
      <c r="AC429" s="213">
        <f t="shared" ref="AC429:AC434" si="216">SUM(Q429:AB429)</f>
        <v>509271937</v>
      </c>
      <c r="AD429" s="264"/>
      <c r="AE429" s="241"/>
      <c r="AF429" s="194"/>
      <c r="AG429" s="194"/>
      <c r="AH429" s="194"/>
      <c r="AI429" s="194"/>
    </row>
    <row r="430" hidden="1">
      <c r="A430" s="126"/>
      <c r="B430" s="195"/>
      <c r="C430" s="242"/>
      <c r="D430" s="220" t="s">
        <v>610</v>
      </c>
      <c r="E430" s="207"/>
      <c r="F430" s="207"/>
      <c r="G430" s="207"/>
      <c r="H430" s="206"/>
      <c r="I430" s="206"/>
      <c r="J430" s="206"/>
      <c r="K430" s="206" t="s">
        <v>606</v>
      </c>
      <c r="L430" s="245">
        <f>848786562*1.11</f>
        <v>942153083.8</v>
      </c>
      <c r="M430" s="218" t="s">
        <v>611</v>
      </c>
      <c r="N430" s="367"/>
      <c r="O430" s="367">
        <v>45748.0</v>
      </c>
      <c r="P430" s="367">
        <v>45900.0</v>
      </c>
      <c r="Q430" s="504"/>
      <c r="R430" s="504"/>
      <c r="S430" s="504"/>
      <c r="T430" s="249">
        <f>L430/5</f>
        <v>188430616.8</v>
      </c>
      <c r="U430" s="249">
        <f t="shared" ref="U430:X430" si="215">T430</f>
        <v>188430616.8</v>
      </c>
      <c r="V430" s="249">
        <f t="shared" si="215"/>
        <v>188430616.8</v>
      </c>
      <c r="W430" s="249">
        <f t="shared" si="215"/>
        <v>188430616.8</v>
      </c>
      <c r="X430" s="249">
        <f t="shared" si="215"/>
        <v>188430616.8</v>
      </c>
      <c r="Y430" s="504"/>
      <c r="Z430" s="504"/>
      <c r="AA430" s="504"/>
      <c r="AB430" s="504"/>
      <c r="AC430" s="213">
        <f t="shared" si="216"/>
        <v>942153083.8</v>
      </c>
      <c r="AD430" s="273"/>
      <c r="AE430" s="192"/>
      <c r="AF430" s="194"/>
      <c r="AG430" s="194"/>
      <c r="AH430" s="194"/>
      <c r="AI430" s="194"/>
    </row>
    <row r="431" hidden="1">
      <c r="A431" s="126"/>
      <c r="B431" s="195"/>
      <c r="C431" s="242"/>
      <c r="D431" s="215"/>
      <c r="E431" s="207"/>
      <c r="F431" s="207"/>
      <c r="G431" s="207"/>
      <c r="H431" s="206"/>
      <c r="I431" s="206"/>
      <c r="J431" s="206"/>
      <c r="K431" s="206" t="s">
        <v>606</v>
      </c>
      <c r="L431" s="245"/>
      <c r="M431" s="209"/>
      <c r="N431" s="367"/>
      <c r="O431" s="367">
        <f>P430+1</f>
        <v>45901</v>
      </c>
      <c r="P431" s="367"/>
      <c r="Q431" s="249"/>
      <c r="R431" s="249"/>
      <c r="S431" s="249"/>
      <c r="T431" s="249"/>
      <c r="U431" s="249"/>
      <c r="V431" s="504"/>
      <c r="W431" s="504"/>
      <c r="X431" s="504"/>
      <c r="Y431" s="504"/>
      <c r="Z431" s="504"/>
      <c r="AA431" s="504"/>
      <c r="AB431" s="504"/>
      <c r="AC431" s="213">
        <f t="shared" si="216"/>
        <v>0</v>
      </c>
      <c r="AD431" s="273"/>
      <c r="AE431" s="192"/>
      <c r="AF431" s="194"/>
      <c r="AG431" s="194"/>
      <c r="AH431" s="194"/>
      <c r="AI431" s="194"/>
    </row>
    <row r="432" hidden="1">
      <c r="A432" s="126"/>
      <c r="B432" s="195"/>
      <c r="C432" s="196"/>
      <c r="D432" s="542" t="s">
        <v>612</v>
      </c>
      <c r="E432" s="224"/>
      <c r="F432" s="224"/>
      <c r="G432" s="224"/>
      <c r="H432" s="222"/>
      <c r="I432" s="222"/>
      <c r="J432" s="222"/>
      <c r="K432" s="222" t="s">
        <v>606</v>
      </c>
      <c r="L432" s="346"/>
      <c r="M432" s="255"/>
      <c r="N432" s="365"/>
      <c r="O432" s="365"/>
      <c r="P432" s="365"/>
      <c r="Q432" s="228">
        <v>1.88430616E8</v>
      </c>
      <c r="R432" s="228">
        <f t="shared" ref="R432:V432" si="217">Q432</f>
        <v>188430616</v>
      </c>
      <c r="S432" s="228">
        <f t="shared" si="217"/>
        <v>188430616</v>
      </c>
      <c r="T432" s="229">
        <f t="shared" si="217"/>
        <v>188430616</v>
      </c>
      <c r="U432" s="229">
        <f t="shared" si="217"/>
        <v>188430616</v>
      </c>
      <c r="V432" s="229">
        <f t="shared" si="217"/>
        <v>188430616</v>
      </c>
      <c r="W432" s="229"/>
      <c r="X432" s="229"/>
      <c r="Y432" s="229"/>
      <c r="Z432" s="229"/>
      <c r="AA432" s="229"/>
      <c r="AB432" s="229"/>
      <c r="AC432" s="231">
        <f t="shared" si="216"/>
        <v>1130583696</v>
      </c>
      <c r="AD432" s="273"/>
      <c r="AE432" s="241"/>
      <c r="AF432" s="194"/>
      <c r="AG432" s="194"/>
      <c r="AH432" s="194"/>
      <c r="AI432" s="194"/>
    </row>
    <row r="433" hidden="1">
      <c r="A433" s="126"/>
      <c r="B433" s="195"/>
      <c r="C433" s="196"/>
      <c r="D433" s="286" t="s">
        <v>194</v>
      </c>
      <c r="E433" s="233"/>
      <c r="F433" s="233"/>
      <c r="G433" s="233"/>
      <c r="H433" s="234"/>
      <c r="I433" s="234"/>
      <c r="J433" s="222"/>
      <c r="K433" s="222" t="s">
        <v>606</v>
      </c>
      <c r="L433" s="346"/>
      <c r="M433" s="255"/>
      <c r="N433" s="365"/>
      <c r="O433" s="365"/>
      <c r="P433" s="365"/>
      <c r="Q433" s="228">
        <v>1.88430616E8</v>
      </c>
      <c r="R433" s="228">
        <f t="shared" ref="R433:S433" si="218">Q433</f>
        <v>188430616</v>
      </c>
      <c r="S433" s="228">
        <f t="shared" si="218"/>
        <v>188430616</v>
      </c>
      <c r="T433" s="229"/>
      <c r="U433" s="229"/>
      <c r="V433" s="229"/>
      <c r="W433" s="229"/>
      <c r="X433" s="229"/>
      <c r="Y433" s="229"/>
      <c r="Z433" s="229"/>
      <c r="AA433" s="229"/>
      <c r="AB433" s="229"/>
      <c r="AC433" s="378">
        <f t="shared" si="216"/>
        <v>565291848</v>
      </c>
      <c r="AD433" s="214"/>
      <c r="AE433" s="241"/>
      <c r="AF433" s="194"/>
      <c r="AG433" s="194"/>
      <c r="AH433" s="194"/>
      <c r="AI433" s="194"/>
    </row>
    <row r="434" hidden="1">
      <c r="A434" s="126"/>
      <c r="B434" s="195"/>
      <c r="C434" s="196"/>
      <c r="D434" s="286" t="s">
        <v>613</v>
      </c>
      <c r="E434" s="233"/>
      <c r="F434" s="233"/>
      <c r="G434" s="233"/>
      <c r="H434" s="234"/>
      <c r="I434" s="234"/>
      <c r="J434" s="222"/>
      <c r="K434" s="222" t="s">
        <v>606</v>
      </c>
      <c r="L434" s="346"/>
      <c r="M434" s="255"/>
      <c r="N434" s="365"/>
      <c r="O434" s="365"/>
      <c r="P434" s="365"/>
      <c r="Q434" s="228">
        <v>1.88430616E8</v>
      </c>
      <c r="R434" s="228">
        <f t="shared" ref="R434:S434" si="219">Q434</f>
        <v>188430616</v>
      </c>
      <c r="S434" s="228">
        <f t="shared" si="219"/>
        <v>188430616</v>
      </c>
      <c r="T434" s="229"/>
      <c r="U434" s="229"/>
      <c r="V434" s="229"/>
      <c r="W434" s="229"/>
      <c r="X434" s="229"/>
      <c r="Y434" s="229"/>
      <c r="Z434" s="229"/>
      <c r="AA434" s="229"/>
      <c r="AB434" s="229"/>
      <c r="AC434" s="378">
        <f t="shared" si="216"/>
        <v>565291848</v>
      </c>
      <c r="AD434" s="214"/>
      <c r="AE434" s="241"/>
      <c r="AF434" s="194"/>
      <c r="AG434" s="194"/>
      <c r="AH434" s="194"/>
      <c r="AI434" s="194"/>
    </row>
    <row r="435">
      <c r="A435" s="126"/>
      <c r="B435" s="195"/>
      <c r="C435" s="196">
        <v>2.0</v>
      </c>
      <c r="D435" s="354" t="s">
        <v>614</v>
      </c>
      <c r="E435" s="198" t="s">
        <v>186</v>
      </c>
      <c r="F435" s="198" t="s">
        <v>88</v>
      </c>
      <c r="G435" s="198" t="s">
        <v>88</v>
      </c>
      <c r="H435" s="198" t="s">
        <v>218</v>
      </c>
      <c r="I435" s="198" t="s">
        <v>187</v>
      </c>
      <c r="J435" s="198" t="s">
        <v>188</v>
      </c>
      <c r="K435" s="199" t="s">
        <v>606</v>
      </c>
      <c r="L435" s="347">
        <v>4.34E8</v>
      </c>
      <c r="M435" s="257" t="s">
        <v>615</v>
      </c>
      <c r="N435" s="366"/>
      <c r="O435" s="366">
        <v>45413.0</v>
      </c>
      <c r="P435" s="366">
        <v>45535.0</v>
      </c>
      <c r="Q435" s="631">
        <v>1.216904285E9</v>
      </c>
      <c r="R435" s="631">
        <v>1.216904285E9</v>
      </c>
      <c r="S435" s="631">
        <v>1.216904285E9</v>
      </c>
      <c r="T435" s="631">
        <v>1.216904285E9</v>
      </c>
      <c r="U435" s="631">
        <v>1.216904285E9</v>
      </c>
      <c r="V435" s="631">
        <v>1.216904285E9</v>
      </c>
      <c r="W435" s="631">
        <v>1.216904285E9</v>
      </c>
      <c r="X435" s="631">
        <v>1.216904285E9</v>
      </c>
      <c r="Y435" s="631">
        <v>1.216904285E9</v>
      </c>
      <c r="Z435" s="631">
        <v>1.216904285E9</v>
      </c>
      <c r="AA435" s="631">
        <v>1.216904285E9</v>
      </c>
      <c r="AB435" s="631">
        <v>1.216904285E9</v>
      </c>
      <c r="AC435" s="205">
        <v>1.460285142E10</v>
      </c>
      <c r="AD435" s="178">
        <f>SUM(Q435:AB435)-AC435</f>
        <v>0</v>
      </c>
      <c r="AE435" s="241"/>
      <c r="AF435" s="194"/>
      <c r="AG435" s="194"/>
      <c r="AH435" s="194"/>
      <c r="AI435" s="194"/>
    </row>
    <row r="436" hidden="1">
      <c r="A436" s="126"/>
      <c r="B436" s="195"/>
      <c r="C436" s="206"/>
      <c r="D436" s="207"/>
      <c r="E436" s="207"/>
      <c r="F436" s="207"/>
      <c r="G436" s="207"/>
      <c r="H436" s="206"/>
      <c r="I436" s="206"/>
      <c r="J436" s="206"/>
      <c r="K436" s="206" t="s">
        <v>606</v>
      </c>
      <c r="L436" s="245">
        <f>868000087-L435</f>
        <v>434000087</v>
      </c>
      <c r="M436" s="263" t="s">
        <v>616</v>
      </c>
      <c r="N436" s="367"/>
      <c r="O436" s="367">
        <f>P435+1</f>
        <v>45536</v>
      </c>
      <c r="P436" s="367">
        <f>O436+121</f>
        <v>45657</v>
      </c>
      <c r="Q436" s="268"/>
      <c r="R436" s="268"/>
      <c r="S436" s="268"/>
      <c r="T436" s="212"/>
      <c r="U436" s="212"/>
      <c r="V436" s="212"/>
      <c r="W436" s="212"/>
      <c r="X436" s="212"/>
      <c r="Y436" s="212"/>
      <c r="Z436" s="212"/>
      <c r="AA436" s="212"/>
      <c r="AB436" s="212"/>
      <c r="AC436" s="213">
        <f t="shared" ref="AC436:AC442" si="221">SUM(Q436:AB436)</f>
        <v>0</v>
      </c>
      <c r="AD436" s="273"/>
      <c r="AE436" s="192"/>
      <c r="AF436" s="194"/>
      <c r="AG436" s="194"/>
      <c r="AH436" s="194"/>
      <c r="AI436" s="194"/>
    </row>
    <row r="437" hidden="1">
      <c r="A437" s="126"/>
      <c r="B437" s="195"/>
      <c r="C437" s="206"/>
      <c r="D437" s="207"/>
      <c r="E437" s="207"/>
      <c r="F437" s="207"/>
      <c r="G437" s="207"/>
      <c r="H437" s="206"/>
      <c r="I437" s="206"/>
      <c r="J437" s="206"/>
      <c r="K437" s="206" t="s">
        <v>606</v>
      </c>
      <c r="L437" s="245">
        <f>1214998480-L436-L435</f>
        <v>346998393</v>
      </c>
      <c r="M437" s="218" t="s">
        <v>617</v>
      </c>
      <c r="N437" s="367"/>
      <c r="O437" s="367">
        <v>45658.0</v>
      </c>
      <c r="P437" s="367">
        <v>45747.0</v>
      </c>
      <c r="Q437" s="268">
        <f>L437/3</f>
        <v>115666131</v>
      </c>
      <c r="R437" s="268">
        <f t="shared" ref="R437:S437" si="220">Q437</f>
        <v>115666131</v>
      </c>
      <c r="S437" s="268">
        <f t="shared" si="220"/>
        <v>115666131</v>
      </c>
      <c r="T437" s="212"/>
      <c r="U437" s="212"/>
      <c r="V437" s="212"/>
      <c r="W437" s="212"/>
      <c r="X437" s="212"/>
      <c r="Y437" s="212"/>
      <c r="Z437" s="212"/>
      <c r="AA437" s="212"/>
      <c r="AB437" s="212"/>
      <c r="AC437" s="213">
        <f t="shared" si="221"/>
        <v>346998393</v>
      </c>
      <c r="AD437" s="273"/>
      <c r="AE437" s="192"/>
      <c r="AF437" s="194"/>
      <c r="AG437" s="194"/>
      <c r="AH437" s="194"/>
      <c r="AI437" s="194"/>
    </row>
    <row r="438" hidden="1">
      <c r="A438" s="126"/>
      <c r="B438" s="195"/>
      <c r="C438" s="242"/>
      <c r="D438" s="207"/>
      <c r="E438" s="207"/>
      <c r="F438" s="207"/>
      <c r="G438" s="207"/>
      <c r="H438" s="206"/>
      <c r="I438" s="206"/>
      <c r="J438" s="206"/>
      <c r="K438" s="206" t="s">
        <v>606</v>
      </c>
      <c r="L438" s="277">
        <f>L437</f>
        <v>346998393</v>
      </c>
      <c r="M438" s="218" t="s">
        <v>618</v>
      </c>
      <c r="N438" s="367"/>
      <c r="O438" s="367">
        <v>45748.0</v>
      </c>
      <c r="P438" s="367">
        <v>45838.0</v>
      </c>
      <c r="Q438" s="269"/>
      <c r="R438" s="269"/>
      <c r="S438" s="269"/>
      <c r="T438" s="268">
        <f>L438/3</f>
        <v>115666131</v>
      </c>
      <c r="U438" s="268">
        <f t="shared" ref="U438:V438" si="222">T438</f>
        <v>115666131</v>
      </c>
      <c r="V438" s="268">
        <f t="shared" si="222"/>
        <v>115666131</v>
      </c>
      <c r="W438" s="269"/>
      <c r="X438" s="269"/>
      <c r="Y438" s="269"/>
      <c r="Z438" s="269"/>
      <c r="AA438" s="269"/>
      <c r="AB438" s="269"/>
      <c r="AC438" s="213">
        <f t="shared" si="221"/>
        <v>346998393</v>
      </c>
      <c r="AD438" s="273"/>
      <c r="AE438" s="241"/>
      <c r="AF438" s="194"/>
      <c r="AG438" s="194"/>
      <c r="AH438" s="194"/>
      <c r="AI438" s="194"/>
    </row>
    <row r="439" hidden="1">
      <c r="A439" s="126"/>
      <c r="B439" s="195"/>
      <c r="C439" s="242"/>
      <c r="D439" s="220" t="s">
        <v>619</v>
      </c>
      <c r="E439" s="207"/>
      <c r="F439" s="207"/>
      <c r="G439" s="207"/>
      <c r="H439" s="206"/>
      <c r="I439" s="206"/>
      <c r="J439" s="206"/>
      <c r="K439" s="206" t="s">
        <v>606</v>
      </c>
      <c r="L439" s="277"/>
      <c r="M439" s="265" t="s">
        <v>299</v>
      </c>
      <c r="N439" s="367"/>
      <c r="O439" s="367">
        <f>P438+1</f>
        <v>45839</v>
      </c>
      <c r="P439" s="367">
        <v>45900.0</v>
      </c>
      <c r="Q439" s="249"/>
      <c r="R439" s="212"/>
      <c r="S439" s="249"/>
      <c r="T439" s="249"/>
      <c r="U439" s="249"/>
      <c r="V439" s="269"/>
      <c r="W439" s="269"/>
      <c r="X439" s="269"/>
      <c r="Y439" s="269"/>
      <c r="Z439" s="269"/>
      <c r="AA439" s="269"/>
      <c r="AB439" s="269"/>
      <c r="AC439" s="213">
        <f t="shared" si="221"/>
        <v>0</v>
      </c>
      <c r="AD439" s="271"/>
      <c r="AE439" s="241"/>
      <c r="AF439" s="194"/>
      <c r="AG439" s="194"/>
      <c r="AH439" s="194"/>
      <c r="AI439" s="194"/>
    </row>
    <row r="440" hidden="1">
      <c r="A440" s="126"/>
      <c r="B440" s="195"/>
      <c r="C440" s="196"/>
      <c r="D440" s="250" t="s">
        <v>620</v>
      </c>
      <c r="E440" s="224"/>
      <c r="F440" s="224"/>
      <c r="G440" s="224"/>
      <c r="H440" s="222"/>
      <c r="I440" s="222"/>
      <c r="J440" s="222"/>
      <c r="K440" s="222" t="s">
        <v>606</v>
      </c>
      <c r="L440" s="225"/>
      <c r="M440" s="255"/>
      <c r="N440" s="365"/>
      <c r="O440" s="365"/>
      <c r="P440" s="365"/>
      <c r="Q440" s="228">
        <v>1.1566613E8</v>
      </c>
      <c r="R440" s="230">
        <f t="shared" ref="R440:V440" si="223">Q440</f>
        <v>115666130</v>
      </c>
      <c r="S440" s="228">
        <f t="shared" si="223"/>
        <v>115666130</v>
      </c>
      <c r="T440" s="229">
        <f t="shared" si="223"/>
        <v>115666130</v>
      </c>
      <c r="U440" s="229">
        <f t="shared" si="223"/>
        <v>115666130</v>
      </c>
      <c r="V440" s="229">
        <f t="shared" si="223"/>
        <v>115666130</v>
      </c>
      <c r="W440" s="238"/>
      <c r="X440" s="238"/>
      <c r="Y440" s="238"/>
      <c r="Z440" s="238"/>
      <c r="AA440" s="238"/>
      <c r="AB440" s="238"/>
      <c r="AC440" s="231">
        <f t="shared" si="221"/>
        <v>693996780</v>
      </c>
      <c r="AD440" s="264"/>
      <c r="AE440" s="241"/>
      <c r="AF440" s="194"/>
      <c r="AG440" s="194"/>
      <c r="AH440" s="194"/>
      <c r="AI440" s="194"/>
    </row>
    <row r="441" hidden="1">
      <c r="A441" s="126"/>
      <c r="B441" s="195"/>
      <c r="C441" s="196"/>
      <c r="D441" s="286" t="s">
        <v>194</v>
      </c>
      <c r="E441" s="233"/>
      <c r="F441" s="233"/>
      <c r="G441" s="233"/>
      <c r="H441" s="234"/>
      <c r="I441" s="234"/>
      <c r="J441" s="222"/>
      <c r="K441" s="222" t="s">
        <v>606</v>
      </c>
      <c r="L441" s="225"/>
      <c r="M441" s="255"/>
      <c r="N441" s="365"/>
      <c r="O441" s="365"/>
      <c r="P441" s="365"/>
      <c r="Q441" s="228">
        <v>1.1566613E8</v>
      </c>
      <c r="R441" s="230">
        <f t="shared" ref="R441:S441" si="224">Q441</f>
        <v>115666130</v>
      </c>
      <c r="S441" s="228">
        <f t="shared" si="224"/>
        <v>115666130</v>
      </c>
      <c r="T441" s="238"/>
      <c r="U441" s="238"/>
      <c r="V441" s="238"/>
      <c r="W441" s="238"/>
      <c r="X441" s="238"/>
      <c r="Y441" s="238"/>
      <c r="Z441" s="238"/>
      <c r="AA441" s="238"/>
      <c r="AB441" s="238"/>
      <c r="AC441" s="378">
        <f t="shared" si="221"/>
        <v>346998390</v>
      </c>
      <c r="AD441" s="214"/>
      <c r="AE441" s="192"/>
      <c r="AF441" s="194"/>
      <c r="AG441" s="194"/>
      <c r="AH441" s="194"/>
      <c r="AI441" s="194"/>
    </row>
    <row r="442" hidden="1">
      <c r="A442" s="126"/>
      <c r="B442" s="195"/>
      <c r="C442" s="196"/>
      <c r="D442" s="286" t="s">
        <v>621</v>
      </c>
      <c r="E442" s="233"/>
      <c r="F442" s="233"/>
      <c r="G442" s="233"/>
      <c r="H442" s="234"/>
      <c r="I442" s="234"/>
      <c r="J442" s="222"/>
      <c r="K442" s="222" t="s">
        <v>606</v>
      </c>
      <c r="L442" s="225"/>
      <c r="M442" s="255"/>
      <c r="N442" s="365"/>
      <c r="O442" s="365"/>
      <c r="P442" s="365"/>
      <c r="Q442" s="228">
        <v>1.1566613E8</v>
      </c>
      <c r="R442" s="230">
        <f t="shared" ref="R442:S442" si="225">Q442</f>
        <v>115666130</v>
      </c>
      <c r="S442" s="228">
        <f t="shared" si="225"/>
        <v>115666130</v>
      </c>
      <c r="T442" s="238"/>
      <c r="U442" s="238"/>
      <c r="V442" s="238"/>
      <c r="W442" s="238"/>
      <c r="X442" s="238"/>
      <c r="Y442" s="238"/>
      <c r="Z442" s="238"/>
      <c r="AA442" s="238"/>
      <c r="AB442" s="238"/>
      <c r="AC442" s="378">
        <f t="shared" si="221"/>
        <v>346998390</v>
      </c>
      <c r="AD442" s="214"/>
      <c r="AE442" s="192"/>
      <c r="AF442" s="194"/>
      <c r="AG442" s="194"/>
      <c r="AH442" s="194"/>
      <c r="AI442" s="194"/>
    </row>
    <row r="443">
      <c r="A443" s="126"/>
      <c r="B443" s="195"/>
      <c r="C443" s="196">
        <v>3.0</v>
      </c>
      <c r="D443" s="354" t="s">
        <v>622</v>
      </c>
      <c r="E443" s="198" t="s">
        <v>186</v>
      </c>
      <c r="F443" s="198" t="s">
        <v>135</v>
      </c>
      <c r="G443" s="198" t="s">
        <v>135</v>
      </c>
      <c r="H443" s="198" t="s">
        <v>203</v>
      </c>
      <c r="I443" s="198" t="s">
        <v>187</v>
      </c>
      <c r="J443" s="198" t="s">
        <v>188</v>
      </c>
      <c r="K443" s="199" t="s">
        <v>606</v>
      </c>
      <c r="L443" s="632">
        <f>437454101</f>
        <v>437454101</v>
      </c>
      <c r="M443" s="257" t="s">
        <v>623</v>
      </c>
      <c r="N443" s="366"/>
      <c r="O443" s="366">
        <v>45352.0</v>
      </c>
      <c r="P443" s="366">
        <f>O443+244</f>
        <v>45596</v>
      </c>
      <c r="Q443" s="204">
        <v>5.4681763E7</v>
      </c>
      <c r="R443" s="204">
        <v>5.4681763E7</v>
      </c>
      <c r="S443" s="204">
        <v>5.4681763E7</v>
      </c>
      <c r="T443" s="204">
        <v>5.4681763E7</v>
      </c>
      <c r="U443" s="204">
        <v>5.4681763E7</v>
      </c>
      <c r="V443" s="204">
        <v>5.4681763E7</v>
      </c>
      <c r="W443" s="204">
        <v>5.4681763E7</v>
      </c>
      <c r="X443" s="204">
        <v>5.4681763E7</v>
      </c>
      <c r="Y443" s="204">
        <v>5.4681763E7</v>
      </c>
      <c r="Z443" s="204">
        <v>5.4681763E7</v>
      </c>
      <c r="AA443" s="204">
        <v>5.4681763E7</v>
      </c>
      <c r="AB443" s="204">
        <v>5.4681763E7</v>
      </c>
      <c r="AC443" s="205">
        <v>6.56181156E8</v>
      </c>
      <c r="AD443" s="178">
        <f>SUM(Q443:AB443)-AC443</f>
        <v>0</v>
      </c>
      <c r="AE443" s="192"/>
      <c r="AF443" s="194"/>
      <c r="AG443" s="194"/>
      <c r="AH443" s="194"/>
      <c r="AI443" s="194"/>
    </row>
    <row r="444" hidden="1">
      <c r="A444" s="126"/>
      <c r="B444" s="195"/>
      <c r="C444" s="206"/>
      <c r="D444" s="207"/>
      <c r="E444" s="207"/>
      <c r="F444" s="207"/>
      <c r="G444" s="207"/>
      <c r="H444" s="206"/>
      <c r="I444" s="206"/>
      <c r="J444" s="206"/>
      <c r="K444" s="206" t="s">
        <v>606</v>
      </c>
      <c r="L444" s="633">
        <f>590972465-L443</f>
        <v>153518364</v>
      </c>
      <c r="M444" s="218" t="s">
        <v>624</v>
      </c>
      <c r="N444" s="367"/>
      <c r="O444" s="367">
        <f t="shared" ref="O444:O445" si="226">P443+1</f>
        <v>45597</v>
      </c>
      <c r="P444" s="367">
        <f>O444+60</f>
        <v>45657</v>
      </c>
      <c r="Q444" s="212"/>
      <c r="R444" s="212"/>
      <c r="S444" s="212"/>
      <c r="T444" s="212"/>
      <c r="U444" s="212"/>
      <c r="V444" s="212"/>
      <c r="W444" s="212"/>
      <c r="X444" s="212"/>
      <c r="Y444" s="212"/>
      <c r="Z444" s="212"/>
      <c r="AA444" s="212"/>
      <c r="AB444" s="212"/>
      <c r="AC444" s="213">
        <f t="shared" ref="AC444:AC450" si="228">SUM(Q444:AB444)</f>
        <v>0</v>
      </c>
      <c r="AD444" s="273"/>
      <c r="AE444" s="241"/>
      <c r="AF444" s="194"/>
      <c r="AG444" s="194"/>
      <c r="AH444" s="194"/>
      <c r="AI444" s="194"/>
    </row>
    <row r="445" hidden="1">
      <c r="A445" s="126"/>
      <c r="B445" s="195"/>
      <c r="C445" s="242"/>
      <c r="D445" s="215"/>
      <c r="E445" s="207"/>
      <c r="F445" s="207"/>
      <c r="G445" s="207"/>
      <c r="H445" s="206"/>
      <c r="I445" s="206"/>
      <c r="J445" s="206"/>
      <c r="K445" s="206" t="s">
        <v>606</v>
      </c>
      <c r="L445" s="245">
        <f>806679716-L444-L443</f>
        <v>215707251</v>
      </c>
      <c r="M445" s="218" t="s">
        <v>625</v>
      </c>
      <c r="N445" s="367"/>
      <c r="O445" s="367">
        <f t="shared" si="226"/>
        <v>45658</v>
      </c>
      <c r="P445" s="367">
        <f>O445+89</f>
        <v>45747</v>
      </c>
      <c r="Q445" s="268">
        <f>L445/3</f>
        <v>71902417</v>
      </c>
      <c r="R445" s="268">
        <f t="shared" ref="R445:S445" si="227">Q445</f>
        <v>71902417</v>
      </c>
      <c r="S445" s="268">
        <f t="shared" si="227"/>
        <v>71902417</v>
      </c>
      <c r="T445" s="212"/>
      <c r="U445" s="212"/>
      <c r="V445" s="212"/>
      <c r="W445" s="269"/>
      <c r="X445" s="269"/>
      <c r="Y445" s="269"/>
      <c r="Z445" s="269"/>
      <c r="AA445" s="269"/>
      <c r="AB445" s="269"/>
      <c r="AC445" s="213">
        <f t="shared" si="228"/>
        <v>215707251</v>
      </c>
      <c r="AD445" s="271"/>
      <c r="AE445" s="241"/>
      <c r="AF445" s="194"/>
      <c r="AG445" s="194"/>
      <c r="AH445" s="194"/>
      <c r="AI445" s="194"/>
    </row>
    <row r="446" hidden="1">
      <c r="A446" s="126"/>
      <c r="B446" s="195"/>
      <c r="C446" s="242"/>
      <c r="D446" s="215"/>
      <c r="E446" s="207"/>
      <c r="F446" s="207"/>
      <c r="G446" s="207"/>
      <c r="H446" s="206"/>
      <c r="I446" s="206"/>
      <c r="J446" s="206"/>
      <c r="K446" s="206" t="s">
        <v>606</v>
      </c>
      <c r="L446" s="245">
        <f>975053681-(L445+L444+L443)</f>
        <v>168373965</v>
      </c>
      <c r="M446" s="218" t="s">
        <v>626</v>
      </c>
      <c r="N446" s="367"/>
      <c r="O446" s="367">
        <v>45748.0</v>
      </c>
      <c r="P446" s="367">
        <v>45838.0</v>
      </c>
      <c r="Q446" s="269"/>
      <c r="R446" s="269"/>
      <c r="S446" s="269"/>
      <c r="T446" s="212">
        <f>L446/3</f>
        <v>56124655</v>
      </c>
      <c r="U446" s="212">
        <f t="shared" ref="U446:V446" si="229">T446</f>
        <v>56124655</v>
      </c>
      <c r="V446" s="212">
        <f t="shared" si="229"/>
        <v>56124655</v>
      </c>
      <c r="W446" s="269"/>
      <c r="X446" s="269"/>
      <c r="Y446" s="269"/>
      <c r="Z446" s="269"/>
      <c r="AA446" s="269"/>
      <c r="AB446" s="269"/>
      <c r="AC446" s="213">
        <f t="shared" si="228"/>
        <v>168373965</v>
      </c>
      <c r="AD446" s="264"/>
      <c r="AE446" s="241"/>
      <c r="AF446" s="194"/>
      <c r="AG446" s="194"/>
      <c r="AH446" s="194"/>
      <c r="AI446" s="194"/>
    </row>
    <row r="447" hidden="1">
      <c r="A447" s="126"/>
      <c r="B447" s="195"/>
      <c r="C447" s="242"/>
      <c r="D447" s="220" t="s">
        <v>627</v>
      </c>
      <c r="E447" s="207"/>
      <c r="F447" s="207"/>
      <c r="G447" s="207"/>
      <c r="H447" s="206"/>
      <c r="I447" s="206"/>
      <c r="J447" s="206"/>
      <c r="K447" s="206" t="s">
        <v>606</v>
      </c>
      <c r="L447" s="245"/>
      <c r="M447" s="265" t="s">
        <v>299</v>
      </c>
      <c r="N447" s="368"/>
      <c r="O447" s="368">
        <f>P446+1</f>
        <v>45839</v>
      </c>
      <c r="P447" s="367">
        <v>45900.0</v>
      </c>
      <c r="Q447" s="249"/>
      <c r="R447" s="212"/>
      <c r="S447" s="249"/>
      <c r="T447" s="249"/>
      <c r="U447" s="249"/>
      <c r="V447" s="269"/>
      <c r="W447" s="269"/>
      <c r="X447" s="269"/>
      <c r="Y447" s="269"/>
      <c r="Z447" s="269"/>
      <c r="AA447" s="269"/>
      <c r="AB447" s="269"/>
      <c r="AC447" s="213">
        <f t="shared" si="228"/>
        <v>0</v>
      </c>
      <c r="AD447" s="273"/>
      <c r="AE447" s="192"/>
      <c r="AF447" s="194"/>
      <c r="AG447" s="194"/>
      <c r="AH447" s="194"/>
      <c r="AI447" s="194"/>
    </row>
    <row r="448" hidden="1">
      <c r="A448" s="126"/>
      <c r="B448" s="195"/>
      <c r="C448" s="196"/>
      <c r="D448" s="542" t="s">
        <v>628</v>
      </c>
      <c r="E448" s="224"/>
      <c r="F448" s="224"/>
      <c r="G448" s="224"/>
      <c r="H448" s="222"/>
      <c r="I448" s="222"/>
      <c r="J448" s="222"/>
      <c r="K448" s="222" t="s">
        <v>606</v>
      </c>
      <c r="L448" s="346"/>
      <c r="M448" s="255"/>
      <c r="N448" s="365"/>
      <c r="O448" s="365"/>
      <c r="P448" s="365"/>
      <c r="Q448" s="228">
        <v>7.1902417E7</v>
      </c>
      <c r="R448" s="230">
        <f t="shared" ref="R448:S448" si="230">Q448</f>
        <v>71902417</v>
      </c>
      <c r="S448" s="228">
        <f t="shared" si="230"/>
        <v>71902417</v>
      </c>
      <c r="T448" s="228">
        <v>5.6124655E7</v>
      </c>
      <c r="U448" s="228">
        <f t="shared" ref="U448:V448" si="231">T448</f>
        <v>56124655</v>
      </c>
      <c r="V448" s="238">
        <f t="shared" si="231"/>
        <v>56124655</v>
      </c>
      <c r="W448" s="238"/>
      <c r="X448" s="238"/>
      <c r="Y448" s="238"/>
      <c r="Z448" s="238"/>
      <c r="AA448" s="238"/>
      <c r="AB448" s="238"/>
      <c r="AC448" s="231">
        <f t="shared" si="228"/>
        <v>384081216</v>
      </c>
      <c r="AD448" s="273"/>
      <c r="AE448" s="192"/>
      <c r="AF448" s="194"/>
      <c r="AG448" s="194"/>
      <c r="AH448" s="194"/>
      <c r="AI448" s="194"/>
    </row>
    <row r="449" hidden="1">
      <c r="A449" s="126"/>
      <c r="B449" s="195"/>
      <c r="C449" s="196"/>
      <c r="D449" s="286" t="s">
        <v>194</v>
      </c>
      <c r="E449" s="233"/>
      <c r="F449" s="233"/>
      <c r="G449" s="233"/>
      <c r="H449" s="234"/>
      <c r="I449" s="234"/>
      <c r="J449" s="222"/>
      <c r="K449" s="222" t="s">
        <v>606</v>
      </c>
      <c r="L449" s="346"/>
      <c r="M449" s="255"/>
      <c r="N449" s="365"/>
      <c r="O449" s="365"/>
      <c r="P449" s="365"/>
      <c r="Q449" s="228">
        <v>7.1902417E7</v>
      </c>
      <c r="R449" s="230">
        <f t="shared" ref="R449:S449" si="232">Q449</f>
        <v>71902417</v>
      </c>
      <c r="S449" s="228">
        <f t="shared" si="232"/>
        <v>71902417</v>
      </c>
      <c r="T449" s="228">
        <v>5.6124655E7</v>
      </c>
      <c r="U449" s="228">
        <f t="shared" ref="U449:U450" si="234">T449</f>
        <v>56124655</v>
      </c>
      <c r="V449" s="238"/>
      <c r="W449" s="238"/>
      <c r="X449" s="238"/>
      <c r="Y449" s="238"/>
      <c r="Z449" s="238"/>
      <c r="AA449" s="238"/>
      <c r="AB449" s="238"/>
      <c r="AC449" s="378">
        <f t="shared" si="228"/>
        <v>327956561</v>
      </c>
      <c r="AD449" s="214"/>
      <c r="AE449" s="192"/>
      <c r="AF449" s="194"/>
      <c r="AG449" s="194"/>
      <c r="AH449" s="194"/>
      <c r="AI449" s="194"/>
    </row>
    <row r="450" hidden="1">
      <c r="A450" s="126"/>
      <c r="B450" s="195"/>
      <c r="C450" s="196"/>
      <c r="D450" s="286" t="s">
        <v>629</v>
      </c>
      <c r="E450" s="233"/>
      <c r="F450" s="233"/>
      <c r="G450" s="233"/>
      <c r="H450" s="234"/>
      <c r="I450" s="234"/>
      <c r="J450" s="222"/>
      <c r="K450" s="222" t="s">
        <v>606</v>
      </c>
      <c r="L450" s="346"/>
      <c r="M450" s="255"/>
      <c r="N450" s="365"/>
      <c r="O450" s="365"/>
      <c r="P450" s="365"/>
      <c r="Q450" s="228">
        <v>7.1902417E7</v>
      </c>
      <c r="R450" s="230">
        <f t="shared" ref="R450:S450" si="233">Q450</f>
        <v>71902417</v>
      </c>
      <c r="S450" s="228">
        <f t="shared" si="233"/>
        <v>71902417</v>
      </c>
      <c r="T450" s="228">
        <v>5.6124655E7</v>
      </c>
      <c r="U450" s="228">
        <f t="shared" si="234"/>
        <v>56124655</v>
      </c>
      <c r="V450" s="238"/>
      <c r="W450" s="238"/>
      <c r="X450" s="238"/>
      <c r="Y450" s="238"/>
      <c r="Z450" s="238"/>
      <c r="AA450" s="238"/>
      <c r="AB450" s="238"/>
      <c r="AC450" s="378">
        <f t="shared" si="228"/>
        <v>327956561</v>
      </c>
      <c r="AD450" s="214"/>
      <c r="AE450" s="192"/>
      <c r="AF450" s="194"/>
      <c r="AG450" s="194"/>
      <c r="AH450" s="194"/>
      <c r="AI450" s="194"/>
    </row>
    <row r="451">
      <c r="A451" s="126"/>
      <c r="B451" s="195"/>
      <c r="C451" s="196">
        <v>4.0</v>
      </c>
      <c r="D451" s="634" t="s">
        <v>630</v>
      </c>
      <c r="E451" s="198" t="s">
        <v>186</v>
      </c>
      <c r="F451" s="198" t="s">
        <v>103</v>
      </c>
      <c r="G451" s="198" t="s">
        <v>86</v>
      </c>
      <c r="H451" s="198" t="s">
        <v>86</v>
      </c>
      <c r="I451" s="198" t="s">
        <v>187</v>
      </c>
      <c r="J451" s="198" t="s">
        <v>188</v>
      </c>
      <c r="K451" s="199" t="s">
        <v>606</v>
      </c>
      <c r="L451" s="347">
        <v>3.83021337E8</v>
      </c>
      <c r="M451" s="257" t="s">
        <v>631</v>
      </c>
      <c r="N451" s="366"/>
      <c r="O451" s="366">
        <v>45352.0</v>
      </c>
      <c r="P451" s="366">
        <v>45716.0</v>
      </c>
      <c r="Q451" s="204">
        <v>3.1918445E7</v>
      </c>
      <c r="R451" s="204">
        <v>3.1918445E7</v>
      </c>
      <c r="S451" s="204">
        <v>3.1918445E7</v>
      </c>
      <c r="T451" s="204">
        <v>3.1918445E7</v>
      </c>
      <c r="U451" s="204">
        <v>3.1918445E7</v>
      </c>
      <c r="V451" s="204">
        <v>3.1918445E7</v>
      </c>
      <c r="W451" s="204">
        <v>3.1918445E7</v>
      </c>
      <c r="X451" s="204">
        <v>3.1918445E7</v>
      </c>
      <c r="Y451" s="204">
        <v>3.1918445E7</v>
      </c>
      <c r="Z451" s="204">
        <v>3.1918445E7</v>
      </c>
      <c r="AA451" s="204">
        <v>3.1918445E7</v>
      </c>
      <c r="AB451" s="204">
        <v>3.1918445E7</v>
      </c>
      <c r="AC451" s="205">
        <v>3.8302134E8</v>
      </c>
      <c r="AD451" s="178">
        <f>SUM(Q451:AB451)-AC451</f>
        <v>0</v>
      </c>
      <c r="AE451" s="241"/>
      <c r="AF451" s="194"/>
      <c r="AG451" s="194"/>
      <c r="AH451" s="194"/>
      <c r="AI451" s="194"/>
    </row>
    <row r="452" hidden="1">
      <c r="A452" s="126"/>
      <c r="B452" s="195"/>
      <c r="C452" s="206"/>
      <c r="D452" s="215"/>
      <c r="E452" s="207"/>
      <c r="F452" s="207"/>
      <c r="G452" s="207"/>
      <c r="H452" s="206"/>
      <c r="I452" s="206"/>
      <c r="J452" s="206"/>
      <c r="K452" s="206" t="s">
        <v>606</v>
      </c>
      <c r="L452" s="245">
        <v>3.83021337E8</v>
      </c>
      <c r="M452" s="209" t="s">
        <v>632</v>
      </c>
      <c r="N452" s="367"/>
      <c r="O452" s="367">
        <v>45352.0</v>
      </c>
      <c r="P452" s="367">
        <v>45716.0</v>
      </c>
      <c r="Q452" s="212">
        <f>L451/12</f>
        <v>31918444.75</v>
      </c>
      <c r="R452" s="212">
        <f t="shared" ref="R452:R456" si="235">Q452</f>
        <v>31918444.75</v>
      </c>
      <c r="S452" s="212"/>
      <c r="T452" s="212"/>
      <c r="U452" s="212"/>
      <c r="V452" s="212"/>
      <c r="W452" s="212"/>
      <c r="X452" s="212"/>
      <c r="Y452" s="212"/>
      <c r="Z452" s="212"/>
      <c r="AA452" s="212"/>
      <c r="AB452" s="212"/>
      <c r="AC452" s="213">
        <f t="shared" ref="AC452:AC466" si="237">SUM(Q452:AB452)</f>
        <v>63836889.5</v>
      </c>
      <c r="AD452" s="273"/>
      <c r="AE452" s="241"/>
      <c r="AF452" s="194"/>
      <c r="AG452" s="194"/>
      <c r="AH452" s="194"/>
      <c r="AI452" s="194"/>
    </row>
    <row r="453" hidden="1">
      <c r="A453" s="635"/>
      <c r="B453" s="636"/>
      <c r="C453" s="497"/>
      <c r="D453" s="220"/>
      <c r="E453" s="260"/>
      <c r="F453" s="260"/>
      <c r="G453" s="260"/>
      <c r="H453" s="221"/>
      <c r="I453" s="221"/>
      <c r="J453" s="221"/>
      <c r="K453" s="221" t="s">
        <v>606</v>
      </c>
      <c r="L453" s="217">
        <f>411371051*1.11</f>
        <v>456621866.6</v>
      </c>
      <c r="M453" s="218" t="s">
        <v>633</v>
      </c>
      <c r="N453" s="382"/>
      <c r="O453" s="382">
        <v>45717.0</v>
      </c>
      <c r="P453" s="382">
        <v>46081.0</v>
      </c>
      <c r="Q453" s="269"/>
      <c r="R453" s="269" t="str">
        <f t="shared" si="235"/>
        <v/>
      </c>
      <c r="S453" s="268">
        <f>L453/12</f>
        <v>38051822.22</v>
      </c>
      <c r="T453" s="268">
        <f t="shared" ref="T453:AB453" si="236">S453</f>
        <v>38051822.22</v>
      </c>
      <c r="U453" s="268">
        <f t="shared" si="236"/>
        <v>38051822.22</v>
      </c>
      <c r="V453" s="268">
        <f t="shared" si="236"/>
        <v>38051822.22</v>
      </c>
      <c r="W453" s="268">
        <f t="shared" si="236"/>
        <v>38051822.22</v>
      </c>
      <c r="X453" s="268">
        <f t="shared" si="236"/>
        <v>38051822.22</v>
      </c>
      <c r="Y453" s="268">
        <f t="shared" si="236"/>
        <v>38051822.22</v>
      </c>
      <c r="Z453" s="268">
        <f t="shared" si="236"/>
        <v>38051822.22</v>
      </c>
      <c r="AA453" s="268">
        <f t="shared" si="236"/>
        <v>38051822.22</v>
      </c>
      <c r="AB453" s="268">
        <f t="shared" si="236"/>
        <v>38051822.22</v>
      </c>
      <c r="AC453" s="637">
        <f t="shared" si="237"/>
        <v>380518222.2</v>
      </c>
      <c r="AD453" s="638"/>
      <c r="AE453" s="639"/>
      <c r="AF453" s="640"/>
      <c r="AG453" s="640"/>
      <c r="AH453" s="640"/>
      <c r="AI453" s="640"/>
    </row>
    <row r="454" hidden="1">
      <c r="A454" s="126"/>
      <c r="B454" s="392"/>
      <c r="C454" s="196"/>
      <c r="D454" s="250" t="s">
        <v>634</v>
      </c>
      <c r="E454" s="224"/>
      <c r="F454" s="224"/>
      <c r="G454" s="224"/>
      <c r="H454" s="222"/>
      <c r="I454" s="222"/>
      <c r="J454" s="222"/>
      <c r="K454" s="222" t="s">
        <v>606</v>
      </c>
      <c r="L454" s="346"/>
      <c r="M454" s="255"/>
      <c r="N454" s="365"/>
      <c r="O454" s="365"/>
      <c r="P454" s="365"/>
      <c r="Q454" s="228">
        <v>3.7854443E7</v>
      </c>
      <c r="R454" s="230">
        <f t="shared" si="235"/>
        <v>37854443</v>
      </c>
      <c r="S454" s="229">
        <f t="shared" ref="S454:V454" si="238">R454</f>
        <v>37854443</v>
      </c>
      <c r="T454" s="229">
        <f t="shared" si="238"/>
        <v>37854443</v>
      </c>
      <c r="U454" s="229">
        <f t="shared" si="238"/>
        <v>37854443</v>
      </c>
      <c r="V454" s="229">
        <f t="shared" si="238"/>
        <v>37854443</v>
      </c>
      <c r="W454" s="228"/>
      <c r="X454" s="275"/>
      <c r="Y454" s="275"/>
      <c r="Z454" s="275"/>
      <c r="AA454" s="275"/>
      <c r="AB454" s="275"/>
      <c r="AC454" s="231">
        <f t="shared" si="237"/>
        <v>227126658</v>
      </c>
      <c r="AD454" s="273"/>
      <c r="AE454" s="241"/>
      <c r="AF454" s="194"/>
      <c r="AG454" s="194"/>
      <c r="AH454" s="194"/>
      <c r="AI454" s="194"/>
    </row>
    <row r="455" hidden="1">
      <c r="A455" s="126"/>
      <c r="B455" s="392"/>
      <c r="C455" s="433"/>
      <c r="D455" s="286" t="s">
        <v>194</v>
      </c>
      <c r="E455" s="641"/>
      <c r="F455" s="642"/>
      <c r="G455" s="641"/>
      <c r="H455" s="643"/>
      <c r="I455" s="643"/>
      <c r="J455" s="511"/>
      <c r="K455" s="222" t="s">
        <v>606</v>
      </c>
      <c r="L455" s="426"/>
      <c r="M455" s="644"/>
      <c r="N455" s="428"/>
      <c r="O455" s="428"/>
      <c r="P455" s="428"/>
      <c r="Q455" s="228">
        <v>3.7854443E7</v>
      </c>
      <c r="R455" s="230">
        <f t="shared" si="235"/>
        <v>37854443</v>
      </c>
      <c r="S455" s="614"/>
      <c r="T455" s="614"/>
      <c r="U455" s="614"/>
      <c r="V455" s="614"/>
      <c r="W455" s="614"/>
      <c r="X455" s="614"/>
      <c r="Y455" s="614"/>
      <c r="Z455" s="614"/>
      <c r="AA455" s="614"/>
      <c r="AB455" s="614"/>
      <c r="AC455" s="378">
        <f t="shared" si="237"/>
        <v>75708886</v>
      </c>
      <c r="AD455" s="273"/>
      <c r="AE455" s="241"/>
      <c r="AF455" s="194"/>
      <c r="AG455" s="194"/>
      <c r="AH455" s="194"/>
      <c r="AI455" s="194"/>
    </row>
    <row r="456" hidden="1">
      <c r="A456" s="126"/>
      <c r="B456" s="392"/>
      <c r="C456" s="433"/>
      <c r="D456" s="286" t="s">
        <v>635</v>
      </c>
      <c r="E456" s="641"/>
      <c r="F456" s="642"/>
      <c r="G456" s="641"/>
      <c r="H456" s="643"/>
      <c r="I456" s="643"/>
      <c r="J456" s="511"/>
      <c r="K456" s="222" t="s">
        <v>606</v>
      </c>
      <c r="L456" s="426"/>
      <c r="M456" s="644"/>
      <c r="N456" s="428"/>
      <c r="O456" s="428"/>
      <c r="P456" s="428"/>
      <c r="Q456" s="228">
        <v>3.7854443E7</v>
      </c>
      <c r="R456" s="230">
        <f t="shared" si="235"/>
        <v>37854443</v>
      </c>
      <c r="S456" s="614"/>
      <c r="T456" s="614"/>
      <c r="U456" s="614"/>
      <c r="V456" s="614"/>
      <c r="W456" s="614"/>
      <c r="X456" s="614"/>
      <c r="Y456" s="614"/>
      <c r="Z456" s="614"/>
      <c r="AA456" s="614"/>
      <c r="AB456" s="614"/>
      <c r="AC456" s="378">
        <f t="shared" si="237"/>
        <v>75708886</v>
      </c>
      <c r="AD456" s="273"/>
      <c r="AE456" s="241"/>
      <c r="AF456" s="194"/>
      <c r="AG456" s="194"/>
      <c r="AH456" s="194"/>
      <c r="AI456" s="194"/>
    </row>
    <row r="457">
      <c r="A457" s="126"/>
      <c r="B457" s="645"/>
      <c r="C457" s="433">
        <v>5.0</v>
      </c>
      <c r="D457" s="646" t="s">
        <v>636</v>
      </c>
      <c r="E457" s="198" t="s">
        <v>186</v>
      </c>
      <c r="F457" s="198" t="s">
        <v>103</v>
      </c>
      <c r="G457" s="198" t="s">
        <v>135</v>
      </c>
      <c r="H457" s="198" t="s">
        <v>203</v>
      </c>
      <c r="I457" s="198" t="s">
        <v>187</v>
      </c>
      <c r="J457" s="198" t="s">
        <v>188</v>
      </c>
      <c r="K457" s="529" t="s">
        <v>606</v>
      </c>
      <c r="L457" s="436">
        <f>140543980*1.11</f>
        <v>156003817.8</v>
      </c>
      <c r="M457" s="647" t="s">
        <v>637</v>
      </c>
      <c r="N457" s="438"/>
      <c r="O457" s="438">
        <v>45729.0</v>
      </c>
      <c r="P457" s="438">
        <v>46093.0</v>
      </c>
      <c r="Q457" s="617"/>
      <c r="R457" s="617"/>
      <c r="S457" s="617">
        <f t="shared" ref="S457:AB457" si="239">150000000/10</f>
        <v>15000000</v>
      </c>
      <c r="T457" s="617">
        <f t="shared" si="239"/>
        <v>15000000</v>
      </c>
      <c r="U457" s="617">
        <f t="shared" si="239"/>
        <v>15000000</v>
      </c>
      <c r="V457" s="617">
        <f t="shared" si="239"/>
        <v>15000000</v>
      </c>
      <c r="W457" s="617">
        <f t="shared" si="239"/>
        <v>15000000</v>
      </c>
      <c r="X457" s="617">
        <f t="shared" si="239"/>
        <v>15000000</v>
      </c>
      <c r="Y457" s="617">
        <f t="shared" si="239"/>
        <v>15000000</v>
      </c>
      <c r="Z457" s="617">
        <f t="shared" si="239"/>
        <v>15000000</v>
      </c>
      <c r="AA457" s="617">
        <f t="shared" si="239"/>
        <v>15000000</v>
      </c>
      <c r="AB457" s="617">
        <f t="shared" si="239"/>
        <v>15000000</v>
      </c>
      <c r="AC457" s="619">
        <f t="shared" si="237"/>
        <v>150000000</v>
      </c>
      <c r="AD457" s="620"/>
      <c r="AE457" s="241"/>
      <c r="AF457" s="194"/>
      <c r="AG457" s="194"/>
      <c r="AH457" s="194"/>
      <c r="AI457" s="194"/>
    </row>
    <row r="458" hidden="1">
      <c r="A458" s="126"/>
      <c r="B458" s="645"/>
      <c r="C458" s="206"/>
      <c r="D458" s="215"/>
      <c r="E458" s="207"/>
      <c r="F458" s="207"/>
      <c r="G458" s="207"/>
      <c r="H458" s="206"/>
      <c r="I458" s="206"/>
      <c r="J458" s="221"/>
      <c r="K458" s="221" t="s">
        <v>606</v>
      </c>
      <c r="L458" s="282"/>
      <c r="M458" s="265"/>
      <c r="N458" s="368"/>
      <c r="O458" s="368"/>
      <c r="P458" s="648">
        <f>P457</f>
        <v>46093</v>
      </c>
      <c r="Q458" s="212"/>
      <c r="R458" s="212"/>
      <c r="S458" s="626">
        <f>L457/12</f>
        <v>13000318.15</v>
      </c>
      <c r="T458" s="626">
        <f t="shared" ref="T458:AB458" si="240">S458</f>
        <v>13000318.15</v>
      </c>
      <c r="U458" s="626">
        <f t="shared" si="240"/>
        <v>13000318.15</v>
      </c>
      <c r="V458" s="626">
        <f t="shared" si="240"/>
        <v>13000318.15</v>
      </c>
      <c r="W458" s="626">
        <f t="shared" si="240"/>
        <v>13000318.15</v>
      </c>
      <c r="X458" s="626">
        <f t="shared" si="240"/>
        <v>13000318.15</v>
      </c>
      <c r="Y458" s="626">
        <f t="shared" si="240"/>
        <v>13000318.15</v>
      </c>
      <c r="Z458" s="626">
        <f t="shared" si="240"/>
        <v>13000318.15</v>
      </c>
      <c r="AA458" s="626">
        <f t="shared" si="240"/>
        <v>13000318.15</v>
      </c>
      <c r="AB458" s="626">
        <f t="shared" si="240"/>
        <v>13000318.15</v>
      </c>
      <c r="AC458" s="628">
        <f t="shared" si="237"/>
        <v>130003181.5</v>
      </c>
      <c r="AD458" s="273"/>
      <c r="AE458" s="241"/>
      <c r="AF458" s="194"/>
      <c r="AG458" s="194"/>
      <c r="AH458" s="194"/>
      <c r="AI458" s="194"/>
    </row>
    <row r="459" hidden="1">
      <c r="A459" s="126"/>
      <c r="B459" s="645"/>
      <c r="C459" s="196"/>
      <c r="D459" s="250" t="s">
        <v>638</v>
      </c>
      <c r="E459" s="224"/>
      <c r="F459" s="224"/>
      <c r="G459" s="224"/>
      <c r="H459" s="222"/>
      <c r="I459" s="222"/>
      <c r="J459" s="222"/>
      <c r="K459" s="222" t="s">
        <v>606</v>
      </c>
      <c r="L459" s="346"/>
      <c r="M459" s="255"/>
      <c r="N459" s="365"/>
      <c r="O459" s="365"/>
      <c r="P459" s="365"/>
      <c r="Q459" s="230"/>
      <c r="R459" s="230"/>
      <c r="S459" s="228">
        <v>1.3000318E7</v>
      </c>
      <c r="T459" s="228">
        <v>1.3000318E7</v>
      </c>
      <c r="U459" s="270">
        <v>1.3000318E7</v>
      </c>
      <c r="V459" s="238">
        <f>U459</f>
        <v>13000318</v>
      </c>
      <c r="W459" s="230"/>
      <c r="X459" s="230"/>
      <c r="Y459" s="230"/>
      <c r="Z459" s="230"/>
      <c r="AA459" s="230"/>
      <c r="AB459" s="230"/>
      <c r="AC459" s="231">
        <f t="shared" si="237"/>
        <v>52001272</v>
      </c>
      <c r="AD459" s="273"/>
      <c r="AE459" s="192"/>
      <c r="AF459" s="194"/>
      <c r="AG459" s="194"/>
      <c r="AH459" s="194"/>
      <c r="AI459" s="194"/>
    </row>
    <row r="460" hidden="1">
      <c r="A460" s="126"/>
      <c r="B460" s="645"/>
      <c r="C460" s="196"/>
      <c r="D460" s="286" t="s">
        <v>194</v>
      </c>
      <c r="E460" s="649"/>
      <c r="F460" s="649"/>
      <c r="G460" s="649"/>
      <c r="H460" s="222"/>
      <c r="I460" s="222"/>
      <c r="J460" s="222"/>
      <c r="K460" s="222" t="s">
        <v>606</v>
      </c>
      <c r="L460" s="346"/>
      <c r="M460" s="255"/>
      <c r="N460" s="365"/>
      <c r="O460" s="365"/>
      <c r="P460" s="365"/>
      <c r="Q460" s="230"/>
      <c r="R460" s="230"/>
      <c r="S460" s="228">
        <v>1.3000318E7</v>
      </c>
      <c r="T460" s="228">
        <v>1.3000318E7</v>
      </c>
      <c r="U460" s="229">
        <v>1.3000318E7</v>
      </c>
      <c r="V460" s="230"/>
      <c r="W460" s="346"/>
      <c r="X460" s="346"/>
      <c r="Y460" s="346"/>
      <c r="Z460" s="346"/>
      <c r="AA460" s="346"/>
      <c r="AB460" s="346"/>
      <c r="AC460" s="378">
        <f t="shared" si="237"/>
        <v>39000954</v>
      </c>
      <c r="AD460" s="214"/>
      <c r="AE460" s="192"/>
      <c r="AF460" s="194"/>
      <c r="AG460" s="194"/>
      <c r="AH460" s="194"/>
      <c r="AI460" s="194"/>
    </row>
    <row r="461" hidden="1">
      <c r="A461" s="126"/>
      <c r="B461" s="645"/>
      <c r="C461" s="196"/>
      <c r="D461" s="286" t="s">
        <v>639</v>
      </c>
      <c r="E461" s="649"/>
      <c r="F461" s="649"/>
      <c r="G461" s="649"/>
      <c r="H461" s="222"/>
      <c r="I461" s="222"/>
      <c r="J461" s="222"/>
      <c r="K461" s="222" t="s">
        <v>606</v>
      </c>
      <c r="L461" s="346"/>
      <c r="M461" s="255"/>
      <c r="N461" s="365"/>
      <c r="O461" s="365"/>
      <c r="P461" s="365"/>
      <c r="Q461" s="230"/>
      <c r="R461" s="230"/>
      <c r="S461" s="228">
        <v>1.3000318E7</v>
      </c>
      <c r="T461" s="228">
        <v>1.3000318E7</v>
      </c>
      <c r="U461" s="230"/>
      <c r="V461" s="230"/>
      <c r="W461" s="346"/>
      <c r="X461" s="346"/>
      <c r="Y461" s="346"/>
      <c r="Z461" s="346"/>
      <c r="AA461" s="346"/>
      <c r="AB461" s="346"/>
      <c r="AC461" s="378">
        <f t="shared" si="237"/>
        <v>26000636</v>
      </c>
      <c r="AD461" s="214"/>
      <c r="AE461" s="192"/>
      <c r="AF461" s="194"/>
      <c r="AG461" s="194"/>
      <c r="AH461" s="194"/>
      <c r="AI461" s="194"/>
    </row>
    <row r="462">
      <c r="A462" s="126"/>
      <c r="B462" s="555"/>
      <c r="C462" s="196">
        <v>6.0</v>
      </c>
      <c r="D462" s="650" t="s">
        <v>640</v>
      </c>
      <c r="E462" s="198" t="s">
        <v>186</v>
      </c>
      <c r="F462" s="198" t="s">
        <v>305</v>
      </c>
      <c r="G462" s="198" t="s">
        <v>92</v>
      </c>
      <c r="H462" s="198" t="s">
        <v>306</v>
      </c>
      <c r="I462" s="198" t="s">
        <v>187</v>
      </c>
      <c r="J462" s="198" t="s">
        <v>188</v>
      </c>
      <c r="K462" s="606" t="s">
        <v>606</v>
      </c>
      <c r="L462" s="436">
        <f>249302052
</f>
        <v>249302052</v>
      </c>
      <c r="M462" s="479" t="s">
        <v>641</v>
      </c>
      <c r="N462" s="438"/>
      <c r="O462" s="438">
        <v>45809.0</v>
      </c>
      <c r="P462" s="438">
        <v>46173.0</v>
      </c>
      <c r="Q462" s="439"/>
      <c r="R462" s="439"/>
      <c r="S462" s="439"/>
      <c r="T462" s="439"/>
      <c r="U462" s="439"/>
      <c r="V462" s="439"/>
      <c r="W462" s="651"/>
      <c r="X462" s="651"/>
      <c r="Y462" s="651"/>
      <c r="Z462" s="651"/>
      <c r="AA462" s="651"/>
      <c r="AB462" s="651"/>
      <c r="AC462" s="440">
        <f t="shared" si="237"/>
        <v>0</v>
      </c>
      <c r="AD462" s="178">
        <f>SUM(Q462:AB462)-AC462</f>
        <v>0</v>
      </c>
      <c r="AE462" s="241"/>
      <c r="AF462" s="194"/>
      <c r="AG462" s="194"/>
      <c r="AH462" s="194"/>
      <c r="AI462" s="194"/>
    </row>
    <row r="463" hidden="1">
      <c r="A463" s="126"/>
      <c r="B463" s="555"/>
      <c r="C463" s="242"/>
      <c r="D463" s="220" t="s">
        <v>642</v>
      </c>
      <c r="E463" s="215"/>
      <c r="F463" s="215"/>
      <c r="G463" s="215"/>
      <c r="H463" s="206"/>
      <c r="I463" s="206"/>
      <c r="J463" s="221"/>
      <c r="K463" s="523" t="s">
        <v>606</v>
      </c>
      <c r="L463" s="444"/>
      <c r="M463" s="485"/>
      <c r="N463" s="446"/>
      <c r="O463" s="446"/>
      <c r="P463" s="446"/>
      <c r="Q463" s="447"/>
      <c r="R463" s="447"/>
      <c r="S463" s="447"/>
      <c r="T463" s="447"/>
      <c r="U463" s="447"/>
      <c r="V463" s="447">
        <f>L462/12</f>
        <v>20775171</v>
      </c>
      <c r="W463" s="444">
        <f t="shared" ref="W463:AB463" si="241">V463</f>
        <v>20775171</v>
      </c>
      <c r="X463" s="444">
        <f t="shared" si="241"/>
        <v>20775171</v>
      </c>
      <c r="Y463" s="444">
        <f t="shared" si="241"/>
        <v>20775171</v>
      </c>
      <c r="Z463" s="444">
        <f t="shared" si="241"/>
        <v>20775171</v>
      </c>
      <c r="AA463" s="444">
        <f t="shared" si="241"/>
        <v>20775171</v>
      </c>
      <c r="AB463" s="444">
        <f t="shared" si="241"/>
        <v>20775171</v>
      </c>
      <c r="AC463" s="449">
        <f t="shared" si="237"/>
        <v>145426197</v>
      </c>
      <c r="AD463" s="499"/>
      <c r="AE463" s="241"/>
      <c r="AF463" s="194"/>
      <c r="AG463" s="194"/>
      <c r="AH463" s="194"/>
      <c r="AI463" s="194"/>
    </row>
    <row r="464" hidden="1">
      <c r="A464" s="126"/>
      <c r="B464" s="555"/>
      <c r="C464" s="222"/>
      <c r="D464" s="250" t="s">
        <v>643</v>
      </c>
      <c r="E464" s="224"/>
      <c r="F464" s="224"/>
      <c r="G464" s="224"/>
      <c r="H464" s="222"/>
      <c r="I464" s="222"/>
      <c r="J464" s="222"/>
      <c r="K464" s="222" t="s">
        <v>606</v>
      </c>
      <c r="L464" s="346"/>
      <c r="M464" s="255"/>
      <c r="N464" s="365"/>
      <c r="O464" s="365"/>
      <c r="P464" s="365"/>
      <c r="Q464" s="230"/>
      <c r="R464" s="230"/>
      <c r="S464" s="228"/>
      <c r="T464" s="230"/>
      <c r="U464" s="230"/>
      <c r="V464" s="238">
        <f>V463</f>
        <v>20775171</v>
      </c>
      <c r="W464" s="230"/>
      <c r="X464" s="230"/>
      <c r="Y464" s="230"/>
      <c r="Z464" s="230"/>
      <c r="AA464" s="230"/>
      <c r="AB464" s="230"/>
      <c r="AC464" s="231">
        <f t="shared" si="237"/>
        <v>20775171</v>
      </c>
      <c r="AD464" s="273"/>
      <c r="AE464" s="192"/>
      <c r="AF464" s="194"/>
      <c r="AG464" s="194"/>
      <c r="AH464" s="194"/>
      <c r="AI464" s="194"/>
    </row>
    <row r="465" hidden="1">
      <c r="A465" s="126"/>
      <c r="B465" s="555"/>
      <c r="C465" s="222"/>
      <c r="D465" s="286" t="s">
        <v>194</v>
      </c>
      <c r="E465" s="233"/>
      <c r="F465" s="233"/>
      <c r="G465" s="233"/>
      <c r="H465" s="234"/>
      <c r="I465" s="234"/>
      <c r="J465" s="222"/>
      <c r="K465" s="222" t="s">
        <v>606</v>
      </c>
      <c r="L465" s="287"/>
      <c r="M465" s="236"/>
      <c r="N465" s="285"/>
      <c r="O465" s="285"/>
      <c r="P465" s="285"/>
      <c r="Q465" s="288"/>
      <c r="R465" s="288"/>
      <c r="S465" s="288"/>
      <c r="T465" s="288"/>
      <c r="U465" s="288"/>
      <c r="V465" s="288"/>
      <c r="W465" s="288"/>
      <c r="X465" s="288"/>
      <c r="Y465" s="288"/>
      <c r="Z465" s="288"/>
      <c r="AA465" s="288"/>
      <c r="AB465" s="288"/>
      <c r="AC465" s="378">
        <f t="shared" si="237"/>
        <v>0</v>
      </c>
      <c r="AD465" s="273"/>
      <c r="AE465" s="192"/>
      <c r="AF465" s="194"/>
      <c r="AG465" s="194"/>
      <c r="AH465" s="194"/>
      <c r="AI465" s="194"/>
    </row>
    <row r="466" hidden="1">
      <c r="A466" s="126"/>
      <c r="B466" s="555"/>
      <c r="C466" s="222"/>
      <c r="D466" s="286" t="s">
        <v>644</v>
      </c>
      <c r="E466" s="233"/>
      <c r="F466" s="233"/>
      <c r="G466" s="233"/>
      <c r="H466" s="234"/>
      <c r="I466" s="234"/>
      <c r="J466" s="222"/>
      <c r="K466" s="222" t="s">
        <v>606</v>
      </c>
      <c r="L466" s="287"/>
      <c r="M466" s="236"/>
      <c r="N466" s="285"/>
      <c r="O466" s="285"/>
      <c r="P466" s="285"/>
      <c r="Q466" s="288"/>
      <c r="R466" s="288"/>
      <c r="S466" s="288"/>
      <c r="T466" s="288"/>
      <c r="U466" s="288"/>
      <c r="V466" s="288"/>
      <c r="W466" s="288"/>
      <c r="X466" s="288"/>
      <c r="Y466" s="288"/>
      <c r="Z466" s="288"/>
      <c r="AA466" s="288"/>
      <c r="AB466" s="288"/>
      <c r="AC466" s="378">
        <f t="shared" si="237"/>
        <v>0</v>
      </c>
      <c r="AD466" s="273"/>
      <c r="AE466" s="192"/>
      <c r="AF466" s="194"/>
      <c r="AG466" s="194"/>
      <c r="AH466" s="194"/>
      <c r="AI466" s="194"/>
    </row>
    <row r="467" hidden="1">
      <c r="A467" s="126"/>
      <c r="B467" s="181"/>
      <c r="C467" s="289"/>
      <c r="D467" s="290" t="s">
        <v>645</v>
      </c>
      <c r="E467" s="487"/>
      <c r="F467" s="487"/>
      <c r="G467" s="487"/>
      <c r="H467" s="291"/>
      <c r="I467" s="291"/>
      <c r="J467" s="292"/>
      <c r="K467" s="292" t="s">
        <v>606</v>
      </c>
      <c r="L467" s="293"/>
      <c r="M467" s="294"/>
      <c r="N467" s="295"/>
      <c r="O467" s="295"/>
      <c r="P467" s="295"/>
      <c r="Q467" s="296">
        <f t="shared" ref="Q467:AC467" si="242">Q429+Q430+Q431+Q436+Q437+Q438+Q439+Q444+Q445+Q446+Q447+Q452+Q453</f>
        <v>389244305.1</v>
      </c>
      <c r="R467" s="296">
        <f t="shared" si="242"/>
        <v>389244305.1</v>
      </c>
      <c r="S467" s="296">
        <f t="shared" si="242"/>
        <v>395377682.6</v>
      </c>
      <c r="T467" s="296">
        <f t="shared" si="242"/>
        <v>398273225</v>
      </c>
      <c r="U467" s="296">
        <f t="shared" si="242"/>
        <v>398273225</v>
      </c>
      <c r="V467" s="296">
        <f t="shared" si="242"/>
        <v>398273225</v>
      </c>
      <c r="W467" s="296">
        <f t="shared" si="242"/>
        <v>226482439</v>
      </c>
      <c r="X467" s="296">
        <f t="shared" si="242"/>
        <v>226482439</v>
      </c>
      <c r="Y467" s="296">
        <f t="shared" si="242"/>
        <v>38051822.22</v>
      </c>
      <c r="Z467" s="296">
        <f t="shared" si="242"/>
        <v>38051822.22</v>
      </c>
      <c r="AA467" s="296">
        <f t="shared" si="242"/>
        <v>38051822.22</v>
      </c>
      <c r="AB467" s="296">
        <f t="shared" si="242"/>
        <v>38051822.22</v>
      </c>
      <c r="AC467" s="297">
        <f t="shared" si="242"/>
        <v>2973858134</v>
      </c>
      <c r="AD467" s="273"/>
      <c r="AE467" s="241"/>
      <c r="AF467" s="194"/>
      <c r="AG467" s="194"/>
      <c r="AH467" s="194"/>
      <c r="AI467" s="194"/>
    </row>
    <row r="468" hidden="1">
      <c r="A468" s="126"/>
      <c r="B468" s="298"/>
      <c r="C468" s="299"/>
      <c r="D468" s="300" t="s">
        <v>646</v>
      </c>
      <c r="E468" s="488"/>
      <c r="F468" s="488"/>
      <c r="G468" s="488"/>
      <c r="H468" s="301"/>
      <c r="I468" s="301"/>
      <c r="J468" s="489"/>
      <c r="K468" s="489" t="s">
        <v>606</v>
      </c>
      <c r="L468" s="304"/>
      <c r="M468" s="305"/>
      <c r="N468" s="306"/>
      <c r="O468" s="306"/>
      <c r="P468" s="306"/>
      <c r="Q468" s="307">
        <f t="shared" ref="Q468:AB468" si="243">Q432+Q440+Q448+Q454+Q459+Q464</f>
        <v>413853606</v>
      </c>
      <c r="R468" s="307">
        <f t="shared" si="243"/>
        <v>413853606</v>
      </c>
      <c r="S468" s="490">
        <f t="shared" si="243"/>
        <v>426853924</v>
      </c>
      <c r="T468" s="490">
        <f t="shared" si="243"/>
        <v>411076162</v>
      </c>
      <c r="U468" s="490">
        <f t="shared" si="243"/>
        <v>411076162</v>
      </c>
      <c r="V468" s="490">
        <f t="shared" si="243"/>
        <v>431851333</v>
      </c>
      <c r="W468" s="307">
        <f t="shared" si="243"/>
        <v>0</v>
      </c>
      <c r="X468" s="307">
        <f t="shared" si="243"/>
        <v>0</v>
      </c>
      <c r="Y468" s="307">
        <f t="shared" si="243"/>
        <v>0</v>
      </c>
      <c r="Z468" s="307">
        <f t="shared" si="243"/>
        <v>0</v>
      </c>
      <c r="AA468" s="307">
        <f t="shared" si="243"/>
        <v>0</v>
      </c>
      <c r="AB468" s="307">
        <f t="shared" si="243"/>
        <v>0</v>
      </c>
      <c r="AC468" s="309">
        <f t="shared" ref="AC468:AC470" si="245">SUM(Q468:AB468)</f>
        <v>2508564793</v>
      </c>
      <c r="AD468" s="264"/>
      <c r="AE468" s="241"/>
      <c r="AF468" s="310">
        <f t="shared" ref="AF468:AF469" si="246">AC468-AC469</f>
        <v>1153608154</v>
      </c>
      <c r="AG468" s="311" t="s">
        <v>226</v>
      </c>
      <c r="AH468" s="194"/>
      <c r="AI468" s="194"/>
    </row>
    <row r="469" hidden="1">
      <c r="A469" s="126"/>
      <c r="B469" s="652"/>
      <c r="C469" s="653"/>
      <c r="D469" s="313" t="s">
        <v>647</v>
      </c>
      <c r="E469" s="331"/>
      <c r="F469" s="331"/>
      <c r="G469" s="331"/>
      <c r="H469" s="199"/>
      <c r="I469" s="199"/>
      <c r="J469" s="222"/>
      <c r="K469" s="222" t="s">
        <v>606</v>
      </c>
      <c r="L469" s="287"/>
      <c r="M469" s="236"/>
      <c r="N469" s="285"/>
      <c r="O469" s="285"/>
      <c r="P469" s="285"/>
      <c r="Q469" s="288">
        <f t="shared" ref="Q469:V469" si="244">Q433+Q441+Q449+Q455+Q460+Q465</f>
        <v>413853606</v>
      </c>
      <c r="R469" s="288">
        <f t="shared" si="244"/>
        <v>413853606</v>
      </c>
      <c r="S469" s="314">
        <f t="shared" si="244"/>
        <v>388999481</v>
      </c>
      <c r="T469" s="314">
        <f t="shared" si="244"/>
        <v>69124973</v>
      </c>
      <c r="U469" s="314">
        <f t="shared" si="244"/>
        <v>69124973</v>
      </c>
      <c r="V469" s="314">
        <f t="shared" si="244"/>
        <v>0</v>
      </c>
      <c r="W469" s="288"/>
      <c r="X469" s="288"/>
      <c r="Y469" s="288"/>
      <c r="Z469" s="288"/>
      <c r="AA469" s="288"/>
      <c r="AB469" s="288"/>
      <c r="AC469" s="378">
        <f t="shared" si="245"/>
        <v>1354956639</v>
      </c>
      <c r="AD469" s="214"/>
      <c r="AE469" s="192"/>
      <c r="AF469" s="316">
        <f t="shared" si="246"/>
        <v>13000318</v>
      </c>
      <c r="AG469" s="311" t="s">
        <v>228</v>
      </c>
      <c r="AH469" s="194"/>
      <c r="AI469" s="194"/>
    </row>
    <row r="470" hidden="1">
      <c r="A470" s="126"/>
      <c r="B470" s="652"/>
      <c r="C470" s="654"/>
      <c r="D470" s="318" t="s">
        <v>648</v>
      </c>
      <c r="E470" s="493"/>
      <c r="F470" s="493"/>
      <c r="G470" s="493"/>
      <c r="H470" s="494"/>
      <c r="I470" s="494"/>
      <c r="J470" s="320"/>
      <c r="K470" s="320" t="s">
        <v>606</v>
      </c>
      <c r="L470" s="321"/>
      <c r="M470" s="322"/>
      <c r="N470" s="323"/>
      <c r="O470" s="323"/>
      <c r="P470" s="323"/>
      <c r="Q470" s="324">
        <f t="shared" ref="Q470:V470" si="247">Q434+Q442+Q450+Q456+Q461+Q466</f>
        <v>413853606</v>
      </c>
      <c r="R470" s="324">
        <f t="shared" si="247"/>
        <v>413853606</v>
      </c>
      <c r="S470" s="325">
        <f t="shared" si="247"/>
        <v>388999481</v>
      </c>
      <c r="T470" s="325">
        <f t="shared" si="247"/>
        <v>69124973</v>
      </c>
      <c r="U470" s="325">
        <f t="shared" si="247"/>
        <v>56124655</v>
      </c>
      <c r="V470" s="325">
        <f t="shared" si="247"/>
        <v>0</v>
      </c>
      <c r="W470" s="324"/>
      <c r="X470" s="324"/>
      <c r="Y470" s="324"/>
      <c r="Z470" s="324"/>
      <c r="AA470" s="324"/>
      <c r="AB470" s="324"/>
      <c r="AC470" s="539">
        <f t="shared" si="245"/>
        <v>1341956321</v>
      </c>
      <c r="AD470" s="214"/>
      <c r="AE470" s="192"/>
      <c r="AF470" s="328">
        <f>AC470</f>
        <v>1341956321</v>
      </c>
      <c r="AG470" s="311" t="s">
        <v>148</v>
      </c>
      <c r="AH470" s="194"/>
      <c r="AI470" s="194"/>
    </row>
    <row r="471">
      <c r="A471" s="126"/>
      <c r="B471" s="655">
        <v>11.0</v>
      </c>
      <c r="C471" s="656" t="s">
        <v>153</v>
      </c>
      <c r="D471" s="330"/>
      <c r="E471" s="496"/>
      <c r="F471" s="496"/>
      <c r="G471" s="496"/>
      <c r="H471" s="332"/>
      <c r="I471" s="332"/>
      <c r="J471" s="333"/>
      <c r="K471" s="333" t="s">
        <v>649</v>
      </c>
      <c r="L471" s="334" t="str">
        <f>L472+L479+#REF!+L495+L518+L523</f>
        <v>#REF!</v>
      </c>
      <c r="M471" s="335"/>
      <c r="N471" s="336"/>
      <c r="O471" s="336"/>
      <c r="P471" s="336"/>
      <c r="Q471" s="337">
        <f t="shared" ref="Q471:AC471" si="248">Q472+Q478+Q485</f>
        <v>639858228</v>
      </c>
      <c r="R471" s="337">
        <f t="shared" si="248"/>
        <v>639858228</v>
      </c>
      <c r="S471" s="337">
        <f t="shared" si="248"/>
        <v>639858228</v>
      </c>
      <c r="T471" s="337">
        <f t="shared" si="248"/>
        <v>1294758228</v>
      </c>
      <c r="U471" s="337">
        <f t="shared" si="248"/>
        <v>639858228</v>
      </c>
      <c r="V471" s="337">
        <f t="shared" si="248"/>
        <v>639858228</v>
      </c>
      <c r="W471" s="337">
        <f t="shared" si="248"/>
        <v>639858228</v>
      </c>
      <c r="X471" s="337">
        <f t="shared" si="248"/>
        <v>639858228</v>
      </c>
      <c r="Y471" s="337">
        <f t="shared" si="248"/>
        <v>639858228</v>
      </c>
      <c r="Z471" s="337">
        <f t="shared" si="248"/>
        <v>639858228</v>
      </c>
      <c r="AA471" s="337">
        <f t="shared" si="248"/>
        <v>639858228</v>
      </c>
      <c r="AB471" s="337">
        <f t="shared" si="248"/>
        <v>639858228</v>
      </c>
      <c r="AC471" s="338">
        <f t="shared" si="248"/>
        <v>8333198736</v>
      </c>
      <c r="AD471" s="178">
        <f>AC471-AE471</f>
        <v>0</v>
      </c>
      <c r="AE471" s="192">
        <f>'Proker New'!Y82</f>
        <v>8333198736</v>
      </c>
      <c r="AF471" s="193" t="str">
        <f>C471</f>
        <v>Belitung - Tanjung Pandan (TJQ)</v>
      </c>
      <c r="AG471" s="194"/>
      <c r="AH471" s="194"/>
      <c r="AI471" s="194"/>
    </row>
    <row r="472">
      <c r="A472" s="126"/>
      <c r="B472" s="195"/>
      <c r="C472" s="196">
        <v>1.0</v>
      </c>
      <c r="D472" s="197" t="s">
        <v>650</v>
      </c>
      <c r="E472" s="198" t="s">
        <v>186</v>
      </c>
      <c r="F472" s="198" t="s">
        <v>103</v>
      </c>
      <c r="G472" s="198" t="s">
        <v>86</v>
      </c>
      <c r="H472" s="198" t="s">
        <v>86</v>
      </c>
      <c r="I472" s="198" t="s">
        <v>187</v>
      </c>
      <c r="J472" s="198" t="s">
        <v>188</v>
      </c>
      <c r="K472" s="199" t="s">
        <v>649</v>
      </c>
      <c r="L472" s="347">
        <v>1.05E9</v>
      </c>
      <c r="M472" s="257" t="s">
        <v>651</v>
      </c>
      <c r="N472" s="366"/>
      <c r="O472" s="366">
        <v>45474.0</v>
      </c>
      <c r="P472" s="366">
        <v>45838.0</v>
      </c>
      <c r="Q472" s="204">
        <v>8.1766667E7</v>
      </c>
      <c r="R472" s="204">
        <v>8.1766667E7</v>
      </c>
      <c r="S472" s="204">
        <v>8.1766667E7</v>
      </c>
      <c r="T472" s="204">
        <v>8.1766667E7</v>
      </c>
      <c r="U472" s="204">
        <v>8.1766667E7</v>
      </c>
      <c r="V472" s="204">
        <v>8.1766667E7</v>
      </c>
      <c r="W472" s="204">
        <v>8.1766667E7</v>
      </c>
      <c r="X472" s="204">
        <v>8.1766667E7</v>
      </c>
      <c r="Y472" s="204">
        <v>8.1766667E7</v>
      </c>
      <c r="Z472" s="204">
        <v>8.1766667E7</v>
      </c>
      <c r="AA472" s="204">
        <v>8.1766667E7</v>
      </c>
      <c r="AB472" s="204">
        <v>8.1766667E7</v>
      </c>
      <c r="AC472" s="205">
        <v>9.81200004E8</v>
      </c>
      <c r="AD472" s="178">
        <f>SUM(Q472:AB472)-AC472</f>
        <v>0</v>
      </c>
      <c r="AE472" s="192"/>
      <c r="AF472" s="194"/>
      <c r="AG472" s="194"/>
      <c r="AH472" s="194"/>
      <c r="AI472" s="194"/>
    </row>
    <row r="473" hidden="1">
      <c r="A473" s="126"/>
      <c r="B473" s="195"/>
      <c r="C473" s="206"/>
      <c r="D473" s="207"/>
      <c r="E473" s="207"/>
      <c r="F473" s="207"/>
      <c r="G473" s="207"/>
      <c r="H473" s="206"/>
      <c r="I473" s="206"/>
      <c r="J473" s="206"/>
      <c r="K473" s="206" t="s">
        <v>649</v>
      </c>
      <c r="L473" s="277">
        <f>L472</f>
        <v>1050000000</v>
      </c>
      <c r="M473" s="209" t="s">
        <v>652</v>
      </c>
      <c r="N473" s="367"/>
      <c r="O473" s="367">
        <v>45474.0</v>
      </c>
      <c r="P473" s="367">
        <v>45838.0</v>
      </c>
      <c r="Q473" s="249">
        <f>L473/12</f>
        <v>87500000</v>
      </c>
      <c r="R473" s="249">
        <f t="shared" ref="R473:V473" si="249">Q473</f>
        <v>87500000</v>
      </c>
      <c r="S473" s="249">
        <f t="shared" si="249"/>
        <v>87500000</v>
      </c>
      <c r="T473" s="249">
        <f t="shared" si="249"/>
        <v>87500000</v>
      </c>
      <c r="U473" s="249">
        <f t="shared" si="249"/>
        <v>87500000</v>
      </c>
      <c r="V473" s="249">
        <f t="shared" si="249"/>
        <v>87500000</v>
      </c>
      <c r="W473" s="212"/>
      <c r="X473" s="212"/>
      <c r="Y473" s="212"/>
      <c r="Z473" s="212"/>
      <c r="AA473" s="212"/>
      <c r="AB473" s="212"/>
      <c r="AC473" s="213">
        <f t="shared" ref="AC473:AC477" si="250">SUM(Q473:AB473)</f>
        <v>525000000</v>
      </c>
      <c r="AD473" s="273"/>
      <c r="AE473" s="241"/>
      <c r="AF473" s="194"/>
      <c r="AG473" s="194"/>
      <c r="AH473" s="194"/>
      <c r="AI473" s="194"/>
    </row>
    <row r="474" hidden="1">
      <c r="A474" s="126"/>
      <c r="B474" s="195"/>
      <c r="C474" s="206"/>
      <c r="D474" s="220" t="s">
        <v>653</v>
      </c>
      <c r="E474" s="207"/>
      <c r="F474" s="207"/>
      <c r="G474" s="207"/>
      <c r="H474" s="206"/>
      <c r="I474" s="206"/>
      <c r="J474" s="206"/>
      <c r="K474" s="206" t="s">
        <v>649</v>
      </c>
      <c r="L474" s="277"/>
      <c r="M474" s="265" t="s">
        <v>237</v>
      </c>
      <c r="N474" s="367"/>
      <c r="O474" s="367">
        <f>P473+1</f>
        <v>45839</v>
      </c>
      <c r="P474" s="367">
        <v>45900.0</v>
      </c>
      <c r="Q474" s="249"/>
      <c r="R474" s="249"/>
      <c r="S474" s="249"/>
      <c r="T474" s="249"/>
      <c r="U474" s="249"/>
      <c r="V474" s="249"/>
      <c r="W474" s="212"/>
      <c r="X474" s="212"/>
      <c r="Y474" s="212"/>
      <c r="Z474" s="212"/>
      <c r="AA474" s="212"/>
      <c r="AB474" s="212"/>
      <c r="AC474" s="213">
        <f t="shared" si="250"/>
        <v>0</v>
      </c>
      <c r="AD474" s="271"/>
      <c r="AE474" s="241"/>
      <c r="AF474" s="194"/>
      <c r="AG474" s="194"/>
      <c r="AH474" s="194"/>
      <c r="AI474" s="194"/>
    </row>
    <row r="475" hidden="1">
      <c r="A475" s="126"/>
      <c r="B475" s="195"/>
      <c r="C475" s="222"/>
      <c r="D475" s="250" t="s">
        <v>654</v>
      </c>
      <c r="E475" s="224"/>
      <c r="F475" s="224"/>
      <c r="G475" s="224"/>
      <c r="H475" s="222"/>
      <c r="I475" s="222"/>
      <c r="J475" s="222"/>
      <c r="K475" s="222" t="s">
        <v>649</v>
      </c>
      <c r="L475" s="225"/>
      <c r="M475" s="236"/>
      <c r="N475" s="365"/>
      <c r="O475" s="365"/>
      <c r="P475" s="285"/>
      <c r="Q475" s="228">
        <f t="shared" ref="Q475:Q477" si="252">97125000</f>
        <v>97125000</v>
      </c>
      <c r="R475" s="228">
        <f t="shared" ref="R475:V475" si="251">Q475</f>
        <v>97125000</v>
      </c>
      <c r="S475" s="228">
        <f t="shared" si="251"/>
        <v>97125000</v>
      </c>
      <c r="T475" s="228">
        <f t="shared" si="251"/>
        <v>97125000</v>
      </c>
      <c r="U475" s="228">
        <f t="shared" si="251"/>
        <v>97125000</v>
      </c>
      <c r="V475" s="229">
        <f t="shared" si="251"/>
        <v>97125000</v>
      </c>
      <c r="W475" s="230"/>
      <c r="X475" s="230"/>
      <c r="Y475" s="230"/>
      <c r="Z475" s="230"/>
      <c r="AA475" s="230"/>
      <c r="AB475" s="230"/>
      <c r="AC475" s="231">
        <f t="shared" si="250"/>
        <v>582750000</v>
      </c>
      <c r="AD475" s="264"/>
      <c r="AE475" s="241"/>
      <c r="AF475" s="194"/>
      <c r="AG475" s="194"/>
      <c r="AH475" s="194"/>
      <c r="AI475" s="194"/>
    </row>
    <row r="476" hidden="1">
      <c r="A476" s="126"/>
      <c r="B476" s="195"/>
      <c r="C476" s="196"/>
      <c r="D476" s="286" t="s">
        <v>194</v>
      </c>
      <c r="E476" s="233"/>
      <c r="F476" s="233"/>
      <c r="G476" s="233"/>
      <c r="H476" s="234"/>
      <c r="I476" s="234"/>
      <c r="J476" s="222"/>
      <c r="K476" s="222" t="s">
        <v>649</v>
      </c>
      <c r="L476" s="346"/>
      <c r="M476" s="255"/>
      <c r="N476" s="365"/>
      <c r="O476" s="365"/>
      <c r="P476" s="365"/>
      <c r="Q476" s="228">
        <f t="shared" si="252"/>
        <v>97125000</v>
      </c>
      <c r="R476" s="228">
        <f t="shared" ref="R476:U476" si="253">Q476</f>
        <v>97125000</v>
      </c>
      <c r="S476" s="228">
        <f t="shared" si="253"/>
        <v>97125000</v>
      </c>
      <c r="T476" s="228">
        <f t="shared" si="253"/>
        <v>97125000</v>
      </c>
      <c r="U476" s="228">
        <f t="shared" si="253"/>
        <v>97125000</v>
      </c>
      <c r="V476" s="238"/>
      <c r="W476" s="238"/>
      <c r="X476" s="238"/>
      <c r="Y476" s="238"/>
      <c r="Z476" s="238"/>
      <c r="AA476" s="238"/>
      <c r="AB476" s="238"/>
      <c r="AC476" s="378">
        <f t="shared" si="250"/>
        <v>485625000</v>
      </c>
      <c r="AD476" s="214"/>
      <c r="AE476" s="192"/>
      <c r="AF476" s="194"/>
      <c r="AG476" s="194"/>
      <c r="AH476" s="194"/>
      <c r="AI476" s="194"/>
    </row>
    <row r="477" hidden="1">
      <c r="A477" s="126"/>
      <c r="B477" s="195"/>
      <c r="C477" s="196"/>
      <c r="D477" s="286" t="s">
        <v>655</v>
      </c>
      <c r="E477" s="233"/>
      <c r="F477" s="233"/>
      <c r="G477" s="233"/>
      <c r="H477" s="234"/>
      <c r="I477" s="234"/>
      <c r="J477" s="222"/>
      <c r="K477" s="222" t="s">
        <v>649</v>
      </c>
      <c r="L477" s="346"/>
      <c r="M477" s="255"/>
      <c r="N477" s="365"/>
      <c r="O477" s="365"/>
      <c r="P477" s="365"/>
      <c r="Q477" s="228">
        <f t="shared" si="252"/>
        <v>97125000</v>
      </c>
      <c r="R477" s="228">
        <f t="shared" ref="R477:U477" si="254">Q477</f>
        <v>97125000</v>
      </c>
      <c r="S477" s="228">
        <f t="shared" si="254"/>
        <v>97125000</v>
      </c>
      <c r="T477" s="228">
        <f t="shared" si="254"/>
        <v>97125000</v>
      </c>
      <c r="U477" s="228">
        <f t="shared" si="254"/>
        <v>97125000</v>
      </c>
      <c r="V477" s="238"/>
      <c r="W477" s="238"/>
      <c r="X477" s="238"/>
      <c r="Y477" s="238"/>
      <c r="Z477" s="238"/>
      <c r="AA477" s="238"/>
      <c r="AB477" s="238"/>
      <c r="AC477" s="378">
        <f t="shared" si="250"/>
        <v>485625000</v>
      </c>
      <c r="AD477" s="214"/>
      <c r="AE477" s="192"/>
      <c r="AF477" s="194"/>
      <c r="AG477" s="194"/>
      <c r="AH477" s="194"/>
      <c r="AI477" s="194"/>
    </row>
    <row r="478">
      <c r="A478" s="126"/>
      <c r="B478" s="195"/>
      <c r="C478" s="196">
        <v>2.0</v>
      </c>
      <c r="D478" s="197" t="s">
        <v>656</v>
      </c>
      <c r="E478" s="198" t="s">
        <v>186</v>
      </c>
      <c r="F478" s="198" t="s">
        <v>88</v>
      </c>
      <c r="G478" s="198" t="s">
        <v>88</v>
      </c>
      <c r="H478" s="198" t="s">
        <v>218</v>
      </c>
      <c r="I478" s="198" t="s">
        <v>187</v>
      </c>
      <c r="J478" s="198" t="s">
        <v>188</v>
      </c>
      <c r="K478" s="199" t="s">
        <v>649</v>
      </c>
      <c r="L478" s="347">
        <f>6923430000</f>
        <v>6923430000</v>
      </c>
      <c r="M478" s="257" t="s">
        <v>657</v>
      </c>
      <c r="N478" s="366"/>
      <c r="O478" s="366">
        <v>45352.0</v>
      </c>
      <c r="P478" s="366">
        <v>45716.0</v>
      </c>
      <c r="Q478" s="204">
        <v>5.58091561E8</v>
      </c>
      <c r="R478" s="204">
        <v>5.58091561E8</v>
      </c>
      <c r="S478" s="204">
        <v>5.58091561E8</v>
      </c>
      <c r="T478" s="204">
        <v>5.58091561E8</v>
      </c>
      <c r="U478" s="204">
        <v>5.58091561E8</v>
      </c>
      <c r="V478" s="204">
        <v>5.58091561E8</v>
      </c>
      <c r="W478" s="204">
        <v>5.58091561E8</v>
      </c>
      <c r="X478" s="204">
        <v>5.58091561E8</v>
      </c>
      <c r="Y478" s="204">
        <v>5.58091561E8</v>
      </c>
      <c r="Z478" s="204">
        <v>5.58091561E8</v>
      </c>
      <c r="AA478" s="204">
        <v>5.58091561E8</v>
      </c>
      <c r="AB478" s="204">
        <v>5.58091561E8</v>
      </c>
      <c r="AC478" s="205">
        <v>6.697098732E9</v>
      </c>
      <c r="AD478" s="178">
        <f>SUM(Q478:AB478)-AC478</f>
        <v>0</v>
      </c>
      <c r="AE478" s="192"/>
      <c r="AF478" s="194"/>
      <c r="AG478" s="194"/>
      <c r="AH478" s="194"/>
      <c r="AI478" s="194"/>
    </row>
    <row r="479" hidden="1">
      <c r="A479" s="126"/>
      <c r="B479" s="195"/>
      <c r="C479" s="206"/>
      <c r="D479" s="207"/>
      <c r="E479" s="207"/>
      <c r="F479" s="207"/>
      <c r="G479" s="207"/>
      <c r="H479" s="206"/>
      <c r="I479" s="206"/>
      <c r="J479" s="206"/>
      <c r="K479" s="206" t="s">
        <v>649</v>
      </c>
      <c r="L479" s="245">
        <v>5.9691E8</v>
      </c>
      <c r="M479" s="209" t="s">
        <v>658</v>
      </c>
      <c r="N479" s="367"/>
      <c r="O479" s="367">
        <v>45352.0</v>
      </c>
      <c r="P479" s="367">
        <v>45747.0</v>
      </c>
      <c r="Q479" s="212">
        <v>5.58091561E8</v>
      </c>
      <c r="R479" s="212">
        <v>5.58091561E8</v>
      </c>
      <c r="S479" s="212">
        <v>5.58091561E8</v>
      </c>
      <c r="T479" s="212"/>
      <c r="U479" s="212"/>
      <c r="V479" s="212"/>
      <c r="W479" s="212"/>
      <c r="X479" s="212"/>
      <c r="Y479" s="212"/>
      <c r="Z479" s="212"/>
      <c r="AA479" s="212"/>
      <c r="AB479" s="212"/>
      <c r="AC479" s="213">
        <f t="shared" ref="AC479:AC489" si="256">SUM(Q479:AB479)</f>
        <v>1674274683</v>
      </c>
      <c r="AD479" s="273"/>
      <c r="AE479" s="241"/>
      <c r="AF479" s="194"/>
      <c r="AG479" s="194"/>
      <c r="AH479" s="194"/>
      <c r="AI479" s="194"/>
    </row>
    <row r="480" hidden="1">
      <c r="A480" s="126"/>
      <c r="B480" s="657"/>
      <c r="C480" s="658"/>
      <c r="D480" s="659"/>
      <c r="E480" s="207"/>
      <c r="F480" s="207"/>
      <c r="G480" s="207"/>
      <c r="H480" s="206"/>
      <c r="I480" s="206"/>
      <c r="J480" s="206"/>
      <c r="K480" s="206" t="s">
        <v>649</v>
      </c>
      <c r="L480" s="277">
        <f>9271154000-L479-L478</f>
        <v>1750814000</v>
      </c>
      <c r="M480" s="218" t="s">
        <v>659</v>
      </c>
      <c r="N480" s="367"/>
      <c r="O480" s="367">
        <v>45748.0</v>
      </c>
      <c r="P480" s="367">
        <v>45838.0</v>
      </c>
      <c r="Q480" s="212"/>
      <c r="R480" s="212"/>
      <c r="S480" s="212"/>
      <c r="T480" s="212">
        <f>L480/3</f>
        <v>583604666.7</v>
      </c>
      <c r="U480" s="212">
        <f t="shared" ref="U480:V480" si="255">T480</f>
        <v>583604666.7</v>
      </c>
      <c r="V480" s="212">
        <f t="shared" si="255"/>
        <v>583604666.7</v>
      </c>
      <c r="W480" s="212"/>
      <c r="X480" s="212"/>
      <c r="Y480" s="212"/>
      <c r="Z480" s="212"/>
      <c r="AA480" s="212"/>
      <c r="AB480" s="212"/>
      <c r="AC480" s="213">
        <f t="shared" si="256"/>
        <v>1750814000</v>
      </c>
      <c r="AD480" s="264"/>
      <c r="AE480" s="241"/>
      <c r="AF480" s="194"/>
      <c r="AG480" s="194"/>
      <c r="AH480" s="194"/>
      <c r="AI480" s="194"/>
    </row>
    <row r="481" hidden="1">
      <c r="A481" s="126"/>
      <c r="B481" s="657"/>
      <c r="C481" s="658"/>
      <c r="D481" s="220" t="s">
        <v>653</v>
      </c>
      <c r="E481" s="207"/>
      <c r="F481" s="207"/>
      <c r="G481" s="207"/>
      <c r="H481" s="206"/>
      <c r="I481" s="206"/>
      <c r="J481" s="206"/>
      <c r="K481" s="206" t="s">
        <v>649</v>
      </c>
      <c r="L481" s="277"/>
      <c r="M481" s="265" t="s">
        <v>237</v>
      </c>
      <c r="N481" s="389"/>
      <c r="O481" s="389">
        <f>P480+1</f>
        <v>45839</v>
      </c>
      <c r="P481" s="367">
        <v>45900.0</v>
      </c>
      <c r="Q481" s="212"/>
      <c r="R481" s="212"/>
      <c r="S481" s="212"/>
      <c r="T481" s="212"/>
      <c r="U481" s="212"/>
      <c r="V481" s="212"/>
      <c r="W481" s="212"/>
      <c r="X481" s="212"/>
      <c r="Y481" s="212"/>
      <c r="Z481" s="212"/>
      <c r="AA481" s="212"/>
      <c r="AB481" s="212"/>
      <c r="AC481" s="213">
        <f t="shared" si="256"/>
        <v>0</v>
      </c>
      <c r="AD481" s="273"/>
      <c r="AE481" s="192"/>
      <c r="AF481" s="194"/>
      <c r="AG481" s="194"/>
      <c r="AH481" s="194"/>
      <c r="AI481" s="194"/>
    </row>
    <row r="482" hidden="1">
      <c r="A482" s="126"/>
      <c r="B482" s="657"/>
      <c r="C482" s="660"/>
      <c r="D482" s="250" t="s">
        <v>660</v>
      </c>
      <c r="E482" s="224"/>
      <c r="F482" s="224"/>
      <c r="G482" s="224"/>
      <c r="H482" s="222"/>
      <c r="I482" s="222"/>
      <c r="J482" s="222"/>
      <c r="K482" s="222" t="s">
        <v>649</v>
      </c>
      <c r="L482" s="225"/>
      <c r="M482" s="236"/>
      <c r="N482" s="285"/>
      <c r="O482" s="285"/>
      <c r="P482" s="285"/>
      <c r="Q482" s="228">
        <v>6.03281097E8</v>
      </c>
      <c r="R482" s="228">
        <v>6.03442185E8</v>
      </c>
      <c r="S482" s="228">
        <v>6.03703423E8</v>
      </c>
      <c r="T482" s="228">
        <v>6.03712131E8</v>
      </c>
      <c r="U482" s="228">
        <v>5.97348056E8</v>
      </c>
      <c r="V482" s="229">
        <v>5.97409008E8</v>
      </c>
      <c r="W482" s="230"/>
      <c r="X482" s="230"/>
      <c r="Y482" s="230"/>
      <c r="Z482" s="230"/>
      <c r="AA482" s="230"/>
      <c r="AB482" s="230"/>
      <c r="AC482" s="231">
        <f t="shared" si="256"/>
        <v>3608895900</v>
      </c>
      <c r="AD482" s="273"/>
      <c r="AE482" s="192"/>
      <c r="AF482" s="194"/>
      <c r="AG482" s="194"/>
      <c r="AH482" s="194"/>
      <c r="AI482" s="194"/>
    </row>
    <row r="483" hidden="1">
      <c r="A483" s="126"/>
      <c r="B483" s="657"/>
      <c r="C483" s="660"/>
      <c r="D483" s="286" t="s">
        <v>194</v>
      </c>
      <c r="E483" s="527"/>
      <c r="F483" s="454"/>
      <c r="G483" s="527"/>
      <c r="H483" s="510"/>
      <c r="I483" s="510"/>
      <c r="J483" s="511"/>
      <c r="K483" s="222" t="s">
        <v>649</v>
      </c>
      <c r="L483" s="512"/>
      <c r="M483" s="513"/>
      <c r="N483" s="514"/>
      <c r="O483" s="514"/>
      <c r="P483" s="514"/>
      <c r="Q483" s="228">
        <v>6.03281097E8</v>
      </c>
      <c r="R483" s="228">
        <v>6.03442185E8</v>
      </c>
      <c r="S483" s="228">
        <v>6.03703423E8</v>
      </c>
      <c r="T483" s="228">
        <v>6.03712131E8</v>
      </c>
      <c r="U483" s="228">
        <v>5.97348056E8</v>
      </c>
      <c r="V483" s="452"/>
      <c r="W483" s="452"/>
      <c r="X483" s="452"/>
      <c r="Y483" s="452"/>
      <c r="Z483" s="452"/>
      <c r="AA483" s="452"/>
      <c r="AB483" s="452"/>
      <c r="AC483" s="378">
        <f t="shared" si="256"/>
        <v>3011486892</v>
      </c>
      <c r="AD483" s="284"/>
      <c r="AE483" s="192"/>
      <c r="AF483" s="194"/>
      <c r="AG483" s="194"/>
      <c r="AH483" s="194"/>
      <c r="AI483" s="194"/>
    </row>
    <row r="484" hidden="1">
      <c r="A484" s="126"/>
      <c r="B484" s="657"/>
      <c r="C484" s="660"/>
      <c r="D484" s="286" t="s">
        <v>661</v>
      </c>
      <c r="E484" s="527"/>
      <c r="F484" s="454"/>
      <c r="G484" s="527"/>
      <c r="H484" s="510"/>
      <c r="I484" s="510"/>
      <c r="J484" s="511"/>
      <c r="K484" s="222" t="s">
        <v>649</v>
      </c>
      <c r="L484" s="512"/>
      <c r="M484" s="513"/>
      <c r="N484" s="514"/>
      <c r="O484" s="514"/>
      <c r="P484" s="514"/>
      <c r="Q484" s="228">
        <v>6.03281097E8</v>
      </c>
      <c r="R484" s="228">
        <v>6.03442185E8</v>
      </c>
      <c r="S484" s="228">
        <v>6.03703423E8</v>
      </c>
      <c r="T484" s="228">
        <v>6.03712131E8</v>
      </c>
      <c r="U484" s="228">
        <v>5.97348056E8</v>
      </c>
      <c r="V484" s="452"/>
      <c r="W484" s="452"/>
      <c r="X484" s="452"/>
      <c r="Y484" s="452"/>
      <c r="Z484" s="452"/>
      <c r="AA484" s="452"/>
      <c r="AB484" s="452"/>
      <c r="AC484" s="378">
        <f t="shared" si="256"/>
        <v>3011486892</v>
      </c>
      <c r="AD484" s="284"/>
      <c r="AE484" s="192"/>
      <c r="AF484" s="194"/>
      <c r="AG484" s="194"/>
      <c r="AH484" s="194"/>
      <c r="AI484" s="194"/>
    </row>
    <row r="485">
      <c r="A485" s="391"/>
      <c r="B485" s="421"/>
      <c r="C485" s="661">
        <v>3.0</v>
      </c>
      <c r="D485" s="516" t="s">
        <v>662</v>
      </c>
      <c r="E485" s="198" t="s">
        <v>326</v>
      </c>
      <c r="F485" s="198" t="s">
        <v>103</v>
      </c>
      <c r="G485" s="198" t="s">
        <v>84</v>
      </c>
      <c r="H485" s="198" t="s">
        <v>328</v>
      </c>
      <c r="I485" s="198" t="s">
        <v>187</v>
      </c>
      <c r="J485" s="198" t="s">
        <v>188</v>
      </c>
      <c r="K485" s="517" t="s">
        <v>649</v>
      </c>
      <c r="L485" s="662">
        <v>5.9E8</v>
      </c>
      <c r="M485" s="663" t="s">
        <v>663</v>
      </c>
      <c r="N485" s="664"/>
      <c r="O485" s="664">
        <v>45575.0</v>
      </c>
      <c r="P485" s="664">
        <f>O485+180-1</f>
        <v>45754</v>
      </c>
      <c r="Q485" s="521"/>
      <c r="R485" s="521"/>
      <c r="S485" s="521"/>
      <c r="T485" s="400">
        <v>6.549E8</v>
      </c>
      <c r="U485" s="521"/>
      <c r="V485" s="521"/>
      <c r="W485" s="521"/>
      <c r="X485" s="521"/>
      <c r="Y485" s="521"/>
      <c r="Z485" s="521"/>
      <c r="AA485" s="521"/>
      <c r="AB485" s="521"/>
      <c r="AC485" s="665">
        <f t="shared" si="256"/>
        <v>654900000</v>
      </c>
      <c r="AD485" s="284"/>
      <c r="AE485" s="241"/>
      <c r="AF485" s="194"/>
      <c r="AG485" s="194"/>
      <c r="AH485" s="194"/>
      <c r="AI485" s="194"/>
    </row>
    <row r="486" hidden="1">
      <c r="A486" s="126"/>
      <c r="B486" s="432"/>
      <c r="C486" s="441"/>
      <c r="D486" s="220" t="s">
        <v>664</v>
      </c>
      <c r="E486" s="207"/>
      <c r="F486" s="442"/>
      <c r="G486" s="207"/>
      <c r="H486" s="206"/>
      <c r="I486" s="206"/>
      <c r="J486" s="596"/>
      <c r="K486" s="596" t="s">
        <v>649</v>
      </c>
      <c r="L486" s="444">
        <v>6.158555E8</v>
      </c>
      <c r="M486" s="666" t="s">
        <v>665</v>
      </c>
      <c r="N486" s="464"/>
      <c r="O486" s="464"/>
      <c r="P486" s="464">
        <f>P485</f>
        <v>45754</v>
      </c>
      <c r="Q486" s="447">
        <f>L486/7</f>
        <v>87979357.14</v>
      </c>
      <c r="R486" s="447">
        <f t="shared" ref="R486:T486" si="257">Q486</f>
        <v>87979357.14</v>
      </c>
      <c r="S486" s="447">
        <f t="shared" si="257"/>
        <v>87979357.14</v>
      </c>
      <c r="T486" s="447">
        <f t="shared" si="257"/>
        <v>87979357.14</v>
      </c>
      <c r="U486" s="447"/>
      <c r="V486" s="447"/>
      <c r="W486" s="447">
        <f>L486*5%</f>
        <v>30792775</v>
      </c>
      <c r="X486" s="447"/>
      <c r="Y486" s="447"/>
      <c r="Z486" s="447"/>
      <c r="AA486" s="447"/>
      <c r="AB486" s="447"/>
      <c r="AC486" s="449">
        <f t="shared" si="256"/>
        <v>382710203.6</v>
      </c>
      <c r="AD486" s="284"/>
      <c r="AE486" s="241"/>
      <c r="AF486" s="194"/>
      <c r="AG486" s="194"/>
      <c r="AH486" s="194"/>
      <c r="AI486" s="194"/>
    </row>
    <row r="487" hidden="1">
      <c r="A487" s="126"/>
      <c r="B487" s="432"/>
      <c r="C487" s="182"/>
      <c r="D487" s="250" t="s">
        <v>666</v>
      </c>
      <c r="E487" s="224"/>
      <c r="F487" s="450"/>
      <c r="G487" s="224"/>
      <c r="H487" s="222"/>
      <c r="I487" s="222"/>
      <c r="J487" s="222"/>
      <c r="K487" s="222" t="s">
        <v>649</v>
      </c>
      <c r="L487" s="346"/>
      <c r="M487" s="451"/>
      <c r="N487" s="365"/>
      <c r="O487" s="365"/>
      <c r="P487" s="365"/>
      <c r="Q487" s="452"/>
      <c r="R487" s="452"/>
      <c r="S487" s="452"/>
      <c r="T487" s="452">
        <f>L486*95%</f>
        <v>585062725</v>
      </c>
      <c r="U487" s="452"/>
      <c r="V487" s="452"/>
      <c r="W487" s="452"/>
      <c r="X487" s="452"/>
      <c r="Y487" s="452"/>
      <c r="Z487" s="452"/>
      <c r="AA487" s="452"/>
      <c r="AB487" s="452"/>
      <c r="AC487" s="231">
        <f t="shared" si="256"/>
        <v>585062725</v>
      </c>
      <c r="AD487" s="284"/>
      <c r="AE487" s="241"/>
      <c r="AF487" s="194"/>
      <c r="AG487" s="194"/>
      <c r="AH487" s="194"/>
      <c r="AI487" s="194"/>
    </row>
    <row r="488" hidden="1">
      <c r="A488" s="126"/>
      <c r="B488" s="667"/>
      <c r="C488" s="182"/>
      <c r="D488" s="286" t="s">
        <v>194</v>
      </c>
      <c r="E488" s="233"/>
      <c r="F488" s="233"/>
      <c r="G488" s="233"/>
      <c r="H488" s="234"/>
      <c r="I488" s="234"/>
      <c r="J488" s="222"/>
      <c r="K488" s="222" t="s">
        <v>649</v>
      </c>
      <c r="L488" s="287"/>
      <c r="M488" s="236"/>
      <c r="N488" s="285"/>
      <c r="O488" s="285"/>
      <c r="P488" s="285"/>
      <c r="Q488" s="288"/>
      <c r="R488" s="288"/>
      <c r="S488" s="288"/>
      <c r="T488" s="288"/>
      <c r="U488" s="288"/>
      <c r="V488" s="288"/>
      <c r="W488" s="288"/>
      <c r="X488" s="288"/>
      <c r="Y488" s="288"/>
      <c r="Z488" s="288"/>
      <c r="AA488" s="288"/>
      <c r="AB488" s="288"/>
      <c r="AC488" s="378">
        <f t="shared" si="256"/>
        <v>0</v>
      </c>
      <c r="AD488" s="273"/>
      <c r="AE488" s="241"/>
      <c r="AF488" s="194"/>
      <c r="AG488" s="194"/>
      <c r="AH488" s="194"/>
      <c r="AI488" s="194"/>
    </row>
    <row r="489" hidden="1">
      <c r="A489" s="126"/>
      <c r="B489" s="667"/>
      <c r="C489" s="182"/>
      <c r="D489" s="286" t="s">
        <v>667</v>
      </c>
      <c r="E489" s="233"/>
      <c r="F489" s="233"/>
      <c r="G489" s="233"/>
      <c r="H489" s="234"/>
      <c r="I489" s="234"/>
      <c r="J489" s="222"/>
      <c r="K489" s="222" t="s">
        <v>649</v>
      </c>
      <c r="L489" s="287"/>
      <c r="M489" s="236"/>
      <c r="N489" s="285"/>
      <c r="O489" s="285"/>
      <c r="P489" s="285"/>
      <c r="Q489" s="288"/>
      <c r="R489" s="288"/>
      <c r="S489" s="288"/>
      <c r="T489" s="288"/>
      <c r="U489" s="288"/>
      <c r="V489" s="288"/>
      <c r="W489" s="288"/>
      <c r="X489" s="288"/>
      <c r="Y489" s="288"/>
      <c r="Z489" s="288"/>
      <c r="AA489" s="288"/>
      <c r="AB489" s="288"/>
      <c r="AC489" s="378">
        <f t="shared" si="256"/>
        <v>0</v>
      </c>
      <c r="AD489" s="273"/>
      <c r="AE489" s="241"/>
      <c r="AF489" s="194"/>
      <c r="AG489" s="194"/>
      <c r="AH489" s="194"/>
      <c r="AI489" s="194"/>
    </row>
    <row r="490" hidden="1">
      <c r="A490" s="126"/>
      <c r="B490" s="657"/>
      <c r="C490" s="289"/>
      <c r="D490" s="290" t="s">
        <v>668</v>
      </c>
      <c r="E490" s="487"/>
      <c r="F490" s="487"/>
      <c r="G490" s="487"/>
      <c r="H490" s="291"/>
      <c r="I490" s="291"/>
      <c r="J490" s="292"/>
      <c r="K490" s="292" t="s">
        <v>649</v>
      </c>
      <c r="L490" s="293"/>
      <c r="M490" s="294"/>
      <c r="N490" s="295"/>
      <c r="O490" s="295"/>
      <c r="P490" s="295"/>
      <c r="Q490" s="296">
        <f t="shared" ref="Q490:AC490" si="258">Q473+Q474+Q479+Q480+Q481</f>
        <v>645591561</v>
      </c>
      <c r="R490" s="296">
        <f t="shared" si="258"/>
        <v>645591561</v>
      </c>
      <c r="S490" s="296">
        <f t="shared" si="258"/>
        <v>645591561</v>
      </c>
      <c r="T490" s="296">
        <f t="shared" si="258"/>
        <v>671104666.7</v>
      </c>
      <c r="U490" s="296">
        <f t="shared" si="258"/>
        <v>671104666.7</v>
      </c>
      <c r="V490" s="296">
        <f t="shared" si="258"/>
        <v>671104666.7</v>
      </c>
      <c r="W490" s="296">
        <f t="shared" si="258"/>
        <v>0</v>
      </c>
      <c r="X490" s="296">
        <f t="shared" si="258"/>
        <v>0</v>
      </c>
      <c r="Y490" s="296">
        <f t="shared" si="258"/>
        <v>0</v>
      </c>
      <c r="Z490" s="296">
        <f t="shared" si="258"/>
        <v>0</v>
      </c>
      <c r="AA490" s="296">
        <f t="shared" si="258"/>
        <v>0</v>
      </c>
      <c r="AB490" s="296">
        <f t="shared" si="258"/>
        <v>0</v>
      </c>
      <c r="AC490" s="297">
        <f t="shared" si="258"/>
        <v>3950088683</v>
      </c>
      <c r="AD490" s="273"/>
      <c r="AE490" s="241"/>
      <c r="AF490" s="194"/>
      <c r="AG490" s="194"/>
      <c r="AH490" s="194"/>
      <c r="AI490" s="194"/>
    </row>
    <row r="491" hidden="1">
      <c r="A491" s="126"/>
      <c r="B491" s="668"/>
      <c r="C491" s="299"/>
      <c r="D491" s="300" t="s">
        <v>669</v>
      </c>
      <c r="E491" s="488"/>
      <c r="F491" s="488"/>
      <c r="G491" s="488"/>
      <c r="H491" s="301"/>
      <c r="I491" s="301"/>
      <c r="J491" s="489"/>
      <c r="K491" s="489" t="s">
        <v>649</v>
      </c>
      <c r="L491" s="304"/>
      <c r="M491" s="305"/>
      <c r="N491" s="306"/>
      <c r="O491" s="306"/>
      <c r="P491" s="306"/>
      <c r="Q491" s="307">
        <f t="shared" ref="Q491:AB491" si="259">Q475+Q482+Q487</f>
        <v>700406097</v>
      </c>
      <c r="R491" s="307">
        <f t="shared" si="259"/>
        <v>700567185</v>
      </c>
      <c r="S491" s="307">
        <f t="shared" si="259"/>
        <v>700828423</v>
      </c>
      <c r="T491" s="307">
        <f t="shared" si="259"/>
        <v>1285899856</v>
      </c>
      <c r="U491" s="307">
        <f t="shared" si="259"/>
        <v>694473056</v>
      </c>
      <c r="V491" s="490">
        <f t="shared" si="259"/>
        <v>694534008</v>
      </c>
      <c r="W491" s="307">
        <f t="shared" si="259"/>
        <v>0</v>
      </c>
      <c r="X491" s="307">
        <f t="shared" si="259"/>
        <v>0</v>
      </c>
      <c r="Y491" s="307">
        <f t="shared" si="259"/>
        <v>0</v>
      </c>
      <c r="Z491" s="307">
        <f t="shared" si="259"/>
        <v>0</v>
      </c>
      <c r="AA491" s="307">
        <f t="shared" si="259"/>
        <v>0</v>
      </c>
      <c r="AB491" s="307">
        <f t="shared" si="259"/>
        <v>0</v>
      </c>
      <c r="AC491" s="309">
        <f t="shared" ref="AC491:AC493" si="261">SUM(Q491:AB491)</f>
        <v>4776708625</v>
      </c>
      <c r="AD491" s="273"/>
      <c r="AE491" s="241"/>
      <c r="AF491" s="310">
        <f t="shared" ref="AF491:AF492" si="262">AC491-AC492</f>
        <v>1279596733</v>
      </c>
      <c r="AG491" s="311" t="s">
        <v>226</v>
      </c>
      <c r="AH491" s="194"/>
      <c r="AI491" s="194"/>
    </row>
    <row r="492" hidden="1">
      <c r="A492" s="126"/>
      <c r="B492" s="669"/>
      <c r="C492" s="670"/>
      <c r="D492" s="313" t="s">
        <v>670</v>
      </c>
      <c r="E492" s="331"/>
      <c r="F492" s="331"/>
      <c r="G492" s="331"/>
      <c r="H492" s="199"/>
      <c r="I492" s="199"/>
      <c r="J492" s="222"/>
      <c r="K492" s="222" t="s">
        <v>649</v>
      </c>
      <c r="L492" s="225"/>
      <c r="M492" s="236"/>
      <c r="N492" s="285"/>
      <c r="O492" s="285"/>
      <c r="P492" s="285"/>
      <c r="Q492" s="288">
        <f t="shared" ref="Q492:V492" si="260">Q476+Q483+Q488</f>
        <v>700406097</v>
      </c>
      <c r="R492" s="288">
        <f t="shared" si="260"/>
        <v>700567185</v>
      </c>
      <c r="S492" s="288">
        <f t="shared" si="260"/>
        <v>700828423</v>
      </c>
      <c r="T492" s="288">
        <f t="shared" si="260"/>
        <v>700837131</v>
      </c>
      <c r="U492" s="288">
        <f t="shared" si="260"/>
        <v>694473056</v>
      </c>
      <c r="V492" s="314">
        <f t="shared" si="260"/>
        <v>0</v>
      </c>
      <c r="W492" s="671"/>
      <c r="X492" s="671"/>
      <c r="Y492" s="671"/>
      <c r="Z492" s="671"/>
      <c r="AA492" s="671"/>
      <c r="AB492" s="671"/>
      <c r="AC492" s="378">
        <f t="shared" si="261"/>
        <v>3497111892</v>
      </c>
      <c r="AD492" s="214"/>
      <c r="AE492" s="672"/>
      <c r="AF492" s="316">
        <f t="shared" si="262"/>
        <v>0</v>
      </c>
      <c r="AG492" s="311" t="s">
        <v>228</v>
      </c>
      <c r="AH492" s="673"/>
      <c r="AI492" s="673"/>
    </row>
    <row r="493" hidden="1">
      <c r="A493" s="126"/>
      <c r="B493" s="669"/>
      <c r="C493" s="674"/>
      <c r="D493" s="318" t="s">
        <v>671</v>
      </c>
      <c r="E493" s="493"/>
      <c r="F493" s="493"/>
      <c r="G493" s="493"/>
      <c r="H493" s="494"/>
      <c r="I493" s="494"/>
      <c r="J493" s="320"/>
      <c r="K493" s="320" t="s">
        <v>649</v>
      </c>
      <c r="L493" s="675"/>
      <c r="M493" s="322"/>
      <c r="N493" s="323"/>
      <c r="O493" s="323"/>
      <c r="P493" s="323"/>
      <c r="Q493" s="324">
        <f t="shared" ref="Q493:V493" si="263">Q477+Q484+Q489</f>
        <v>700406097</v>
      </c>
      <c r="R493" s="324">
        <f t="shared" si="263"/>
        <v>700567185</v>
      </c>
      <c r="S493" s="324">
        <f t="shared" si="263"/>
        <v>700828423</v>
      </c>
      <c r="T493" s="324">
        <f t="shared" si="263"/>
        <v>700837131</v>
      </c>
      <c r="U493" s="324">
        <f t="shared" si="263"/>
        <v>694473056</v>
      </c>
      <c r="V493" s="325">
        <f t="shared" si="263"/>
        <v>0</v>
      </c>
      <c r="W493" s="676"/>
      <c r="X493" s="676"/>
      <c r="Y493" s="676"/>
      <c r="Z493" s="676"/>
      <c r="AA493" s="676"/>
      <c r="AB493" s="676"/>
      <c r="AC493" s="539">
        <f t="shared" si="261"/>
        <v>3497111892</v>
      </c>
      <c r="AD493" s="214"/>
      <c r="AE493" s="672"/>
      <c r="AF493" s="328">
        <f>AC493</f>
        <v>3497111892</v>
      </c>
      <c r="AG493" s="311" t="s">
        <v>148</v>
      </c>
      <c r="AH493" s="673"/>
      <c r="AI493" s="673"/>
    </row>
    <row r="494">
      <c r="A494" s="126"/>
      <c r="B494" s="677" t="s">
        <v>39</v>
      </c>
      <c r="C494" s="678" t="s">
        <v>40</v>
      </c>
      <c r="D494" s="679"/>
      <c r="E494" s="496"/>
      <c r="F494" s="496"/>
      <c r="G494" s="496"/>
      <c r="H494" s="332"/>
      <c r="I494" s="332"/>
      <c r="J494" s="332"/>
      <c r="K494" s="332"/>
      <c r="L494" s="680"/>
      <c r="M494" s="335"/>
      <c r="N494" s="336"/>
      <c r="O494" s="336"/>
      <c r="P494" s="336"/>
      <c r="Q494" s="681">
        <f t="shared" ref="Q494:AC494" si="264">Q495+Q561+Q1156+Q1195+Q1243+Q1263</f>
        <v>76405836537</v>
      </c>
      <c r="R494" s="681">
        <f t="shared" si="264"/>
        <v>75833117186</v>
      </c>
      <c r="S494" s="681">
        <f t="shared" si="264"/>
        <v>77174075076</v>
      </c>
      <c r="T494" s="681">
        <f t="shared" si="264"/>
        <v>69476024561</v>
      </c>
      <c r="U494" s="681">
        <f t="shared" si="264"/>
        <v>70020171724</v>
      </c>
      <c r="V494" s="681">
        <f t="shared" si="264"/>
        <v>74940839386</v>
      </c>
      <c r="W494" s="681">
        <f t="shared" si="264"/>
        <v>74721313950</v>
      </c>
      <c r="X494" s="681">
        <f t="shared" si="264"/>
        <v>75556067785</v>
      </c>
      <c r="Y494" s="681">
        <f t="shared" si="264"/>
        <v>69984393864</v>
      </c>
      <c r="Z494" s="681">
        <f t="shared" si="264"/>
        <v>69694258362</v>
      </c>
      <c r="AA494" s="681">
        <f t="shared" si="264"/>
        <v>69944893865</v>
      </c>
      <c r="AB494" s="681">
        <f t="shared" si="264"/>
        <v>76021425030</v>
      </c>
      <c r="AC494" s="682">
        <f t="shared" si="264"/>
        <v>879772417323</v>
      </c>
      <c r="AD494" s="178">
        <f>SUM(Q494:AB494)-AC494</f>
        <v>1.000244141</v>
      </c>
      <c r="AE494" s="683">
        <f>AE495+AE561+AE1156+AE1195+AE1243+AE1263</f>
        <v>879772417325</v>
      </c>
      <c r="AF494" s="673"/>
      <c r="AG494" s="673"/>
      <c r="AH494" s="673"/>
      <c r="AI494" s="673"/>
    </row>
    <row r="495">
      <c r="A495" s="126"/>
      <c r="B495" s="655">
        <v>12.0</v>
      </c>
      <c r="C495" s="182" t="s">
        <v>41</v>
      </c>
      <c r="D495" s="684"/>
      <c r="E495" s="331"/>
      <c r="F495" s="331"/>
      <c r="G495" s="331"/>
      <c r="H495" s="199"/>
      <c r="I495" s="199"/>
      <c r="J495" s="685"/>
      <c r="K495" s="685" t="s">
        <v>672</v>
      </c>
      <c r="L495" s="187" t="str">
        <f>L496+L502+L508+L513+L518+#REF!+#REF!+L535+L846+L855+L861+#REF!</f>
        <v>#REF!</v>
      </c>
      <c r="M495" s="188"/>
      <c r="N495" s="686"/>
      <c r="O495" s="686"/>
      <c r="P495" s="686"/>
      <c r="Q495" s="687">
        <f t="shared" ref="Q495:AC495" si="265">Q496+Q502+Q508+Q513+Q518+Q523+Q529+Q535+Q540</f>
        <v>2216144417</v>
      </c>
      <c r="R495" s="687">
        <f t="shared" si="265"/>
        <v>2216144417</v>
      </c>
      <c r="S495" s="687">
        <f t="shared" si="265"/>
        <v>2216144417</v>
      </c>
      <c r="T495" s="687">
        <f t="shared" si="265"/>
        <v>2216144417</v>
      </c>
      <c r="U495" s="687">
        <f t="shared" si="265"/>
        <v>2216144417</v>
      </c>
      <c r="V495" s="687">
        <f t="shared" si="265"/>
        <v>2216144417</v>
      </c>
      <c r="W495" s="687">
        <f t="shared" si="265"/>
        <v>2216144417</v>
      </c>
      <c r="X495" s="687">
        <f t="shared" si="265"/>
        <v>2216144417</v>
      </c>
      <c r="Y495" s="687">
        <f t="shared" si="265"/>
        <v>2216144417</v>
      </c>
      <c r="Z495" s="687">
        <f t="shared" si="265"/>
        <v>2216144417</v>
      </c>
      <c r="AA495" s="687">
        <f t="shared" si="265"/>
        <v>2216144417</v>
      </c>
      <c r="AB495" s="687">
        <f t="shared" si="265"/>
        <v>2216144417</v>
      </c>
      <c r="AC495" s="687">
        <f t="shared" si="265"/>
        <v>26593733004</v>
      </c>
      <c r="AD495" s="178">
        <f>AC495-AE495</f>
        <v>-2</v>
      </c>
      <c r="AE495" s="241">
        <f>'Proker New'!Y87</f>
        <v>26593733006</v>
      </c>
      <c r="AF495" s="193" t="str">
        <f>C495</f>
        <v>DKI Jakarta - Jakarta (JKT)</v>
      </c>
      <c r="AG495" s="194"/>
      <c r="AH495" s="194"/>
      <c r="AI495" s="194"/>
    </row>
    <row r="496">
      <c r="A496" s="126"/>
      <c r="B496" s="195"/>
      <c r="C496" s="196">
        <v>1.0</v>
      </c>
      <c r="D496" s="197" t="s">
        <v>673</v>
      </c>
      <c r="E496" s="198" t="s">
        <v>186</v>
      </c>
      <c r="F496" s="198" t="s">
        <v>103</v>
      </c>
      <c r="G496" s="198" t="s">
        <v>86</v>
      </c>
      <c r="H496" s="198" t="s">
        <v>86</v>
      </c>
      <c r="I496" s="198" t="s">
        <v>187</v>
      </c>
      <c r="J496" s="198" t="s">
        <v>188</v>
      </c>
      <c r="K496" s="199" t="s">
        <v>672</v>
      </c>
      <c r="L496" s="347">
        <v>5.13515474E9</v>
      </c>
      <c r="M496" s="362" t="s">
        <v>674</v>
      </c>
      <c r="N496" s="366"/>
      <c r="O496" s="366">
        <v>45383.0</v>
      </c>
      <c r="P496" s="366">
        <v>45747.0</v>
      </c>
      <c r="Q496" s="204">
        <v>4.27929562E8</v>
      </c>
      <c r="R496" s="204">
        <v>4.27929562E8</v>
      </c>
      <c r="S496" s="204">
        <v>4.27929562E8</v>
      </c>
      <c r="T496" s="204">
        <v>4.27929562E8</v>
      </c>
      <c r="U496" s="204">
        <v>4.27929562E8</v>
      </c>
      <c r="V496" s="204">
        <v>4.27929562E8</v>
      </c>
      <c r="W496" s="204">
        <v>4.27929562E8</v>
      </c>
      <c r="X496" s="204">
        <v>4.27929562E8</v>
      </c>
      <c r="Y496" s="204">
        <v>4.27929562E8</v>
      </c>
      <c r="Z496" s="204">
        <v>4.27929562E8</v>
      </c>
      <c r="AA496" s="204">
        <v>4.27929562E8</v>
      </c>
      <c r="AB496" s="204">
        <v>4.27929562E8</v>
      </c>
      <c r="AC496" s="205">
        <v>5.135154744E9</v>
      </c>
      <c r="AD496" s="178">
        <f>SUM(Q496:AB496)-AC496</f>
        <v>0</v>
      </c>
      <c r="AE496" s="241"/>
      <c r="AF496" s="194"/>
      <c r="AG496" s="194"/>
      <c r="AH496" s="194"/>
      <c r="AI496" s="194"/>
    </row>
    <row r="497" hidden="1">
      <c r="A497" s="126"/>
      <c r="B497" s="195"/>
      <c r="C497" s="206"/>
      <c r="D497" s="207"/>
      <c r="E497" s="207"/>
      <c r="F497" s="207"/>
      <c r="G497" s="207"/>
      <c r="H497" s="206"/>
      <c r="I497" s="206"/>
      <c r="J497" s="206"/>
      <c r="K497" s="206" t="s">
        <v>672</v>
      </c>
      <c r="L497" s="245"/>
      <c r="M497" s="246"/>
      <c r="N497" s="367"/>
      <c r="O497" s="367"/>
      <c r="P497" s="367">
        <v>45747.0</v>
      </c>
      <c r="Q497" s="212">
        <v>4.27929562E8</v>
      </c>
      <c r="R497" s="249">
        <f t="shared" ref="R497:S497" si="266">Q497</f>
        <v>427929562</v>
      </c>
      <c r="S497" s="249">
        <f t="shared" si="266"/>
        <v>427929562</v>
      </c>
      <c r="T497" s="212"/>
      <c r="U497" s="212"/>
      <c r="V497" s="212"/>
      <c r="W497" s="212"/>
      <c r="X497" s="212"/>
      <c r="Y497" s="212"/>
      <c r="Z497" s="212"/>
      <c r="AA497" s="212"/>
      <c r="AB497" s="212"/>
      <c r="AC497" s="213">
        <f t="shared" ref="AC497:AC501" si="267">SUM(Q497:AB497)</f>
        <v>1283788686</v>
      </c>
      <c r="AD497" s="178"/>
      <c r="AE497" s="241"/>
      <c r="AF497" s="194"/>
      <c r="AG497" s="194"/>
      <c r="AH497" s="194"/>
      <c r="AI497" s="194"/>
    </row>
    <row r="498" hidden="1">
      <c r="A498" s="126"/>
      <c r="B498" s="195"/>
      <c r="C498" s="206"/>
      <c r="D498" s="688" t="s">
        <v>675</v>
      </c>
      <c r="E498" s="207"/>
      <c r="F498" s="207"/>
      <c r="G498" s="207"/>
      <c r="H498" s="206"/>
      <c r="I498" s="206"/>
      <c r="J498" s="206"/>
      <c r="K498" s="206" t="s">
        <v>672</v>
      </c>
      <c r="L498" s="277"/>
      <c r="M498" s="265" t="s">
        <v>676</v>
      </c>
      <c r="N498" s="367"/>
      <c r="O498" s="367">
        <v>45748.0</v>
      </c>
      <c r="P498" s="367">
        <v>46112.0</v>
      </c>
      <c r="Q498" s="249"/>
      <c r="R498" s="249"/>
      <c r="S498" s="249"/>
      <c r="T498" s="212"/>
      <c r="U498" s="249"/>
      <c r="V498" s="249"/>
      <c r="W498" s="249"/>
      <c r="X498" s="249"/>
      <c r="Y498" s="249"/>
      <c r="Z498" s="249"/>
      <c r="AA498" s="249"/>
      <c r="AB498" s="249"/>
      <c r="AC498" s="213">
        <f t="shared" si="267"/>
        <v>0</v>
      </c>
      <c r="AD498" s="178"/>
      <c r="AE498" s="241"/>
      <c r="AF498" s="194"/>
      <c r="AG498" s="194"/>
      <c r="AH498" s="194"/>
      <c r="AI498" s="194"/>
    </row>
    <row r="499" hidden="1">
      <c r="A499" s="126"/>
      <c r="B499" s="195"/>
      <c r="C499" s="196"/>
      <c r="D499" s="250" t="s">
        <v>677</v>
      </c>
      <c r="E499" s="224"/>
      <c r="F499" s="224"/>
      <c r="G499" s="224"/>
      <c r="H499" s="222"/>
      <c r="I499" s="222"/>
      <c r="J499" s="222"/>
      <c r="K499" s="222" t="s">
        <v>672</v>
      </c>
      <c r="L499" s="346"/>
      <c r="M499" s="358"/>
      <c r="N499" s="365"/>
      <c r="O499" s="365"/>
      <c r="P499" s="365"/>
      <c r="Q499" s="228">
        <v>4.279295612612612E8</v>
      </c>
      <c r="R499" s="228">
        <v>4.279295612612612E8</v>
      </c>
      <c r="S499" s="228">
        <v>4.279295612612612E8</v>
      </c>
      <c r="T499" s="229">
        <v>4.279295612612612E8</v>
      </c>
      <c r="U499" s="229">
        <v>4.17166667E8</v>
      </c>
      <c r="V499" s="229">
        <v>4.17166667E8</v>
      </c>
      <c r="W499" s="229">
        <f>V499</f>
        <v>417166667</v>
      </c>
      <c r="X499" s="238"/>
      <c r="Y499" s="238"/>
      <c r="Z499" s="238"/>
      <c r="AA499" s="238"/>
      <c r="AB499" s="238"/>
      <c r="AC499" s="231">
        <f t="shared" si="267"/>
        <v>2963218246</v>
      </c>
      <c r="AD499" s="178"/>
      <c r="AE499" s="241"/>
      <c r="AF499" s="194"/>
      <c r="AG499" s="194"/>
      <c r="AH499" s="194"/>
      <c r="AI499" s="194"/>
    </row>
    <row r="500" hidden="1">
      <c r="A500" s="126"/>
      <c r="B500" s="195"/>
      <c r="C500" s="196"/>
      <c r="D500" s="286" t="s">
        <v>194</v>
      </c>
      <c r="E500" s="233"/>
      <c r="F500" s="233"/>
      <c r="G500" s="233"/>
      <c r="H500" s="234"/>
      <c r="I500" s="234"/>
      <c r="J500" s="222"/>
      <c r="K500" s="222" t="s">
        <v>672</v>
      </c>
      <c r="L500" s="346"/>
      <c r="M500" s="358"/>
      <c r="N500" s="365"/>
      <c r="O500" s="365"/>
      <c r="P500" s="365"/>
      <c r="Q500" s="228">
        <v>4.279295612612612E8</v>
      </c>
      <c r="R500" s="228">
        <v>4.279295612612612E8</v>
      </c>
      <c r="S500" s="228">
        <v>4.279295612612612E8</v>
      </c>
      <c r="T500" s="238"/>
      <c r="U500" s="238"/>
      <c r="V500" s="238"/>
      <c r="W500" s="238"/>
      <c r="X500" s="238"/>
      <c r="Y500" s="238"/>
      <c r="Z500" s="238"/>
      <c r="AA500" s="238"/>
      <c r="AB500" s="238"/>
      <c r="AC500" s="231">
        <f t="shared" si="267"/>
        <v>1283788684</v>
      </c>
      <c r="AD500" s="214"/>
      <c r="AE500" s="241"/>
      <c r="AF500" s="194"/>
      <c r="AG500" s="194"/>
      <c r="AH500" s="194"/>
      <c r="AI500" s="194"/>
    </row>
    <row r="501" hidden="1">
      <c r="A501" s="126"/>
      <c r="B501" s="195"/>
      <c r="C501" s="196"/>
      <c r="D501" s="286" t="s">
        <v>678</v>
      </c>
      <c r="E501" s="233"/>
      <c r="F501" s="233"/>
      <c r="G501" s="233"/>
      <c r="H501" s="234"/>
      <c r="I501" s="234"/>
      <c r="J501" s="222"/>
      <c r="K501" s="222" t="s">
        <v>672</v>
      </c>
      <c r="L501" s="346"/>
      <c r="M501" s="358"/>
      <c r="N501" s="365"/>
      <c r="O501" s="365"/>
      <c r="P501" s="365"/>
      <c r="Q501" s="228">
        <v>4.279295612612612E8</v>
      </c>
      <c r="R501" s="228">
        <v>4.279295612612612E8</v>
      </c>
      <c r="S501" s="228">
        <v>4.279295612612612E8</v>
      </c>
      <c r="T501" s="238"/>
      <c r="U501" s="238"/>
      <c r="V501" s="238"/>
      <c r="W501" s="238"/>
      <c r="X501" s="238"/>
      <c r="Y501" s="238"/>
      <c r="Z501" s="238"/>
      <c r="AA501" s="238"/>
      <c r="AB501" s="238"/>
      <c r="AC501" s="231">
        <f t="shared" si="267"/>
        <v>1283788684</v>
      </c>
      <c r="AD501" s="214"/>
      <c r="AE501" s="241"/>
      <c r="AF501" s="194"/>
      <c r="AG501" s="194"/>
      <c r="AH501" s="194"/>
      <c r="AI501" s="194"/>
    </row>
    <row r="502">
      <c r="A502" s="126"/>
      <c r="B502" s="195"/>
      <c r="C502" s="196">
        <v>2.0</v>
      </c>
      <c r="D502" s="197" t="s">
        <v>679</v>
      </c>
      <c r="E502" s="198" t="s">
        <v>186</v>
      </c>
      <c r="F502" s="198" t="s">
        <v>103</v>
      </c>
      <c r="G502" s="198" t="s">
        <v>86</v>
      </c>
      <c r="H502" s="198" t="s">
        <v>86</v>
      </c>
      <c r="I502" s="198" t="s">
        <v>187</v>
      </c>
      <c r="J502" s="198" t="s">
        <v>188</v>
      </c>
      <c r="K502" s="199" t="s">
        <v>672</v>
      </c>
      <c r="L502" s="347">
        <v>1.44741E9</v>
      </c>
      <c r="M502" s="362" t="s">
        <v>680</v>
      </c>
      <c r="N502" s="366"/>
      <c r="O502" s="366">
        <v>45748.0</v>
      </c>
      <c r="P502" s="366">
        <f>O502+364</f>
        <v>46112</v>
      </c>
      <c r="Q502" s="631">
        <v>9.2067557E7</v>
      </c>
      <c r="R502" s="631">
        <v>9.2067557E7</v>
      </c>
      <c r="S502" s="631">
        <v>9.2067557E7</v>
      </c>
      <c r="T502" s="631">
        <v>9.2067557E7</v>
      </c>
      <c r="U502" s="631">
        <v>9.2067557E7</v>
      </c>
      <c r="V502" s="631">
        <v>9.2067557E7</v>
      </c>
      <c r="W502" s="631">
        <v>9.2067557E7</v>
      </c>
      <c r="X502" s="631">
        <v>9.2067557E7</v>
      </c>
      <c r="Y502" s="631">
        <v>9.2067557E7</v>
      </c>
      <c r="Z502" s="631">
        <v>9.2067557E7</v>
      </c>
      <c r="AA502" s="631">
        <v>9.2067557E7</v>
      </c>
      <c r="AB502" s="631">
        <v>9.2067557E7</v>
      </c>
      <c r="AC502" s="689">
        <v>1.104810684E9</v>
      </c>
      <c r="AD502" s="178">
        <f>SUM(Q502:AB502)-AC502</f>
        <v>0</v>
      </c>
      <c r="AE502" s="241"/>
      <c r="AF502" s="194"/>
      <c r="AG502" s="194"/>
      <c r="AH502" s="194"/>
      <c r="AI502" s="194"/>
    </row>
    <row r="503" hidden="1">
      <c r="A503" s="126"/>
      <c r="B503" s="195"/>
      <c r="C503" s="206"/>
      <c r="D503" s="207"/>
      <c r="E503" s="207"/>
      <c r="F503" s="207"/>
      <c r="G503" s="207"/>
      <c r="H503" s="206"/>
      <c r="I503" s="206"/>
      <c r="J503" s="206"/>
      <c r="K503" s="206" t="s">
        <v>672</v>
      </c>
      <c r="L503" s="245">
        <v>1.104810684E9</v>
      </c>
      <c r="M503" s="246"/>
      <c r="N503" s="367"/>
      <c r="O503" s="367"/>
      <c r="P503" s="367">
        <v>45747.0</v>
      </c>
      <c r="Q503" s="212">
        <v>9.2067557E7</v>
      </c>
      <c r="R503" s="212">
        <v>9.2067557E7</v>
      </c>
      <c r="S503" s="212">
        <v>9.2067557E7</v>
      </c>
      <c r="T503" s="212"/>
      <c r="U503" s="212"/>
      <c r="V503" s="212"/>
      <c r="W503" s="212"/>
      <c r="X503" s="212"/>
      <c r="Y503" s="212"/>
      <c r="Z503" s="212"/>
      <c r="AA503" s="212"/>
      <c r="AB503" s="212"/>
      <c r="AC503" s="213">
        <f t="shared" ref="AC503:AC507" si="268">SUM(Q503:AB503)</f>
        <v>276202671</v>
      </c>
      <c r="AD503" s="178"/>
      <c r="AE503" s="241"/>
      <c r="AF503" s="194"/>
      <c r="AG503" s="194"/>
      <c r="AH503" s="194"/>
      <c r="AI503" s="194"/>
    </row>
    <row r="504" hidden="1">
      <c r="A504" s="126"/>
      <c r="B504" s="195"/>
      <c r="C504" s="206"/>
      <c r="D504" s="688" t="s">
        <v>681</v>
      </c>
      <c r="E504" s="207"/>
      <c r="F504" s="207"/>
      <c r="G504" s="207"/>
      <c r="H504" s="206"/>
      <c r="I504" s="206"/>
      <c r="J504" s="206"/>
      <c r="K504" s="206" t="s">
        <v>672</v>
      </c>
      <c r="L504" s="277"/>
      <c r="M504" s="265" t="s">
        <v>676</v>
      </c>
      <c r="N504" s="367"/>
      <c r="O504" s="367">
        <v>45748.0</v>
      </c>
      <c r="P504" s="367">
        <v>46112.0</v>
      </c>
      <c r="Q504" s="249"/>
      <c r="R504" s="249"/>
      <c r="S504" s="249"/>
      <c r="T504" s="212"/>
      <c r="U504" s="212"/>
      <c r="V504" s="212"/>
      <c r="W504" s="212"/>
      <c r="X504" s="212"/>
      <c r="Y504" s="212"/>
      <c r="Z504" s="212"/>
      <c r="AA504" s="212"/>
      <c r="AB504" s="212"/>
      <c r="AC504" s="213">
        <f t="shared" si="268"/>
        <v>0</v>
      </c>
      <c r="AD504" s="178"/>
      <c r="AE504" s="241"/>
      <c r="AF504" s="194"/>
      <c r="AG504" s="194"/>
      <c r="AH504" s="194"/>
      <c r="AI504" s="194"/>
    </row>
    <row r="505" hidden="1">
      <c r="A505" s="126"/>
      <c r="B505" s="195"/>
      <c r="C505" s="222"/>
      <c r="D505" s="250" t="s">
        <v>682</v>
      </c>
      <c r="E505" s="224"/>
      <c r="F505" s="224"/>
      <c r="G505" s="224"/>
      <c r="H505" s="222"/>
      <c r="I505" s="222"/>
      <c r="J505" s="222"/>
      <c r="K505" s="222" t="s">
        <v>672</v>
      </c>
      <c r="L505" s="225"/>
      <c r="M505" s="383"/>
      <c r="N505" s="285"/>
      <c r="O505" s="285"/>
      <c r="P505" s="285"/>
      <c r="Q505" s="228">
        <f t="shared" ref="Q505:Q507" si="270">94619098</f>
        <v>94619098</v>
      </c>
      <c r="R505" s="228">
        <f t="shared" ref="R505:R507" si="271">90428338</f>
        <v>90428338</v>
      </c>
      <c r="S505" s="228">
        <f t="shared" ref="S505:T505" si="269">102165078</f>
        <v>102165078</v>
      </c>
      <c r="T505" s="229">
        <f t="shared" si="269"/>
        <v>102165078</v>
      </c>
      <c r="U505" s="229">
        <v>7.0780341E7</v>
      </c>
      <c r="V505" s="229">
        <v>7.0780341E7</v>
      </c>
      <c r="W505" s="229">
        <f>W502</f>
        <v>92067557</v>
      </c>
      <c r="X505" s="230"/>
      <c r="Y505" s="230"/>
      <c r="Z505" s="230"/>
      <c r="AA505" s="230"/>
      <c r="AB505" s="230"/>
      <c r="AC505" s="231">
        <f t="shared" si="268"/>
        <v>623005831</v>
      </c>
      <c r="AD505" s="178"/>
      <c r="AE505" s="241"/>
      <c r="AF505" s="194"/>
      <c r="AG505" s="194"/>
      <c r="AH505" s="194"/>
      <c r="AI505" s="194"/>
    </row>
    <row r="506" hidden="1">
      <c r="A506" s="126"/>
      <c r="B506" s="195"/>
      <c r="C506" s="196"/>
      <c r="D506" s="286" t="s">
        <v>194</v>
      </c>
      <c r="E506" s="233"/>
      <c r="F506" s="233"/>
      <c r="G506" s="233"/>
      <c r="H506" s="234"/>
      <c r="I506" s="234"/>
      <c r="J506" s="222"/>
      <c r="K506" s="222" t="s">
        <v>672</v>
      </c>
      <c r="L506" s="225"/>
      <c r="M506" s="358"/>
      <c r="N506" s="365"/>
      <c r="O506" s="365"/>
      <c r="P506" s="365"/>
      <c r="Q506" s="228">
        <f t="shared" si="270"/>
        <v>94619098</v>
      </c>
      <c r="R506" s="228">
        <f t="shared" si="271"/>
        <v>90428338</v>
      </c>
      <c r="S506" s="228">
        <f t="shared" ref="S506:S507" si="272">102165078</f>
        <v>102165078</v>
      </c>
      <c r="T506" s="502"/>
      <c r="U506" s="502"/>
      <c r="V506" s="502"/>
      <c r="W506" s="502"/>
      <c r="X506" s="502"/>
      <c r="Y506" s="502"/>
      <c r="Z506" s="502"/>
      <c r="AA506" s="502"/>
      <c r="AB506" s="502"/>
      <c r="AC506" s="231">
        <f t="shared" si="268"/>
        <v>287212514</v>
      </c>
      <c r="AD506" s="214"/>
      <c r="AE506" s="241"/>
      <c r="AF506" s="194"/>
      <c r="AG506" s="194"/>
      <c r="AH506" s="194"/>
      <c r="AI506" s="194"/>
    </row>
    <row r="507" hidden="1">
      <c r="A507" s="126"/>
      <c r="B507" s="195"/>
      <c r="C507" s="196"/>
      <c r="D507" s="286" t="s">
        <v>683</v>
      </c>
      <c r="E507" s="233"/>
      <c r="F507" s="233"/>
      <c r="G507" s="233"/>
      <c r="H507" s="234"/>
      <c r="I507" s="234"/>
      <c r="J507" s="222"/>
      <c r="K507" s="222" t="s">
        <v>672</v>
      </c>
      <c r="L507" s="225"/>
      <c r="M507" s="358"/>
      <c r="N507" s="365"/>
      <c r="O507" s="365"/>
      <c r="P507" s="365"/>
      <c r="Q507" s="228">
        <f t="shared" si="270"/>
        <v>94619098</v>
      </c>
      <c r="R507" s="228">
        <f t="shared" si="271"/>
        <v>90428338</v>
      </c>
      <c r="S507" s="228">
        <f t="shared" si="272"/>
        <v>102165078</v>
      </c>
      <c r="T507" s="502"/>
      <c r="U507" s="502"/>
      <c r="V507" s="502"/>
      <c r="W507" s="502"/>
      <c r="X507" s="502"/>
      <c r="Y507" s="502"/>
      <c r="Z507" s="502"/>
      <c r="AA507" s="502"/>
      <c r="AB507" s="502"/>
      <c r="AC507" s="231">
        <f t="shared" si="268"/>
        <v>287212514</v>
      </c>
      <c r="AD507" s="214"/>
      <c r="AE507" s="241"/>
      <c r="AF507" s="194"/>
      <c r="AG507" s="194"/>
      <c r="AH507" s="194"/>
      <c r="AI507" s="194"/>
    </row>
    <row r="508">
      <c r="A508" s="126"/>
      <c r="B508" s="195"/>
      <c r="C508" s="196">
        <v>3.0</v>
      </c>
      <c r="D508" s="197" t="s">
        <v>684</v>
      </c>
      <c r="E508" s="198" t="s">
        <v>186</v>
      </c>
      <c r="F508" s="198" t="s">
        <v>135</v>
      </c>
      <c r="G508" s="198" t="s">
        <v>135</v>
      </c>
      <c r="H508" s="198" t="s">
        <v>203</v>
      </c>
      <c r="I508" s="198" t="s">
        <v>187</v>
      </c>
      <c r="J508" s="198" t="s">
        <v>188</v>
      </c>
      <c r="K508" s="199" t="s">
        <v>672</v>
      </c>
      <c r="L508" s="347">
        <v>5.052444416E9</v>
      </c>
      <c r="M508" s="362" t="s">
        <v>685</v>
      </c>
      <c r="N508" s="366"/>
      <c r="O508" s="366">
        <v>45658.0</v>
      </c>
      <c r="P508" s="366">
        <f>O508+364</f>
        <v>46022</v>
      </c>
      <c r="Q508" s="690">
        <v>3.25671389E8</v>
      </c>
      <c r="R508" s="690">
        <v>3.25671389E8</v>
      </c>
      <c r="S508" s="690">
        <v>3.25671389E8</v>
      </c>
      <c r="T508" s="690">
        <v>3.25671389E8</v>
      </c>
      <c r="U508" s="690">
        <v>3.25671389E8</v>
      </c>
      <c r="V508" s="690">
        <v>3.25671389E8</v>
      </c>
      <c r="W508" s="690">
        <v>3.25671389E8</v>
      </c>
      <c r="X508" s="690">
        <v>3.25671389E8</v>
      </c>
      <c r="Y508" s="690">
        <v>3.25671389E8</v>
      </c>
      <c r="Z508" s="690">
        <v>3.25671389E8</v>
      </c>
      <c r="AA508" s="690">
        <v>3.25671389E8</v>
      </c>
      <c r="AB508" s="690">
        <v>3.25671389E8</v>
      </c>
      <c r="AC508" s="689">
        <v>3.908056668E9</v>
      </c>
      <c r="AD508" s="178">
        <f>SUM(Q508:AB508)-AC508</f>
        <v>0</v>
      </c>
      <c r="AE508" s="241"/>
      <c r="AF508" s="194"/>
      <c r="AG508" s="194"/>
      <c r="AH508" s="194"/>
      <c r="AI508" s="194"/>
    </row>
    <row r="509" hidden="1">
      <c r="A509" s="126"/>
      <c r="B509" s="195"/>
      <c r="C509" s="206"/>
      <c r="D509" s="215"/>
      <c r="E509" s="207"/>
      <c r="F509" s="207"/>
      <c r="G509" s="207"/>
      <c r="H509" s="206"/>
      <c r="I509" s="206"/>
      <c r="J509" s="206"/>
      <c r="K509" s="206" t="s">
        <v>672</v>
      </c>
      <c r="L509" s="245">
        <f>5052444416</f>
        <v>5052444416</v>
      </c>
      <c r="M509" s="265" t="s">
        <v>685</v>
      </c>
      <c r="N509" s="367"/>
      <c r="O509" s="367">
        <v>45658.0</v>
      </c>
      <c r="P509" s="367">
        <v>46022.0</v>
      </c>
      <c r="Q509" s="249">
        <f>L509/12</f>
        <v>421037034.7</v>
      </c>
      <c r="R509" s="212">
        <f t="shared" ref="R509:AB509" si="273">Q509</f>
        <v>421037034.7</v>
      </c>
      <c r="S509" s="212">
        <f t="shared" si="273"/>
        <v>421037034.7</v>
      </c>
      <c r="T509" s="212">
        <f t="shared" si="273"/>
        <v>421037034.7</v>
      </c>
      <c r="U509" s="212">
        <f t="shared" si="273"/>
        <v>421037034.7</v>
      </c>
      <c r="V509" s="212">
        <f t="shared" si="273"/>
        <v>421037034.7</v>
      </c>
      <c r="W509" s="212">
        <f t="shared" si="273"/>
        <v>421037034.7</v>
      </c>
      <c r="X509" s="212">
        <f t="shared" si="273"/>
        <v>421037034.7</v>
      </c>
      <c r="Y509" s="212">
        <f t="shared" si="273"/>
        <v>421037034.7</v>
      </c>
      <c r="Z509" s="212">
        <f t="shared" si="273"/>
        <v>421037034.7</v>
      </c>
      <c r="AA509" s="212">
        <f t="shared" si="273"/>
        <v>421037034.7</v>
      </c>
      <c r="AB509" s="212">
        <f t="shared" si="273"/>
        <v>421037034.7</v>
      </c>
      <c r="AC509" s="213">
        <f t="shared" ref="AC509:AC512" si="274">SUM(Q509:AB509)</f>
        <v>5052444416</v>
      </c>
      <c r="AD509" s="178"/>
      <c r="AE509" s="241"/>
      <c r="AF509" s="194"/>
      <c r="AG509" s="194"/>
      <c r="AH509" s="194"/>
      <c r="AI509" s="194"/>
    </row>
    <row r="510" hidden="1">
      <c r="A510" s="126"/>
      <c r="B510" s="195"/>
      <c r="C510" s="222"/>
      <c r="D510" s="250" t="s">
        <v>686</v>
      </c>
      <c r="E510" s="224"/>
      <c r="F510" s="224"/>
      <c r="G510" s="224"/>
      <c r="H510" s="222"/>
      <c r="I510" s="222"/>
      <c r="J510" s="222"/>
      <c r="K510" s="222" t="s">
        <v>672</v>
      </c>
      <c r="L510" s="225"/>
      <c r="M510" s="383"/>
      <c r="N510" s="285"/>
      <c r="O510" s="285"/>
      <c r="P510" s="285"/>
      <c r="Q510" s="600">
        <f t="shared" ref="Q510:Q511" si="275">343059935</f>
        <v>343059935</v>
      </c>
      <c r="R510" s="600">
        <v>3.43157853E8</v>
      </c>
      <c r="S510" s="229">
        <v>3.2767398E8</v>
      </c>
      <c r="T510" s="600">
        <v>3.80862978E8</v>
      </c>
      <c r="U510" s="229">
        <v>3.65107656E8</v>
      </c>
      <c r="V510" s="229">
        <v>3.65107656E8</v>
      </c>
      <c r="W510" s="229">
        <f>W509</f>
        <v>421037034.7</v>
      </c>
      <c r="X510" s="230"/>
      <c r="Y510" s="230"/>
      <c r="Z510" s="230"/>
      <c r="AA510" s="230"/>
      <c r="AB510" s="230"/>
      <c r="AC510" s="231">
        <f t="shared" si="274"/>
        <v>2546007093</v>
      </c>
      <c r="AD510" s="178"/>
      <c r="AE510" s="241"/>
      <c r="AF510" s="194"/>
      <c r="AG510" s="194"/>
      <c r="AH510" s="194"/>
      <c r="AI510" s="194"/>
    </row>
    <row r="511" hidden="1">
      <c r="A511" s="126"/>
      <c r="B511" s="195"/>
      <c r="C511" s="196"/>
      <c r="D511" s="286" t="s">
        <v>194</v>
      </c>
      <c r="E511" s="233"/>
      <c r="F511" s="233"/>
      <c r="G511" s="233"/>
      <c r="H511" s="234"/>
      <c r="I511" s="234"/>
      <c r="J511" s="222"/>
      <c r="K511" s="222" t="s">
        <v>672</v>
      </c>
      <c r="L511" s="225"/>
      <c r="M511" s="358"/>
      <c r="N511" s="365"/>
      <c r="O511" s="365"/>
      <c r="P511" s="365"/>
      <c r="Q511" s="600">
        <f t="shared" si="275"/>
        <v>343059935</v>
      </c>
      <c r="R511" s="600">
        <v>3.43157853E8</v>
      </c>
      <c r="S511" s="229">
        <v>3.2767398E8</v>
      </c>
      <c r="T511" s="600">
        <v>3.80862978E8</v>
      </c>
      <c r="U511" s="229">
        <v>3.65107656E8</v>
      </c>
      <c r="V511" s="229">
        <v>5.13869381E8</v>
      </c>
      <c r="W511" s="238"/>
      <c r="X511" s="238"/>
      <c r="Y511" s="238"/>
      <c r="Z511" s="238"/>
      <c r="AA511" s="238"/>
      <c r="AB511" s="238"/>
      <c r="AC511" s="231">
        <f t="shared" si="274"/>
        <v>2273731783</v>
      </c>
      <c r="AD511" s="214"/>
      <c r="AE511" s="241"/>
      <c r="AF511" s="194"/>
      <c r="AG511" s="194"/>
      <c r="AH511" s="194"/>
      <c r="AI511" s="194"/>
    </row>
    <row r="512" hidden="1">
      <c r="A512" s="126"/>
      <c r="B512" s="195"/>
      <c r="C512" s="196"/>
      <c r="D512" s="286" t="s">
        <v>687</v>
      </c>
      <c r="E512" s="233"/>
      <c r="F512" s="233"/>
      <c r="G512" s="233"/>
      <c r="H512" s="234"/>
      <c r="I512" s="234"/>
      <c r="J512" s="222"/>
      <c r="K512" s="222" t="s">
        <v>672</v>
      </c>
      <c r="L512" s="225"/>
      <c r="M512" s="358"/>
      <c r="N512" s="365"/>
      <c r="O512" s="365"/>
      <c r="P512" s="365"/>
      <c r="Q512" s="452">
        <f t="shared" ref="Q512:R512" si="276">Q511</f>
        <v>343059935</v>
      </c>
      <c r="R512" s="452">
        <f t="shared" si="276"/>
        <v>343157853</v>
      </c>
      <c r="S512" s="238"/>
      <c r="T512" s="452">
        <f>T511</f>
        <v>380862978</v>
      </c>
      <c r="U512" s="238"/>
      <c r="V512" s="238"/>
      <c r="W512" s="238"/>
      <c r="X512" s="238"/>
      <c r="Y512" s="238"/>
      <c r="Z512" s="238"/>
      <c r="AA512" s="238"/>
      <c r="AB512" s="238"/>
      <c r="AC512" s="231">
        <f t="shared" si="274"/>
        <v>1067080766</v>
      </c>
      <c r="AD512" s="214"/>
      <c r="AE512" s="241"/>
      <c r="AF512" s="194"/>
      <c r="AG512" s="194"/>
      <c r="AH512" s="194"/>
      <c r="AI512" s="194"/>
    </row>
    <row r="513">
      <c r="A513" s="126"/>
      <c r="B513" s="195"/>
      <c r="C513" s="196">
        <v>4.0</v>
      </c>
      <c r="D513" s="197" t="s">
        <v>688</v>
      </c>
      <c r="E513" s="198" t="s">
        <v>186</v>
      </c>
      <c r="F513" s="198" t="s">
        <v>135</v>
      </c>
      <c r="G513" s="198" t="s">
        <v>135</v>
      </c>
      <c r="H513" s="198" t="s">
        <v>203</v>
      </c>
      <c r="I513" s="198" t="s">
        <v>187</v>
      </c>
      <c r="J513" s="198" t="s">
        <v>188</v>
      </c>
      <c r="K513" s="199" t="s">
        <v>672</v>
      </c>
      <c r="L513" s="355"/>
      <c r="M513" s="362"/>
      <c r="N513" s="366"/>
      <c r="O513" s="366"/>
      <c r="P513" s="366"/>
      <c r="Q513" s="204">
        <v>2.8811931E7</v>
      </c>
      <c r="R513" s="204">
        <v>2.8811931E7</v>
      </c>
      <c r="S513" s="204">
        <v>2.8811931E7</v>
      </c>
      <c r="T513" s="204">
        <v>2.8811931E7</v>
      </c>
      <c r="U513" s="204">
        <v>2.8811931E7</v>
      </c>
      <c r="V513" s="204">
        <v>2.8811931E7</v>
      </c>
      <c r="W513" s="204">
        <v>2.8811931E7</v>
      </c>
      <c r="X513" s="204">
        <v>2.8811931E7</v>
      </c>
      <c r="Y513" s="204">
        <v>2.8811931E7</v>
      </c>
      <c r="Z513" s="204">
        <v>2.8811931E7</v>
      </c>
      <c r="AA513" s="204">
        <v>2.8811931E7</v>
      </c>
      <c r="AB513" s="204">
        <v>2.8811931E7</v>
      </c>
      <c r="AC513" s="689">
        <v>3.45743172E8</v>
      </c>
      <c r="AD513" s="178">
        <f>SUM(Q513:AB513)-AC513</f>
        <v>0</v>
      </c>
      <c r="AE513" s="241"/>
      <c r="AF513" s="194"/>
      <c r="AG513" s="194"/>
      <c r="AH513" s="194"/>
      <c r="AI513" s="194"/>
    </row>
    <row r="514" hidden="1">
      <c r="A514" s="126"/>
      <c r="B514" s="195"/>
      <c r="C514" s="206"/>
      <c r="D514" s="688" t="s">
        <v>689</v>
      </c>
      <c r="E514" s="207"/>
      <c r="F514" s="207"/>
      <c r="G514" s="207"/>
      <c r="H514" s="206"/>
      <c r="I514" s="206"/>
      <c r="J514" s="206"/>
      <c r="K514" s="206" t="s">
        <v>672</v>
      </c>
      <c r="L514" s="277">
        <f>260489103</f>
        <v>260489103</v>
      </c>
      <c r="M514" s="265" t="s">
        <v>690</v>
      </c>
      <c r="N514" s="367"/>
      <c r="O514" s="367">
        <v>45658.0</v>
      </c>
      <c r="P514" s="367" t="s">
        <v>691</v>
      </c>
      <c r="Q514" s="249">
        <f>L514/6</f>
        <v>43414850.5</v>
      </c>
      <c r="R514" s="249">
        <f t="shared" ref="R514:V514" si="277">Q514</f>
        <v>43414850.5</v>
      </c>
      <c r="S514" s="249">
        <f t="shared" si="277"/>
        <v>43414850.5</v>
      </c>
      <c r="T514" s="249">
        <f t="shared" si="277"/>
        <v>43414850.5</v>
      </c>
      <c r="U514" s="249">
        <f t="shared" si="277"/>
        <v>43414850.5</v>
      </c>
      <c r="V514" s="249">
        <f t="shared" si="277"/>
        <v>43414850.5</v>
      </c>
      <c r="W514" s="212"/>
      <c r="X514" s="212"/>
      <c r="Y514" s="212"/>
      <c r="Z514" s="212"/>
      <c r="AA514" s="212"/>
      <c r="AB514" s="212"/>
      <c r="AC514" s="213">
        <f t="shared" ref="AC514:AC517" si="279">SUM(Q514:AB514)</f>
        <v>260489103</v>
      </c>
      <c r="AD514" s="548"/>
      <c r="AE514" s="241"/>
      <c r="AF514" s="194"/>
      <c r="AG514" s="194"/>
      <c r="AH514" s="194"/>
      <c r="AI514" s="194"/>
    </row>
    <row r="515" hidden="1">
      <c r="A515" s="126"/>
      <c r="B515" s="195"/>
      <c r="C515" s="222"/>
      <c r="D515" s="250" t="s">
        <v>692</v>
      </c>
      <c r="E515" s="224"/>
      <c r="F515" s="224"/>
      <c r="G515" s="224"/>
      <c r="H515" s="222"/>
      <c r="I515" s="222"/>
      <c r="J515" s="222"/>
      <c r="K515" s="222" t="s">
        <v>672</v>
      </c>
      <c r="L515" s="225"/>
      <c r="M515" s="383"/>
      <c r="N515" s="285"/>
      <c r="O515" s="285"/>
      <c r="P515" s="285"/>
      <c r="Q515" s="229">
        <f>39095504</f>
        <v>39095504</v>
      </c>
      <c r="R515" s="229">
        <f t="shared" ref="R515:S515" si="278">Q515</f>
        <v>39095504</v>
      </c>
      <c r="S515" s="229">
        <f t="shared" si="278"/>
        <v>39095504</v>
      </c>
      <c r="T515" s="229">
        <v>4.0163281E7</v>
      </c>
      <c r="U515" s="229">
        <v>4.0163281E7</v>
      </c>
      <c r="V515" s="229">
        <v>4.0163281E7</v>
      </c>
      <c r="W515" s="228"/>
      <c r="X515" s="230"/>
      <c r="Y515" s="230"/>
      <c r="Z515" s="230"/>
      <c r="AA515" s="230"/>
      <c r="AB515" s="230"/>
      <c r="AC515" s="231">
        <f t="shared" si="279"/>
        <v>237776355</v>
      </c>
      <c r="AD515" s="273"/>
      <c r="AE515" s="192"/>
      <c r="AF515" s="194"/>
      <c r="AG515" s="194"/>
      <c r="AH515" s="194"/>
      <c r="AI515" s="194"/>
    </row>
    <row r="516" hidden="1">
      <c r="A516" s="126"/>
      <c r="B516" s="195"/>
      <c r="C516" s="196"/>
      <c r="D516" s="286" t="s">
        <v>194</v>
      </c>
      <c r="E516" s="233"/>
      <c r="F516" s="233"/>
      <c r="G516" s="233"/>
      <c r="H516" s="234"/>
      <c r="I516" s="234"/>
      <c r="J516" s="222"/>
      <c r="K516" s="222" t="s">
        <v>672</v>
      </c>
      <c r="L516" s="225"/>
      <c r="M516" s="358"/>
      <c r="N516" s="365"/>
      <c r="O516" s="365"/>
      <c r="P516" s="365"/>
      <c r="Q516" s="238"/>
      <c r="R516" s="238"/>
      <c r="S516" s="238"/>
      <c r="T516" s="238"/>
      <c r="U516" s="238"/>
      <c r="V516" s="238"/>
      <c r="W516" s="238"/>
      <c r="X516" s="238"/>
      <c r="Y516" s="238"/>
      <c r="Z516" s="238"/>
      <c r="AA516" s="238"/>
      <c r="AB516" s="238"/>
      <c r="AC516" s="231">
        <f t="shared" si="279"/>
        <v>0</v>
      </c>
      <c r="AD516" s="214"/>
      <c r="AE516" s="192"/>
      <c r="AF516" s="194"/>
      <c r="AG516" s="194"/>
      <c r="AH516" s="194"/>
      <c r="AI516" s="194"/>
    </row>
    <row r="517" hidden="1">
      <c r="A517" s="126"/>
      <c r="B517" s="195"/>
      <c r="C517" s="196"/>
      <c r="D517" s="286" t="s">
        <v>693</v>
      </c>
      <c r="E517" s="233"/>
      <c r="F517" s="233"/>
      <c r="G517" s="233"/>
      <c r="H517" s="234"/>
      <c r="I517" s="234"/>
      <c r="J517" s="222"/>
      <c r="K517" s="222" t="s">
        <v>672</v>
      </c>
      <c r="L517" s="225"/>
      <c r="M517" s="358"/>
      <c r="N517" s="365"/>
      <c r="O517" s="365"/>
      <c r="P517" s="365"/>
      <c r="Q517" s="238"/>
      <c r="R517" s="238"/>
      <c r="S517" s="238"/>
      <c r="T517" s="238"/>
      <c r="U517" s="238"/>
      <c r="V517" s="238"/>
      <c r="W517" s="238"/>
      <c r="X517" s="238"/>
      <c r="Y517" s="238"/>
      <c r="Z517" s="238"/>
      <c r="AA517" s="238"/>
      <c r="AB517" s="238"/>
      <c r="AC517" s="231">
        <f t="shared" si="279"/>
        <v>0</v>
      </c>
      <c r="AD517" s="214"/>
      <c r="AE517" s="192"/>
      <c r="AF517" s="194"/>
      <c r="AG517" s="194"/>
      <c r="AH517" s="194"/>
      <c r="AI517" s="194"/>
    </row>
    <row r="518">
      <c r="A518" s="126"/>
      <c r="B518" s="195"/>
      <c r="C518" s="196">
        <v>5.0</v>
      </c>
      <c r="D518" s="354" t="s">
        <v>694</v>
      </c>
      <c r="E518" s="198" t="s">
        <v>186</v>
      </c>
      <c r="F518" s="198" t="s">
        <v>88</v>
      </c>
      <c r="G518" s="198" t="s">
        <v>88</v>
      </c>
      <c r="H518" s="198" t="s">
        <v>218</v>
      </c>
      <c r="I518" s="198" t="s">
        <v>187</v>
      </c>
      <c r="J518" s="198" t="s">
        <v>188</v>
      </c>
      <c r="K518" s="199" t="s">
        <v>672</v>
      </c>
      <c r="L518" s="347">
        <v>1.3510544188E10</v>
      </c>
      <c r="M518" s="362" t="s">
        <v>695</v>
      </c>
      <c r="N518" s="366"/>
      <c r="O518" s="366">
        <v>45658.0</v>
      </c>
      <c r="P518" s="366">
        <f>O518+364</f>
        <v>46022</v>
      </c>
      <c r="Q518" s="631">
        <v>8.76106996E8</v>
      </c>
      <c r="R518" s="631">
        <v>8.76106996E8</v>
      </c>
      <c r="S518" s="631">
        <v>8.76106996E8</v>
      </c>
      <c r="T518" s="631">
        <v>8.76106996E8</v>
      </c>
      <c r="U518" s="631">
        <v>8.76106996E8</v>
      </c>
      <c r="V518" s="631">
        <v>8.76106996E8</v>
      </c>
      <c r="W518" s="631">
        <v>8.76106996E8</v>
      </c>
      <c r="X518" s="631">
        <v>8.76106996E8</v>
      </c>
      <c r="Y518" s="631">
        <v>8.76106996E8</v>
      </c>
      <c r="Z518" s="631">
        <v>8.76106996E8</v>
      </c>
      <c r="AA518" s="631">
        <v>8.76106996E8</v>
      </c>
      <c r="AB518" s="631">
        <v>8.76106996E8</v>
      </c>
      <c r="AC518" s="689">
        <v>1.0513283952E10</v>
      </c>
      <c r="AD518" s="178">
        <f>SUM(Q518:AB518)-AC518</f>
        <v>0</v>
      </c>
      <c r="AE518" s="241"/>
      <c r="AF518" s="194"/>
      <c r="AG518" s="194"/>
      <c r="AH518" s="194"/>
      <c r="AI518" s="194"/>
    </row>
    <row r="519" hidden="1">
      <c r="A519" s="126"/>
      <c r="B519" s="195"/>
      <c r="C519" s="206"/>
      <c r="D519" s="215"/>
      <c r="E519" s="207"/>
      <c r="F519" s="207"/>
      <c r="G519" s="207"/>
      <c r="H519" s="206"/>
      <c r="I519" s="206"/>
      <c r="J519" s="206"/>
      <c r="K519" s="206" t="s">
        <v>672</v>
      </c>
      <c r="L519" s="277">
        <f>13510544188</f>
        <v>13510544188</v>
      </c>
      <c r="M519" s="265" t="s">
        <v>695</v>
      </c>
      <c r="N519" s="367"/>
      <c r="O519" s="367">
        <v>45658.0</v>
      </c>
      <c r="P519" s="367">
        <v>46022.0</v>
      </c>
      <c r="Q519" s="249">
        <f>L519/12</f>
        <v>1125878682</v>
      </c>
      <c r="R519" s="249">
        <f t="shared" ref="R519:AB519" si="280">Q519</f>
        <v>1125878682</v>
      </c>
      <c r="S519" s="249">
        <f t="shared" si="280"/>
        <v>1125878682</v>
      </c>
      <c r="T519" s="212">
        <f t="shared" si="280"/>
        <v>1125878682</v>
      </c>
      <c r="U519" s="212">
        <f t="shared" si="280"/>
        <v>1125878682</v>
      </c>
      <c r="V519" s="212">
        <f t="shared" si="280"/>
        <v>1125878682</v>
      </c>
      <c r="W519" s="212">
        <f t="shared" si="280"/>
        <v>1125878682</v>
      </c>
      <c r="X519" s="212">
        <f t="shared" si="280"/>
        <v>1125878682</v>
      </c>
      <c r="Y519" s="212">
        <f t="shared" si="280"/>
        <v>1125878682</v>
      </c>
      <c r="Z519" s="212">
        <f t="shared" si="280"/>
        <v>1125878682</v>
      </c>
      <c r="AA519" s="212">
        <f t="shared" si="280"/>
        <v>1125878682</v>
      </c>
      <c r="AB519" s="212">
        <f t="shared" si="280"/>
        <v>1125878682</v>
      </c>
      <c r="AC519" s="213">
        <f t="shared" ref="AC519:AC522" si="281">SUM(Q519:AB519)</f>
        <v>13510544188</v>
      </c>
      <c r="AD519" s="284"/>
      <c r="AE519" s="241"/>
      <c r="AF519" s="194"/>
      <c r="AG519" s="194"/>
      <c r="AH519" s="194"/>
      <c r="AI519" s="194"/>
    </row>
    <row r="520" hidden="1">
      <c r="A520" s="126"/>
      <c r="B520" s="195"/>
      <c r="C520" s="222"/>
      <c r="D520" s="250" t="s">
        <v>696</v>
      </c>
      <c r="E520" s="224"/>
      <c r="F520" s="224"/>
      <c r="G520" s="224"/>
      <c r="H520" s="222"/>
      <c r="I520" s="222"/>
      <c r="J520" s="222"/>
      <c r="K520" s="222" t="s">
        <v>672</v>
      </c>
      <c r="L520" s="225"/>
      <c r="M520" s="383"/>
      <c r="N520" s="285"/>
      <c r="O520" s="285"/>
      <c r="P520" s="285"/>
      <c r="Q520" s="600">
        <v>9.16063849E8</v>
      </c>
      <c r="R520" s="600">
        <v>9.18932357E8</v>
      </c>
      <c r="S520" s="600">
        <v>8.84119323E8</v>
      </c>
      <c r="T520" s="600">
        <v>9.97131954E8</v>
      </c>
      <c r="U520" s="600">
        <v>9.98662059E8</v>
      </c>
      <c r="V520" s="229">
        <f>U520</f>
        <v>998662059</v>
      </c>
      <c r="W520" s="229">
        <f>W519</f>
        <v>1125878682</v>
      </c>
      <c r="X520" s="230"/>
      <c r="Y520" s="230"/>
      <c r="Z520" s="230"/>
      <c r="AA520" s="230"/>
      <c r="AB520" s="230"/>
      <c r="AC520" s="231">
        <f t="shared" si="281"/>
        <v>6839450283</v>
      </c>
      <c r="AD520" s="284"/>
      <c r="AE520" s="241"/>
      <c r="AF520" s="194"/>
      <c r="AG520" s="194"/>
      <c r="AH520" s="194"/>
      <c r="AI520" s="194"/>
    </row>
    <row r="521" hidden="1">
      <c r="A521" s="126"/>
      <c r="B521" s="195"/>
      <c r="C521" s="196"/>
      <c r="D521" s="286" t="s">
        <v>194</v>
      </c>
      <c r="E521" s="233"/>
      <c r="F521" s="233"/>
      <c r="G521" s="233"/>
      <c r="H521" s="234"/>
      <c r="I521" s="234"/>
      <c r="J521" s="222"/>
      <c r="K521" s="222" t="s">
        <v>672</v>
      </c>
      <c r="L521" s="346"/>
      <c r="M521" s="358"/>
      <c r="N521" s="365"/>
      <c r="O521" s="365"/>
      <c r="P521" s="365"/>
      <c r="Q521" s="600">
        <v>9.16063849E8</v>
      </c>
      <c r="R521" s="600">
        <v>9.18932357E8</v>
      </c>
      <c r="S521" s="600">
        <v>8.84119323E8</v>
      </c>
      <c r="T521" s="600">
        <v>9.97131954E8</v>
      </c>
      <c r="U521" s="600">
        <v>9.98662059E8</v>
      </c>
      <c r="V521" s="229">
        <v>1.30978436E9</v>
      </c>
      <c r="W521" s="238"/>
      <c r="X521" s="238"/>
      <c r="Y521" s="238"/>
      <c r="Z521" s="238"/>
      <c r="AA521" s="238"/>
      <c r="AB521" s="238"/>
      <c r="AC521" s="231">
        <f t="shared" si="281"/>
        <v>6024693902</v>
      </c>
      <c r="AD521" s="214"/>
      <c r="AE521" s="241"/>
      <c r="AF521" s="194"/>
      <c r="AG521" s="194"/>
      <c r="AH521" s="194"/>
      <c r="AI521" s="194"/>
    </row>
    <row r="522" hidden="1">
      <c r="A522" s="126"/>
      <c r="B522" s="195"/>
      <c r="C522" s="196"/>
      <c r="D522" s="286" t="s">
        <v>697</v>
      </c>
      <c r="E522" s="233"/>
      <c r="F522" s="233"/>
      <c r="G522" s="233"/>
      <c r="H522" s="234"/>
      <c r="I522" s="234"/>
      <c r="J522" s="222"/>
      <c r="K522" s="222" t="s">
        <v>672</v>
      </c>
      <c r="L522" s="346"/>
      <c r="M522" s="358"/>
      <c r="N522" s="365"/>
      <c r="O522" s="365"/>
      <c r="P522" s="365"/>
      <c r="Q522" s="452">
        <f t="shared" ref="Q522:U522" si="282">Q521</f>
        <v>916063849</v>
      </c>
      <c r="R522" s="452">
        <f t="shared" si="282"/>
        <v>918932357</v>
      </c>
      <c r="S522" s="452">
        <f t="shared" si="282"/>
        <v>884119323</v>
      </c>
      <c r="T522" s="452">
        <f t="shared" si="282"/>
        <v>997131954</v>
      </c>
      <c r="U522" s="452">
        <f t="shared" si="282"/>
        <v>998662059</v>
      </c>
      <c r="V522" s="238"/>
      <c r="W522" s="238"/>
      <c r="X522" s="238"/>
      <c r="Y522" s="238"/>
      <c r="Z522" s="238"/>
      <c r="AA522" s="238"/>
      <c r="AB522" s="238"/>
      <c r="AC522" s="231">
        <f t="shared" si="281"/>
        <v>4714909542</v>
      </c>
      <c r="AD522" s="214"/>
      <c r="AE522" s="241"/>
      <c r="AF522" s="194"/>
      <c r="AG522" s="194"/>
      <c r="AH522" s="194"/>
      <c r="AI522" s="194"/>
    </row>
    <row r="523">
      <c r="A523" s="126"/>
      <c r="B523" s="195"/>
      <c r="C523" s="196">
        <v>6.0</v>
      </c>
      <c r="D523" s="354" t="s">
        <v>698</v>
      </c>
      <c r="E523" s="198" t="s">
        <v>186</v>
      </c>
      <c r="F523" s="198" t="s">
        <v>305</v>
      </c>
      <c r="G523" s="198" t="s">
        <v>92</v>
      </c>
      <c r="H523" s="198" t="s">
        <v>306</v>
      </c>
      <c r="I523" s="198" t="s">
        <v>187</v>
      </c>
      <c r="J523" s="198" t="s">
        <v>188</v>
      </c>
      <c r="K523" s="199" t="s">
        <v>672</v>
      </c>
      <c r="L523" s="347">
        <v>2.086524515E9</v>
      </c>
      <c r="M523" s="362" t="s">
        <v>699</v>
      </c>
      <c r="N523" s="366"/>
      <c r="O523" s="366">
        <v>45717.0</v>
      </c>
      <c r="P523" s="366">
        <f>O523+364</f>
        <v>46081</v>
      </c>
      <c r="Q523" s="631">
        <v>1.23041518E8</v>
      </c>
      <c r="R523" s="631">
        <v>1.23041518E8</v>
      </c>
      <c r="S523" s="631">
        <v>1.23041518E8</v>
      </c>
      <c r="T523" s="631">
        <v>1.23041518E8</v>
      </c>
      <c r="U523" s="631">
        <v>1.23041518E8</v>
      </c>
      <c r="V523" s="631">
        <v>1.23041518E8</v>
      </c>
      <c r="W523" s="631">
        <v>1.23041518E8</v>
      </c>
      <c r="X523" s="631">
        <v>1.23041518E8</v>
      </c>
      <c r="Y523" s="631">
        <v>1.23041518E8</v>
      </c>
      <c r="Z523" s="631">
        <v>1.23041518E8</v>
      </c>
      <c r="AA523" s="631">
        <v>1.23041518E8</v>
      </c>
      <c r="AB523" s="631">
        <v>1.23041518E8</v>
      </c>
      <c r="AC523" s="689">
        <v>1.476498216E9</v>
      </c>
      <c r="AD523" s="178">
        <f>SUM(Q523:AB523)-AC523</f>
        <v>0</v>
      </c>
      <c r="AE523" s="241"/>
      <c r="AF523" s="194"/>
      <c r="AG523" s="194"/>
      <c r="AH523" s="194"/>
      <c r="AI523" s="194"/>
    </row>
    <row r="524" hidden="1">
      <c r="A524" s="126"/>
      <c r="B524" s="195"/>
      <c r="C524" s="206"/>
      <c r="D524" s="207"/>
      <c r="E524" s="207"/>
      <c r="F524" s="207"/>
      <c r="G524" s="207"/>
      <c r="H524" s="206"/>
      <c r="I524" s="206"/>
      <c r="J524" s="206"/>
      <c r="K524" s="206" t="s">
        <v>672</v>
      </c>
      <c r="L524" s="460"/>
      <c r="M524" s="460"/>
      <c r="N524" s="691"/>
      <c r="O524" s="691"/>
      <c r="P524" s="691">
        <f>P523</f>
        <v>46081</v>
      </c>
      <c r="Q524" s="249">
        <f>L523/12</f>
        <v>173877042.9</v>
      </c>
      <c r="R524" s="249">
        <f>Q524</f>
        <v>173877042.9</v>
      </c>
      <c r="S524" s="249"/>
      <c r="T524" s="249"/>
      <c r="U524" s="212"/>
      <c r="V524" s="212"/>
      <c r="W524" s="212"/>
      <c r="X524" s="212"/>
      <c r="Y524" s="212"/>
      <c r="Z524" s="212"/>
      <c r="AA524" s="212"/>
      <c r="AB524" s="212"/>
      <c r="AC524" s="213">
        <f t="shared" ref="AC524:AC528" si="284">SUM(Q524:AB524)</f>
        <v>347754085.8</v>
      </c>
      <c r="AD524" s="264"/>
      <c r="AE524" s="241"/>
      <c r="AF524" s="194"/>
      <c r="AG524" s="194"/>
      <c r="AH524" s="194"/>
      <c r="AI524" s="194"/>
    </row>
    <row r="525" hidden="1">
      <c r="A525" s="126"/>
      <c r="B525" s="195"/>
      <c r="C525" s="206"/>
      <c r="D525" s="688" t="s">
        <v>700</v>
      </c>
      <c r="E525" s="207"/>
      <c r="F525" s="207"/>
      <c r="G525" s="207"/>
      <c r="H525" s="206"/>
      <c r="I525" s="206"/>
      <c r="J525" s="206"/>
      <c r="K525" s="206" t="s">
        <v>672</v>
      </c>
      <c r="L525" s="245">
        <v>2.086524515E9</v>
      </c>
      <c r="M525" s="265" t="s">
        <v>699</v>
      </c>
      <c r="N525" s="367"/>
      <c r="O525" s="367">
        <v>45717.0</v>
      </c>
      <c r="P525" s="367">
        <v>46081.0</v>
      </c>
      <c r="Q525" s="249"/>
      <c r="R525" s="249"/>
      <c r="S525" s="249">
        <f>L525/12</f>
        <v>173877042.9</v>
      </c>
      <c r="T525" s="249">
        <f t="shared" ref="T525:AB525" si="283">S525</f>
        <v>173877042.9</v>
      </c>
      <c r="U525" s="249">
        <f t="shared" si="283"/>
        <v>173877042.9</v>
      </c>
      <c r="V525" s="249">
        <f t="shared" si="283"/>
        <v>173877042.9</v>
      </c>
      <c r="W525" s="249">
        <f t="shared" si="283"/>
        <v>173877042.9</v>
      </c>
      <c r="X525" s="249">
        <f t="shared" si="283"/>
        <v>173877042.9</v>
      </c>
      <c r="Y525" s="249">
        <f t="shared" si="283"/>
        <v>173877042.9</v>
      </c>
      <c r="Z525" s="249">
        <f t="shared" si="283"/>
        <v>173877042.9</v>
      </c>
      <c r="AA525" s="249">
        <f t="shared" si="283"/>
        <v>173877042.9</v>
      </c>
      <c r="AB525" s="249">
        <f t="shared" si="283"/>
        <v>173877042.9</v>
      </c>
      <c r="AC525" s="213">
        <f t="shared" si="284"/>
        <v>1738770429</v>
      </c>
      <c r="AD525" s="271"/>
      <c r="AE525" s="192"/>
      <c r="AF525" s="194"/>
      <c r="AG525" s="194"/>
      <c r="AH525" s="194"/>
      <c r="AI525" s="194"/>
    </row>
    <row r="526" hidden="1">
      <c r="A526" s="126"/>
      <c r="B526" s="195"/>
      <c r="C526" s="222"/>
      <c r="D526" s="250" t="s">
        <v>701</v>
      </c>
      <c r="E526" s="224"/>
      <c r="F526" s="224"/>
      <c r="G526" s="224"/>
      <c r="H526" s="222"/>
      <c r="I526" s="222"/>
      <c r="J526" s="222"/>
      <c r="K526" s="222" t="s">
        <v>672</v>
      </c>
      <c r="L526" s="225"/>
      <c r="M526" s="383"/>
      <c r="N526" s="285"/>
      <c r="O526" s="285"/>
      <c r="P526" s="285"/>
      <c r="Q526" s="229">
        <f>109552016/1.11</f>
        <v>98695509.91</v>
      </c>
      <c r="R526" s="229">
        <f>121390832/1.11</f>
        <v>109361109.9</v>
      </c>
      <c r="S526" s="229">
        <f t="shared" ref="S526:T526" si="285">R526</f>
        <v>109361109.9</v>
      </c>
      <c r="T526" s="229">
        <f t="shared" si="285"/>
        <v>109361109.9</v>
      </c>
      <c r="U526" s="229">
        <v>1.56646E8</v>
      </c>
      <c r="V526" s="229">
        <v>1.56646E8</v>
      </c>
      <c r="W526" s="229">
        <f>W525</f>
        <v>173877042.9</v>
      </c>
      <c r="X526" s="230"/>
      <c r="Y526" s="230"/>
      <c r="Z526" s="230"/>
      <c r="AA526" s="230"/>
      <c r="AB526" s="230"/>
      <c r="AC526" s="231">
        <f t="shared" si="284"/>
        <v>913947882.6</v>
      </c>
      <c r="AD526" s="214"/>
      <c r="AE526" s="192"/>
      <c r="AF526" s="194"/>
      <c r="AG526" s="194"/>
      <c r="AH526" s="194"/>
      <c r="AI526" s="194"/>
    </row>
    <row r="527" hidden="1">
      <c r="A527" s="126"/>
      <c r="B527" s="195"/>
      <c r="C527" s="196"/>
      <c r="D527" s="286" t="s">
        <v>194</v>
      </c>
      <c r="E527" s="233"/>
      <c r="F527" s="233"/>
      <c r="G527" s="233"/>
      <c r="H527" s="234"/>
      <c r="I527" s="234"/>
      <c r="J527" s="222"/>
      <c r="K527" s="222" t="s">
        <v>672</v>
      </c>
      <c r="L527" s="346"/>
      <c r="M527" s="358"/>
      <c r="N527" s="365"/>
      <c r="O527" s="365"/>
      <c r="P527" s="365"/>
      <c r="Q527" s="229">
        <v>1.09552016E8</v>
      </c>
      <c r="R527" s="229">
        <v>1.21390832E8</v>
      </c>
      <c r="S527" s="238"/>
      <c r="T527" s="238"/>
      <c r="U527" s="238"/>
      <c r="V527" s="238"/>
      <c r="W527" s="238"/>
      <c r="X527" s="238"/>
      <c r="Y527" s="238"/>
      <c r="Z527" s="238"/>
      <c r="AA527" s="238"/>
      <c r="AB527" s="238"/>
      <c r="AC527" s="231">
        <f t="shared" si="284"/>
        <v>230942848</v>
      </c>
      <c r="AD527" s="214"/>
      <c r="AE527" s="192"/>
      <c r="AF527" s="194"/>
      <c r="AG527" s="194"/>
      <c r="AH527" s="194"/>
      <c r="AI527" s="194"/>
    </row>
    <row r="528" hidden="1">
      <c r="A528" s="126"/>
      <c r="B528" s="195"/>
      <c r="C528" s="196"/>
      <c r="D528" s="286" t="s">
        <v>702</v>
      </c>
      <c r="E528" s="233"/>
      <c r="F528" s="233"/>
      <c r="G528" s="233"/>
      <c r="H528" s="234"/>
      <c r="I528" s="234"/>
      <c r="J528" s="222"/>
      <c r="K528" s="222" t="s">
        <v>672</v>
      </c>
      <c r="L528" s="346"/>
      <c r="M528" s="358"/>
      <c r="N528" s="365"/>
      <c r="O528" s="365"/>
      <c r="P528" s="365"/>
      <c r="Q528" s="229">
        <v>1.09552016E8</v>
      </c>
      <c r="R528" s="229">
        <v>1.21390832E8</v>
      </c>
      <c r="S528" s="238"/>
      <c r="T528" s="238"/>
      <c r="U528" s="238"/>
      <c r="V528" s="238"/>
      <c r="W528" s="238"/>
      <c r="X528" s="238"/>
      <c r="Y528" s="238"/>
      <c r="Z528" s="238"/>
      <c r="AA528" s="238"/>
      <c r="AB528" s="238"/>
      <c r="AC528" s="231">
        <f t="shared" si="284"/>
        <v>230942848</v>
      </c>
      <c r="AD528" s="214"/>
      <c r="AE528" s="192"/>
      <c r="AF528" s="194"/>
      <c r="AG528" s="194"/>
      <c r="AH528" s="194"/>
      <c r="AI528" s="194"/>
    </row>
    <row r="529">
      <c r="A529" s="126"/>
      <c r="B529" s="195"/>
      <c r="C529" s="196">
        <v>7.0</v>
      </c>
      <c r="D529" s="354" t="s">
        <v>703</v>
      </c>
      <c r="E529" s="198" t="s">
        <v>186</v>
      </c>
      <c r="F529" s="198" t="s">
        <v>305</v>
      </c>
      <c r="G529" s="198" t="s">
        <v>92</v>
      </c>
      <c r="H529" s="198" t="s">
        <v>306</v>
      </c>
      <c r="I529" s="198" t="s">
        <v>187</v>
      </c>
      <c r="J529" s="198" t="s">
        <v>188</v>
      </c>
      <c r="K529" s="199" t="s">
        <v>672</v>
      </c>
      <c r="L529" s="347">
        <v>2.24973803E9</v>
      </c>
      <c r="M529" s="362" t="s">
        <v>704</v>
      </c>
      <c r="N529" s="366"/>
      <c r="O529" s="366">
        <v>45717.0</v>
      </c>
      <c r="P529" s="366">
        <f>O529+364</f>
        <v>46081</v>
      </c>
      <c r="Q529" s="631">
        <v>1.53786071E8</v>
      </c>
      <c r="R529" s="631">
        <v>1.53786071E8</v>
      </c>
      <c r="S529" s="631">
        <v>1.53786071E8</v>
      </c>
      <c r="T529" s="631">
        <v>1.53786071E8</v>
      </c>
      <c r="U529" s="631">
        <v>1.53786071E8</v>
      </c>
      <c r="V529" s="631">
        <v>1.53786071E8</v>
      </c>
      <c r="W529" s="631">
        <v>1.53786071E8</v>
      </c>
      <c r="X529" s="631">
        <v>1.53786071E8</v>
      </c>
      <c r="Y529" s="631">
        <v>1.53786071E8</v>
      </c>
      <c r="Z529" s="631">
        <v>1.53786071E8</v>
      </c>
      <c r="AA529" s="631">
        <v>1.53786071E8</v>
      </c>
      <c r="AB529" s="631">
        <v>1.53786071E8</v>
      </c>
      <c r="AC529" s="689">
        <v>1.845432852E9</v>
      </c>
      <c r="AD529" s="178">
        <f>SUM(Q529:AB529)-AC529</f>
        <v>0</v>
      </c>
      <c r="AE529" s="241"/>
      <c r="AF529" s="194"/>
      <c r="AG529" s="194"/>
      <c r="AH529" s="194"/>
      <c r="AI529" s="194"/>
    </row>
    <row r="530" hidden="1">
      <c r="A530" s="126"/>
      <c r="B530" s="195"/>
      <c r="C530" s="206"/>
      <c r="D530" s="207"/>
      <c r="E530" s="207"/>
      <c r="F530" s="207"/>
      <c r="G530" s="207"/>
      <c r="H530" s="206"/>
      <c r="I530" s="206"/>
      <c r="J530" s="206"/>
      <c r="K530" s="206" t="s">
        <v>672</v>
      </c>
      <c r="L530" s="460"/>
      <c r="M530" s="460"/>
      <c r="N530" s="691"/>
      <c r="O530" s="691"/>
      <c r="P530" s="691">
        <f>P529</f>
        <v>46081</v>
      </c>
      <c r="Q530" s="249">
        <f>L529/12</f>
        <v>187478169.2</v>
      </c>
      <c r="R530" s="249">
        <f>Q530</f>
        <v>187478169.2</v>
      </c>
      <c r="S530" s="249"/>
      <c r="T530" s="212"/>
      <c r="U530" s="212"/>
      <c r="V530" s="212"/>
      <c r="W530" s="212"/>
      <c r="X530" s="212"/>
      <c r="Y530" s="212"/>
      <c r="Z530" s="212"/>
      <c r="AA530" s="212"/>
      <c r="AB530" s="212"/>
      <c r="AC530" s="213">
        <f t="shared" ref="AC530:AC534" si="287">SUM(Q530:AB530)</f>
        <v>374956338.3</v>
      </c>
      <c r="AD530" s="214"/>
      <c r="AE530" s="241"/>
      <c r="AF530" s="194"/>
      <c r="AG530" s="194"/>
      <c r="AH530" s="194"/>
      <c r="AI530" s="194"/>
    </row>
    <row r="531" hidden="1">
      <c r="A531" s="126"/>
      <c r="B531" s="195"/>
      <c r="C531" s="206"/>
      <c r="D531" s="688" t="s">
        <v>700</v>
      </c>
      <c r="E531" s="207"/>
      <c r="F531" s="207"/>
      <c r="G531" s="207"/>
      <c r="H531" s="206"/>
      <c r="I531" s="206"/>
      <c r="J531" s="206"/>
      <c r="K531" s="206" t="s">
        <v>672</v>
      </c>
      <c r="L531" s="245">
        <f>2249738030</f>
        <v>2249738030</v>
      </c>
      <c r="M531" s="265" t="s">
        <v>704</v>
      </c>
      <c r="N531" s="367"/>
      <c r="O531" s="367">
        <v>45717.0</v>
      </c>
      <c r="P531" s="367">
        <v>46081.0</v>
      </c>
      <c r="Q531" s="249"/>
      <c r="R531" s="249"/>
      <c r="S531" s="249">
        <f>L531/12</f>
        <v>187478169.2</v>
      </c>
      <c r="T531" s="212">
        <f t="shared" ref="T531:AB531" si="286">S531</f>
        <v>187478169.2</v>
      </c>
      <c r="U531" s="212">
        <f t="shared" si="286"/>
        <v>187478169.2</v>
      </c>
      <c r="V531" s="212">
        <f t="shared" si="286"/>
        <v>187478169.2</v>
      </c>
      <c r="W531" s="212">
        <f t="shared" si="286"/>
        <v>187478169.2</v>
      </c>
      <c r="X531" s="212">
        <f t="shared" si="286"/>
        <v>187478169.2</v>
      </c>
      <c r="Y531" s="212">
        <f t="shared" si="286"/>
        <v>187478169.2</v>
      </c>
      <c r="Z531" s="212">
        <f t="shared" si="286"/>
        <v>187478169.2</v>
      </c>
      <c r="AA531" s="212">
        <f t="shared" si="286"/>
        <v>187478169.2</v>
      </c>
      <c r="AB531" s="212">
        <f t="shared" si="286"/>
        <v>187478169.2</v>
      </c>
      <c r="AC531" s="213">
        <f t="shared" si="287"/>
        <v>1874781692</v>
      </c>
      <c r="AD531" s="214"/>
      <c r="AE531" s="241"/>
      <c r="AF531" s="194"/>
      <c r="AG531" s="194"/>
      <c r="AH531" s="194"/>
      <c r="AI531" s="194"/>
    </row>
    <row r="532" hidden="1">
      <c r="A532" s="126"/>
      <c r="B532" s="195"/>
      <c r="C532" s="222"/>
      <c r="D532" s="250" t="s">
        <v>705</v>
      </c>
      <c r="E532" s="224"/>
      <c r="F532" s="224"/>
      <c r="G532" s="224"/>
      <c r="H532" s="222"/>
      <c r="I532" s="222"/>
      <c r="J532" s="222"/>
      <c r="K532" s="222" t="s">
        <v>672</v>
      </c>
      <c r="L532" s="225"/>
      <c r="M532" s="383"/>
      <c r="N532" s="285"/>
      <c r="O532" s="285"/>
      <c r="P532" s="285"/>
      <c r="Q532" s="229">
        <f>172589460</f>
        <v>172589460</v>
      </c>
      <c r="R532" s="229">
        <f t="shared" ref="R532:T532" si="288">159915258</f>
        <v>159915258</v>
      </c>
      <c r="S532" s="229">
        <f t="shared" si="288"/>
        <v>159915258</v>
      </c>
      <c r="T532" s="229">
        <f t="shared" si="288"/>
        <v>159915258</v>
      </c>
      <c r="U532" s="229">
        <v>1.68899252E8</v>
      </c>
      <c r="V532" s="238">
        <f>U532</f>
        <v>168899252</v>
      </c>
      <c r="W532" s="238">
        <f>W531</f>
        <v>187478169.2</v>
      </c>
      <c r="X532" s="230"/>
      <c r="Y532" s="230"/>
      <c r="Z532" s="230"/>
      <c r="AA532" s="230"/>
      <c r="AB532" s="230"/>
      <c r="AC532" s="231">
        <f t="shared" si="287"/>
        <v>1177611907</v>
      </c>
      <c r="AD532" s="214"/>
      <c r="AE532" s="692"/>
      <c r="AF532" s="194"/>
      <c r="AG532" s="273"/>
      <c r="AH532" s="273"/>
      <c r="AI532" s="273"/>
    </row>
    <row r="533" hidden="1">
      <c r="A533" s="126"/>
      <c r="B533" s="195"/>
      <c r="C533" s="196"/>
      <c r="D533" s="286" t="s">
        <v>194</v>
      </c>
      <c r="E533" s="233"/>
      <c r="F533" s="233"/>
      <c r="G533" s="233"/>
      <c r="H533" s="234"/>
      <c r="I533" s="234"/>
      <c r="J533" s="222"/>
      <c r="K533" s="222" t="s">
        <v>672</v>
      </c>
      <c r="L533" s="346"/>
      <c r="M533" s="358"/>
      <c r="N533" s="365"/>
      <c r="O533" s="365"/>
      <c r="P533" s="365"/>
      <c r="Q533" s="229">
        <v>1.7258946E8</v>
      </c>
      <c r="R533" s="229">
        <v>1.59915258E8</v>
      </c>
      <c r="S533" s="238"/>
      <c r="T533" s="238"/>
      <c r="U533" s="238"/>
      <c r="V533" s="238"/>
      <c r="W533" s="238"/>
      <c r="X533" s="238"/>
      <c r="Y533" s="238"/>
      <c r="Z533" s="238"/>
      <c r="AA533" s="238"/>
      <c r="AB533" s="238"/>
      <c r="AC533" s="231">
        <f t="shared" si="287"/>
        <v>332504718</v>
      </c>
      <c r="AD533" s="214"/>
      <c r="AE533" s="241"/>
      <c r="AF533" s="194"/>
      <c r="AG533" s="194"/>
      <c r="AH533" s="194"/>
      <c r="AI533" s="194"/>
    </row>
    <row r="534" hidden="1">
      <c r="A534" s="126"/>
      <c r="B534" s="195"/>
      <c r="C534" s="196"/>
      <c r="D534" s="286" t="s">
        <v>706</v>
      </c>
      <c r="E534" s="233"/>
      <c r="F534" s="233"/>
      <c r="G534" s="233"/>
      <c r="H534" s="234"/>
      <c r="I534" s="234"/>
      <c r="J534" s="222"/>
      <c r="K534" s="222" t="s">
        <v>672</v>
      </c>
      <c r="L534" s="346"/>
      <c r="M534" s="358"/>
      <c r="N534" s="365"/>
      <c r="O534" s="365"/>
      <c r="P534" s="365"/>
      <c r="Q534" s="229">
        <v>1.7258946E8</v>
      </c>
      <c r="R534" s="229">
        <v>1.59915258E8</v>
      </c>
      <c r="S534" s="238"/>
      <c r="T534" s="238"/>
      <c r="U534" s="238"/>
      <c r="V534" s="238"/>
      <c r="W534" s="238"/>
      <c r="X534" s="238"/>
      <c r="Y534" s="238"/>
      <c r="Z534" s="238"/>
      <c r="AA534" s="238"/>
      <c r="AB534" s="238"/>
      <c r="AC534" s="231">
        <f t="shared" si="287"/>
        <v>332504718</v>
      </c>
      <c r="AD534" s="214"/>
      <c r="AE534" s="241"/>
      <c r="AF534" s="194"/>
      <c r="AG534" s="194"/>
      <c r="AH534" s="194"/>
      <c r="AI534" s="194"/>
    </row>
    <row r="535">
      <c r="A535" s="126"/>
      <c r="B535" s="195"/>
      <c r="C535" s="196">
        <v>8.0</v>
      </c>
      <c r="D535" s="354" t="s">
        <v>707</v>
      </c>
      <c r="E535" s="198" t="s">
        <v>186</v>
      </c>
      <c r="F535" s="198" t="s">
        <v>103</v>
      </c>
      <c r="G535" s="198" t="s">
        <v>86</v>
      </c>
      <c r="H535" s="198" t="s">
        <v>86</v>
      </c>
      <c r="I535" s="198" t="s">
        <v>187</v>
      </c>
      <c r="J535" s="198" t="s">
        <v>188</v>
      </c>
      <c r="K535" s="199" t="s">
        <v>672</v>
      </c>
      <c r="L535" s="347">
        <v>1.840401E9</v>
      </c>
      <c r="M535" s="362" t="s">
        <v>708</v>
      </c>
      <c r="N535" s="366"/>
      <c r="O535" s="366">
        <v>45658.0</v>
      </c>
      <c r="P535" s="366">
        <f>O535+364</f>
        <v>46022</v>
      </c>
      <c r="Q535" s="631">
        <v>7.5833333E7</v>
      </c>
      <c r="R535" s="631">
        <v>7.5833333E7</v>
      </c>
      <c r="S535" s="631">
        <v>7.5833333E7</v>
      </c>
      <c r="T535" s="631">
        <v>7.5833333E7</v>
      </c>
      <c r="U535" s="631">
        <v>7.5833333E7</v>
      </c>
      <c r="V535" s="631">
        <v>7.5833333E7</v>
      </c>
      <c r="W535" s="631">
        <v>7.5833333E7</v>
      </c>
      <c r="X535" s="631">
        <v>7.5833333E7</v>
      </c>
      <c r="Y535" s="631">
        <v>7.5833333E7</v>
      </c>
      <c r="Z535" s="631">
        <v>7.5833333E7</v>
      </c>
      <c r="AA535" s="631">
        <v>7.5833333E7</v>
      </c>
      <c r="AB535" s="631">
        <v>7.5833333E7</v>
      </c>
      <c r="AC535" s="689">
        <v>9.09999996E8</v>
      </c>
      <c r="AD535" s="178">
        <f>SUM(Q535:AB535)-AC535</f>
        <v>0</v>
      </c>
      <c r="AE535" s="241"/>
      <c r="AF535" s="194"/>
      <c r="AG535" s="194"/>
      <c r="AH535" s="194"/>
      <c r="AI535" s="194"/>
    </row>
    <row r="536" hidden="1">
      <c r="A536" s="126"/>
      <c r="B536" s="195"/>
      <c r="C536" s="206"/>
      <c r="D536" s="215" t="s">
        <v>709</v>
      </c>
      <c r="E536" s="207"/>
      <c r="F536" s="207"/>
      <c r="G536" s="207"/>
      <c r="H536" s="206"/>
      <c r="I536" s="206"/>
      <c r="J536" s="206"/>
      <c r="K536" s="206" t="s">
        <v>672</v>
      </c>
      <c r="L536" s="277">
        <f>1840401000</f>
        <v>1840401000</v>
      </c>
      <c r="M536" s="265" t="s">
        <v>708</v>
      </c>
      <c r="N536" s="367"/>
      <c r="O536" s="367">
        <v>45658.0</v>
      </c>
      <c r="P536" s="367">
        <v>46022.0</v>
      </c>
      <c r="Q536" s="249">
        <f>L536/12</f>
        <v>153366750</v>
      </c>
      <c r="R536" s="249">
        <f t="shared" ref="R536:AB536" si="289">Q536</f>
        <v>153366750</v>
      </c>
      <c r="S536" s="249">
        <f t="shared" si="289"/>
        <v>153366750</v>
      </c>
      <c r="T536" s="249">
        <f t="shared" si="289"/>
        <v>153366750</v>
      </c>
      <c r="U536" s="249">
        <f t="shared" si="289"/>
        <v>153366750</v>
      </c>
      <c r="V536" s="249">
        <f t="shared" si="289"/>
        <v>153366750</v>
      </c>
      <c r="W536" s="249">
        <f t="shared" si="289"/>
        <v>153366750</v>
      </c>
      <c r="X536" s="249">
        <f t="shared" si="289"/>
        <v>153366750</v>
      </c>
      <c r="Y536" s="249">
        <f t="shared" si="289"/>
        <v>153366750</v>
      </c>
      <c r="Z536" s="249">
        <f t="shared" si="289"/>
        <v>153366750</v>
      </c>
      <c r="AA536" s="249">
        <f t="shared" si="289"/>
        <v>153366750</v>
      </c>
      <c r="AB536" s="249">
        <f t="shared" si="289"/>
        <v>153366750</v>
      </c>
      <c r="AC536" s="213">
        <f t="shared" ref="AC536:AC539" si="290">SUM(Q536:AB536)</f>
        <v>1840401000</v>
      </c>
      <c r="AD536" s="264"/>
      <c r="AE536" s="241"/>
      <c r="AF536" s="194"/>
      <c r="AG536" s="194"/>
      <c r="AH536" s="194"/>
      <c r="AI536" s="194"/>
    </row>
    <row r="537" hidden="1">
      <c r="A537" s="126"/>
      <c r="B537" s="195"/>
      <c r="C537" s="222"/>
      <c r="D537" s="250" t="s">
        <v>710</v>
      </c>
      <c r="E537" s="224"/>
      <c r="F537" s="224"/>
      <c r="G537" s="224"/>
      <c r="H537" s="222"/>
      <c r="I537" s="222"/>
      <c r="J537" s="222"/>
      <c r="K537" s="222" t="s">
        <v>672</v>
      </c>
      <c r="L537" s="225"/>
      <c r="M537" s="383"/>
      <c r="N537" s="285"/>
      <c r="O537" s="285"/>
      <c r="P537" s="285"/>
      <c r="Q537" s="270">
        <f t="shared" ref="Q537:Q538" si="291">103326713</f>
        <v>103326713</v>
      </c>
      <c r="R537" s="270">
        <v>1.02421175E8</v>
      </c>
      <c r="S537" s="270">
        <v>1.03665541E8</v>
      </c>
      <c r="T537" s="270">
        <v>1.30928803E8</v>
      </c>
      <c r="U537" s="270">
        <v>1.92834501E8</v>
      </c>
      <c r="V537" s="270">
        <f>U537</f>
        <v>192834501</v>
      </c>
      <c r="W537" s="230">
        <f>W536</f>
        <v>153366750</v>
      </c>
      <c r="X537" s="230"/>
      <c r="Y537" s="230"/>
      <c r="Z537" s="230"/>
      <c r="AA537" s="230"/>
      <c r="AB537" s="230"/>
      <c r="AC537" s="231">
        <f t="shared" si="290"/>
        <v>979377984</v>
      </c>
      <c r="AD537" s="214"/>
      <c r="AE537" s="192"/>
      <c r="AF537" s="194"/>
      <c r="AG537" s="194"/>
      <c r="AH537" s="194"/>
      <c r="AI537" s="194"/>
    </row>
    <row r="538" hidden="1">
      <c r="A538" s="126"/>
      <c r="B538" s="392"/>
      <c r="C538" s="433"/>
      <c r="D538" s="286" t="s">
        <v>194</v>
      </c>
      <c r="E538" s="509"/>
      <c r="F538" s="693"/>
      <c r="G538" s="509"/>
      <c r="H538" s="510"/>
      <c r="I538" s="510"/>
      <c r="J538" s="511"/>
      <c r="K538" s="222" t="s">
        <v>672</v>
      </c>
      <c r="L538" s="346"/>
      <c r="M538" s="358"/>
      <c r="N538" s="365"/>
      <c r="O538" s="365"/>
      <c r="P538" s="365"/>
      <c r="Q538" s="229">
        <f t="shared" si="291"/>
        <v>103326713</v>
      </c>
      <c r="R538" s="229">
        <v>1.02421175E8</v>
      </c>
      <c r="S538" s="229">
        <v>1.03665541E8</v>
      </c>
      <c r="T538" s="229">
        <v>1.30928803E8</v>
      </c>
      <c r="U538" s="229">
        <v>1.92834501E8</v>
      </c>
      <c r="V538" s="229">
        <v>1.65622851E8</v>
      </c>
      <c r="W538" s="452"/>
      <c r="X538" s="452"/>
      <c r="Y538" s="452"/>
      <c r="Z538" s="452"/>
      <c r="AA538" s="452"/>
      <c r="AB538" s="452"/>
      <c r="AC538" s="231">
        <f t="shared" si="290"/>
        <v>798799584</v>
      </c>
      <c r="AD538" s="214"/>
      <c r="AE538" s="192"/>
      <c r="AF538" s="194"/>
      <c r="AG538" s="194"/>
      <c r="AH538" s="194"/>
      <c r="AI538" s="194"/>
    </row>
    <row r="539" hidden="1">
      <c r="A539" s="126"/>
      <c r="B539" s="392"/>
      <c r="C539" s="433"/>
      <c r="D539" s="286" t="s">
        <v>711</v>
      </c>
      <c r="E539" s="509"/>
      <c r="F539" s="693"/>
      <c r="G539" s="509"/>
      <c r="H539" s="510"/>
      <c r="I539" s="510"/>
      <c r="J539" s="511"/>
      <c r="K539" s="222" t="s">
        <v>672</v>
      </c>
      <c r="L539" s="346"/>
      <c r="M539" s="358"/>
      <c r="N539" s="365"/>
      <c r="O539" s="365"/>
      <c r="P539" s="365"/>
      <c r="Q539" s="452"/>
      <c r="R539" s="452"/>
      <c r="S539" s="452"/>
      <c r="T539" s="452"/>
      <c r="U539" s="452"/>
      <c r="V539" s="452"/>
      <c r="W539" s="452"/>
      <c r="X539" s="452"/>
      <c r="Y539" s="452"/>
      <c r="Z539" s="452"/>
      <c r="AA539" s="452"/>
      <c r="AB539" s="452"/>
      <c r="AC539" s="231">
        <f t="shared" si="290"/>
        <v>0</v>
      </c>
      <c r="AD539" s="214"/>
      <c r="AE539" s="192"/>
      <c r="AF539" s="194"/>
      <c r="AG539" s="194"/>
      <c r="AH539" s="194"/>
      <c r="AI539" s="194"/>
    </row>
    <row r="540" ht="33.0" customHeight="1">
      <c r="A540" s="126"/>
      <c r="B540" s="392"/>
      <c r="C540" s="694">
        <v>9.0</v>
      </c>
      <c r="D540" s="695" t="s">
        <v>712</v>
      </c>
      <c r="E540" s="198" t="s">
        <v>326</v>
      </c>
      <c r="F540" s="198" t="s">
        <v>103</v>
      </c>
      <c r="G540" s="198" t="s">
        <v>84</v>
      </c>
      <c r="H540" s="198" t="s">
        <v>84</v>
      </c>
      <c r="I540" s="198" t="s">
        <v>187</v>
      </c>
      <c r="J540" s="198" t="s">
        <v>188</v>
      </c>
      <c r="K540" s="696" t="s">
        <v>672</v>
      </c>
      <c r="L540" s="697">
        <v>1.974192E9</v>
      </c>
      <c r="M540" s="387" t="s">
        <v>713</v>
      </c>
      <c r="N540" s="698"/>
      <c r="O540" s="698">
        <v>45658.0</v>
      </c>
      <c r="P540" s="698">
        <f>O540+364</f>
        <v>46022</v>
      </c>
      <c r="Q540" s="400">
        <v>1.1289606E8</v>
      </c>
      <c r="R540" s="400">
        <v>1.1289606E8</v>
      </c>
      <c r="S540" s="400">
        <v>1.1289606E8</v>
      </c>
      <c r="T540" s="400">
        <v>1.1289606E8</v>
      </c>
      <c r="U540" s="400">
        <v>1.1289606E8</v>
      </c>
      <c r="V540" s="400">
        <v>1.1289606E8</v>
      </c>
      <c r="W540" s="400">
        <v>1.1289606E8</v>
      </c>
      <c r="X540" s="400">
        <v>1.1289606E8</v>
      </c>
      <c r="Y540" s="400">
        <v>1.1289606E8</v>
      </c>
      <c r="Z540" s="400">
        <v>1.1289606E8</v>
      </c>
      <c r="AA540" s="400">
        <v>1.1289606E8</v>
      </c>
      <c r="AB540" s="400">
        <v>1.1289606E8</v>
      </c>
      <c r="AC540" s="689">
        <v>1.35475272E9</v>
      </c>
      <c r="AD540" s="178">
        <f>SUM(Q540:AB540)-AC540</f>
        <v>0</v>
      </c>
      <c r="AE540" s="192"/>
      <c r="AF540" s="194"/>
      <c r="AG540" s="194"/>
      <c r="AH540" s="194"/>
      <c r="AI540" s="194"/>
    </row>
    <row r="541" hidden="1">
      <c r="A541" s="126"/>
      <c r="B541" s="392"/>
      <c r="C541" s="206"/>
      <c r="D541" s="207"/>
      <c r="E541" s="534"/>
      <c r="F541" s="534"/>
      <c r="G541" s="534"/>
      <c r="H541" s="523"/>
      <c r="I541" s="523"/>
      <c r="J541" s="497"/>
      <c r="K541" s="497" t="s">
        <v>672</v>
      </c>
      <c r="L541" s="282">
        <f>1974192000</f>
        <v>1974192000</v>
      </c>
      <c r="M541" s="265" t="s">
        <v>713</v>
      </c>
      <c r="N541" s="699"/>
      <c r="O541" s="699">
        <v>45658.0</v>
      </c>
      <c r="P541" s="699">
        <v>46022.0</v>
      </c>
      <c r="Q541" s="448">
        <f>L541/12</f>
        <v>164516000</v>
      </c>
      <c r="R541" s="448">
        <f t="shared" ref="R541:AB541" si="292">Q541</f>
        <v>164516000</v>
      </c>
      <c r="S541" s="448">
        <f t="shared" si="292"/>
        <v>164516000</v>
      </c>
      <c r="T541" s="448">
        <f t="shared" si="292"/>
        <v>164516000</v>
      </c>
      <c r="U541" s="448">
        <f t="shared" si="292"/>
        <v>164516000</v>
      </c>
      <c r="V541" s="448">
        <f t="shared" si="292"/>
        <v>164516000</v>
      </c>
      <c r="W541" s="448">
        <f t="shared" si="292"/>
        <v>164516000</v>
      </c>
      <c r="X541" s="448">
        <f t="shared" si="292"/>
        <v>164516000</v>
      </c>
      <c r="Y541" s="448">
        <f t="shared" si="292"/>
        <v>164516000</v>
      </c>
      <c r="Z541" s="448">
        <f t="shared" si="292"/>
        <v>164516000</v>
      </c>
      <c r="AA541" s="448">
        <f t="shared" si="292"/>
        <v>164516000</v>
      </c>
      <c r="AB541" s="448">
        <f t="shared" si="292"/>
        <v>164516000</v>
      </c>
      <c r="AC541" s="449">
        <f t="shared" ref="AC541:AC551" si="293">SUM(Q541:AB541)</f>
        <v>1974192000</v>
      </c>
      <c r="AD541" s="271"/>
      <c r="AE541" s="241"/>
      <c r="AF541" s="194"/>
      <c r="AG541" s="194"/>
      <c r="AH541" s="194"/>
      <c r="AI541" s="194"/>
    </row>
    <row r="542" hidden="1">
      <c r="A542" s="126"/>
      <c r="B542" s="392"/>
      <c r="C542" s="222"/>
      <c r="D542" s="250" t="s">
        <v>714</v>
      </c>
      <c r="E542" s="470"/>
      <c r="F542" s="470"/>
      <c r="G542" s="470"/>
      <c r="H542" s="456"/>
      <c r="I542" s="456"/>
      <c r="J542" s="222"/>
      <c r="K542" s="222" t="s">
        <v>672</v>
      </c>
      <c r="L542" s="536"/>
      <c r="M542" s="473"/>
      <c r="N542" s="537"/>
      <c r="O542" s="537"/>
      <c r="P542" s="537"/>
      <c r="Q542" s="600">
        <v>1.02421175E8</v>
      </c>
      <c r="R542" s="600">
        <v>1.84479282E8</v>
      </c>
      <c r="S542" s="600">
        <v>1.74502705E8</v>
      </c>
      <c r="T542" s="600">
        <v>1.67226456E8</v>
      </c>
      <c r="U542" s="229">
        <v>1.36497376E8</v>
      </c>
      <c r="V542" s="229">
        <f>U542</f>
        <v>136497376</v>
      </c>
      <c r="W542" s="229">
        <f>W541</f>
        <v>164516000</v>
      </c>
      <c r="X542" s="452"/>
      <c r="Y542" s="452"/>
      <c r="Z542" s="452"/>
      <c r="AA542" s="452"/>
      <c r="AB542" s="600"/>
      <c r="AC542" s="700">
        <f t="shared" si="293"/>
        <v>1066140370</v>
      </c>
      <c r="AD542" s="264"/>
      <c r="AE542" s="241"/>
      <c r="AF542" s="194"/>
      <c r="AG542" s="194"/>
      <c r="AH542" s="194"/>
      <c r="AI542" s="194"/>
    </row>
    <row r="543" hidden="1">
      <c r="A543" s="126"/>
      <c r="B543" s="701"/>
      <c r="C543" s="433"/>
      <c r="D543" s="286" t="s">
        <v>194</v>
      </c>
      <c r="E543" s="509"/>
      <c r="F543" s="693"/>
      <c r="G543" s="509"/>
      <c r="H543" s="510"/>
      <c r="I543" s="510"/>
      <c r="J543" s="511"/>
      <c r="K543" s="222" t="s">
        <v>672</v>
      </c>
      <c r="L543" s="346"/>
      <c r="M543" s="383"/>
      <c r="N543" s="702"/>
      <c r="O543" s="702"/>
      <c r="P543" s="702"/>
      <c r="Q543" s="600">
        <v>1.21920517E8</v>
      </c>
      <c r="R543" s="600">
        <v>1.84479282E8</v>
      </c>
      <c r="S543" s="600">
        <v>1.74502705E8</v>
      </c>
      <c r="T543" s="600">
        <v>1.67226456E8</v>
      </c>
      <c r="U543" s="229">
        <v>1.36497376E8</v>
      </c>
      <c r="V543" s="229">
        <v>1.94091598E8</v>
      </c>
      <c r="W543" s="452"/>
      <c r="X543" s="452"/>
      <c r="Y543" s="452"/>
      <c r="Z543" s="452"/>
      <c r="AA543" s="452"/>
      <c r="AB543" s="452"/>
      <c r="AC543" s="700">
        <f t="shared" si="293"/>
        <v>978717934</v>
      </c>
      <c r="AD543" s="214"/>
      <c r="AE543" s="192"/>
      <c r="AF543" s="194"/>
      <c r="AG543" s="194"/>
      <c r="AH543" s="194"/>
      <c r="AI543" s="194"/>
    </row>
    <row r="544" hidden="1">
      <c r="A544" s="126"/>
      <c r="B544" s="701"/>
      <c r="C544" s="433"/>
      <c r="D544" s="286" t="s">
        <v>715</v>
      </c>
      <c r="E544" s="509"/>
      <c r="F544" s="693"/>
      <c r="G544" s="509"/>
      <c r="H544" s="510"/>
      <c r="I544" s="510"/>
      <c r="J544" s="511"/>
      <c r="K544" s="222" t="s">
        <v>672</v>
      </c>
      <c r="L544" s="346"/>
      <c r="M544" s="383"/>
      <c r="N544" s="702"/>
      <c r="O544" s="702"/>
      <c r="P544" s="702"/>
      <c r="Q544" s="600">
        <v>1.21920517E8</v>
      </c>
      <c r="R544" s="600">
        <v>1.84479282E8</v>
      </c>
      <c r="S544" s="600">
        <v>1.74502705E8</v>
      </c>
      <c r="T544" s="600">
        <v>1.67226456E8</v>
      </c>
      <c r="U544" s="452"/>
      <c r="V544" s="452"/>
      <c r="W544" s="452"/>
      <c r="X544" s="452"/>
      <c r="Y544" s="452"/>
      <c r="Z544" s="452"/>
      <c r="AA544" s="452"/>
      <c r="AB544" s="452"/>
      <c r="AC544" s="700">
        <f t="shared" si="293"/>
        <v>648128960</v>
      </c>
      <c r="AD544" s="214"/>
      <c r="AE544" s="192"/>
      <c r="AF544" s="194"/>
      <c r="AG544" s="194"/>
      <c r="AH544" s="194"/>
      <c r="AI544" s="194"/>
    </row>
    <row r="545">
      <c r="A545" s="126"/>
      <c r="B545" s="703"/>
      <c r="C545" s="433">
        <v>10.0</v>
      </c>
      <c r="D545" s="704" t="s">
        <v>716</v>
      </c>
      <c r="E545" s="198" t="s">
        <v>186</v>
      </c>
      <c r="F545" s="198" t="s">
        <v>135</v>
      </c>
      <c r="G545" s="198" t="s">
        <v>135</v>
      </c>
      <c r="H545" s="198" t="s">
        <v>203</v>
      </c>
      <c r="I545" s="198" t="s">
        <v>187</v>
      </c>
      <c r="J545" s="198" t="s">
        <v>188</v>
      </c>
      <c r="K545" s="557" t="s">
        <v>672</v>
      </c>
      <c r="L545" s="436">
        <f>390964560</f>
        <v>390964560</v>
      </c>
      <c r="M545" s="479" t="s">
        <v>717</v>
      </c>
      <c r="N545" s="399"/>
      <c r="O545" s="399">
        <v>45597.0</v>
      </c>
      <c r="P545" s="399">
        <v>45808.0</v>
      </c>
      <c r="Q545" s="439"/>
      <c r="R545" s="439"/>
      <c r="S545" s="439"/>
      <c r="T545" s="439"/>
      <c r="U545" s="439"/>
      <c r="V545" s="439"/>
      <c r="W545" s="439"/>
      <c r="X545" s="439"/>
      <c r="Y545" s="439"/>
      <c r="Z545" s="439"/>
      <c r="AA545" s="439"/>
      <c r="AB545" s="439"/>
      <c r="AC545" s="440">
        <f t="shared" si="293"/>
        <v>0</v>
      </c>
      <c r="AD545" s="214"/>
      <c r="AE545" s="192"/>
      <c r="AF545" s="194"/>
      <c r="AG545" s="194"/>
      <c r="AH545" s="194"/>
      <c r="AI545" s="194"/>
    </row>
    <row r="546" hidden="1">
      <c r="A546" s="126"/>
      <c r="B546" s="703"/>
      <c r="C546" s="216"/>
      <c r="D546" s="688"/>
      <c r="E546" s="534"/>
      <c r="F546" s="534"/>
      <c r="G546" s="534"/>
      <c r="H546" s="523"/>
      <c r="I546" s="523"/>
      <c r="J546" s="206"/>
      <c r="K546" s="523" t="s">
        <v>672</v>
      </c>
      <c r="L546" s="705"/>
      <c r="M546" s="705"/>
      <c r="N546" s="706"/>
      <c r="O546" s="706"/>
      <c r="P546" s="706">
        <f>P545</f>
        <v>45808</v>
      </c>
      <c r="Q546" s="447">
        <f>L545/7</f>
        <v>55852080</v>
      </c>
      <c r="R546" s="447">
        <f t="shared" ref="R546:U546" si="294">Q546</f>
        <v>55852080</v>
      </c>
      <c r="S546" s="447">
        <f t="shared" si="294"/>
        <v>55852080</v>
      </c>
      <c r="T546" s="447">
        <f t="shared" si="294"/>
        <v>55852080</v>
      </c>
      <c r="U546" s="447">
        <f t="shared" si="294"/>
        <v>55852080</v>
      </c>
      <c r="V546" s="447"/>
      <c r="W546" s="447"/>
      <c r="X546" s="447"/>
      <c r="Y546" s="447"/>
      <c r="Z546" s="447"/>
      <c r="AA546" s="447"/>
      <c r="AB546" s="447"/>
      <c r="AC546" s="449">
        <f t="shared" si="293"/>
        <v>279260400</v>
      </c>
      <c r="AD546" s="214"/>
      <c r="AE546" s="192"/>
      <c r="AF546" s="194"/>
      <c r="AG546" s="194"/>
      <c r="AH546" s="194"/>
      <c r="AI546" s="194"/>
    </row>
    <row r="547" hidden="1">
      <c r="A547" s="126"/>
      <c r="B547" s="703"/>
      <c r="C547" s="216"/>
      <c r="D547" s="390" t="s">
        <v>718</v>
      </c>
      <c r="E547" s="534"/>
      <c r="F547" s="534"/>
      <c r="G547" s="534"/>
      <c r="H547" s="523"/>
      <c r="I547" s="523"/>
      <c r="J547" s="206"/>
      <c r="K547" s="523" t="s">
        <v>672</v>
      </c>
      <c r="L547" s="444">
        <f>(1485319488*11%)+1485319488</f>
        <v>1648704632</v>
      </c>
      <c r="M547" s="485" t="s">
        <v>719</v>
      </c>
      <c r="N547" s="699"/>
      <c r="O547" s="699">
        <v>45809.0</v>
      </c>
      <c r="P547" s="699">
        <v>46538.0</v>
      </c>
      <c r="Q547" s="447"/>
      <c r="R547" s="447"/>
      <c r="S547" s="447"/>
      <c r="T547" s="447"/>
      <c r="U547" s="447"/>
      <c r="V547" s="447">
        <f>L547/24</f>
        <v>68696026.32</v>
      </c>
      <c r="W547" s="447">
        <f t="shared" ref="W547:AB547" si="295">V547</f>
        <v>68696026.32</v>
      </c>
      <c r="X547" s="447">
        <f t="shared" si="295"/>
        <v>68696026.32</v>
      </c>
      <c r="Y547" s="447">
        <f t="shared" si="295"/>
        <v>68696026.32</v>
      </c>
      <c r="Z547" s="447">
        <f t="shared" si="295"/>
        <v>68696026.32</v>
      </c>
      <c r="AA547" s="447">
        <f t="shared" si="295"/>
        <v>68696026.32</v>
      </c>
      <c r="AB547" s="447">
        <f t="shared" si="295"/>
        <v>68696026.32</v>
      </c>
      <c r="AC547" s="449">
        <f t="shared" si="293"/>
        <v>480872184.2</v>
      </c>
      <c r="AD547" s="214"/>
      <c r="AE547" s="192"/>
      <c r="AF547" s="194"/>
      <c r="AG547" s="194"/>
      <c r="AH547" s="194"/>
      <c r="AI547" s="194"/>
    </row>
    <row r="548" hidden="1">
      <c r="A548" s="126"/>
      <c r="B548" s="555"/>
      <c r="C548" s="222"/>
      <c r="D548" s="250" t="s">
        <v>720</v>
      </c>
      <c r="E548" s="470"/>
      <c r="F548" s="470"/>
      <c r="G548" s="470"/>
      <c r="H548" s="456"/>
      <c r="I548" s="456"/>
      <c r="J548" s="222"/>
      <c r="K548" s="222" t="s">
        <v>672</v>
      </c>
      <c r="L548" s="536"/>
      <c r="M548" s="473"/>
      <c r="N548" s="365"/>
      <c r="O548" s="365"/>
      <c r="P548" s="365"/>
      <c r="Q548" s="600">
        <v>6.0184801E7</v>
      </c>
      <c r="R548" s="600">
        <v>6.1995813E7</v>
      </c>
      <c r="S548" s="600">
        <v>6.1995813E7</v>
      </c>
      <c r="T548" s="600">
        <v>6.1995813E7</v>
      </c>
      <c r="U548" s="600">
        <v>6.1995813E7</v>
      </c>
      <c r="V548" s="238">
        <f t="shared" ref="V548:W548" si="296">V547</f>
        <v>68696026.32</v>
      </c>
      <c r="W548" s="238">
        <f t="shared" si="296"/>
        <v>68696026.32</v>
      </c>
      <c r="X548" s="452"/>
      <c r="Y548" s="452"/>
      <c r="Z548" s="452"/>
      <c r="AA548" s="452"/>
      <c r="AB548" s="452"/>
      <c r="AC548" s="378">
        <f t="shared" si="293"/>
        <v>445560105.6</v>
      </c>
      <c r="AD548" s="214"/>
      <c r="AE548" s="241"/>
      <c r="AF548" s="194"/>
      <c r="AG548" s="194"/>
      <c r="AH548" s="194"/>
      <c r="AI548" s="194"/>
    </row>
    <row r="549" hidden="1">
      <c r="A549" s="126"/>
      <c r="B549" s="555"/>
      <c r="C549" s="196"/>
      <c r="D549" s="286" t="s">
        <v>194</v>
      </c>
      <c r="E549" s="233"/>
      <c r="F549" s="233"/>
      <c r="G549" s="233"/>
      <c r="H549" s="234"/>
      <c r="I549" s="234"/>
      <c r="J549" s="222"/>
      <c r="K549" s="222" t="s">
        <v>672</v>
      </c>
      <c r="L549" s="707"/>
      <c r="M549" s="707"/>
      <c r="N549" s="708"/>
      <c r="O549" s="708"/>
      <c r="P549" s="708"/>
      <c r="Q549" s="600">
        <v>6.0184801E7</v>
      </c>
      <c r="R549" s="600">
        <v>6.1995813E7</v>
      </c>
      <c r="S549" s="600">
        <v>6.1995813E7</v>
      </c>
      <c r="T549" s="600">
        <v>6.1995813E7</v>
      </c>
      <c r="U549" s="600">
        <v>6.1995813E7</v>
      </c>
      <c r="V549" s="238"/>
      <c r="W549" s="238"/>
      <c r="X549" s="238"/>
      <c r="Y549" s="238"/>
      <c r="Z549" s="238"/>
      <c r="AA549" s="238"/>
      <c r="AB549" s="238"/>
      <c r="AC549" s="378">
        <f t="shared" si="293"/>
        <v>308168053</v>
      </c>
      <c r="AD549" s="214"/>
      <c r="AE549" s="241"/>
      <c r="AF549" s="194"/>
      <c r="AG549" s="194"/>
      <c r="AH549" s="194"/>
      <c r="AI549" s="194"/>
    </row>
    <row r="550" hidden="1">
      <c r="A550" s="126"/>
      <c r="B550" s="555"/>
      <c r="C550" s="196"/>
      <c r="D550" s="286" t="s">
        <v>721</v>
      </c>
      <c r="E550" s="233"/>
      <c r="F550" s="233"/>
      <c r="G550" s="233"/>
      <c r="H550" s="234"/>
      <c r="I550" s="234"/>
      <c r="J550" s="222"/>
      <c r="K550" s="222" t="s">
        <v>672</v>
      </c>
      <c r="L550" s="707"/>
      <c r="M550" s="707"/>
      <c r="N550" s="708"/>
      <c r="O550" s="708"/>
      <c r="P550" s="708"/>
      <c r="Q550" s="600">
        <v>6.0184801E7</v>
      </c>
      <c r="R550" s="600">
        <v>6.1995813E7</v>
      </c>
      <c r="S550" s="600">
        <v>6.1995813E7</v>
      </c>
      <c r="T550" s="600">
        <v>6.1995813E7</v>
      </c>
      <c r="U550" s="452">
        <f>U549</f>
        <v>61995813</v>
      </c>
      <c r="V550" s="238"/>
      <c r="W550" s="238"/>
      <c r="X550" s="238"/>
      <c r="Y550" s="238"/>
      <c r="Z550" s="238"/>
      <c r="AA550" s="238"/>
      <c r="AB550" s="238"/>
      <c r="AC550" s="378">
        <f t="shared" si="293"/>
        <v>308168053</v>
      </c>
      <c r="AD550" s="214"/>
      <c r="AE550" s="241"/>
      <c r="AF550" s="194"/>
      <c r="AG550" s="194"/>
      <c r="AH550" s="194"/>
      <c r="AI550" s="194"/>
    </row>
    <row r="551">
      <c r="A551" s="126"/>
      <c r="B551" s="555"/>
      <c r="C551" s="433">
        <v>11.0</v>
      </c>
      <c r="D551" s="603" t="s">
        <v>722</v>
      </c>
      <c r="E551" s="198" t="s">
        <v>326</v>
      </c>
      <c r="F551" s="198" t="s">
        <v>103</v>
      </c>
      <c r="G551" s="198" t="s">
        <v>84</v>
      </c>
      <c r="H551" s="198" t="s">
        <v>84</v>
      </c>
      <c r="I551" s="198" t="s">
        <v>187</v>
      </c>
      <c r="J551" s="198" t="s">
        <v>188</v>
      </c>
      <c r="K551" s="529" t="s">
        <v>672</v>
      </c>
      <c r="L551" s="709">
        <v>1.3943095E10</v>
      </c>
      <c r="M551" s="479" t="s">
        <v>723</v>
      </c>
      <c r="N551" s="438"/>
      <c r="O551" s="438">
        <v>45359.0</v>
      </c>
      <c r="P551" s="438">
        <v>45598.0</v>
      </c>
      <c r="Q551" s="710"/>
      <c r="R551" s="710"/>
      <c r="S551" s="710"/>
      <c r="T551" s="710"/>
      <c r="U551" s="710"/>
      <c r="V551" s="710"/>
      <c r="W551" s="710"/>
      <c r="X551" s="710"/>
      <c r="Y551" s="710"/>
      <c r="Z551" s="710"/>
      <c r="AA551" s="710"/>
      <c r="AB551" s="710"/>
      <c r="AC551" s="440">
        <f t="shared" si="293"/>
        <v>0</v>
      </c>
      <c r="AD551" s="214"/>
      <c r="AE551" s="192"/>
      <c r="AF551" s="194">
        <f>SUM(AF562:AF1147)</f>
        <v>836996160944</v>
      </c>
      <c r="AG551" s="194"/>
      <c r="AH551" s="194"/>
      <c r="AI551" s="194"/>
    </row>
    <row r="552" hidden="1">
      <c r="A552" s="126"/>
      <c r="B552" s="555"/>
      <c r="C552" s="242"/>
      <c r="D552" s="408"/>
      <c r="E552" s="711"/>
      <c r="F552" s="711"/>
      <c r="G552" s="711"/>
      <c r="H552" s="712"/>
      <c r="I552" s="712"/>
      <c r="J552" s="242"/>
      <c r="K552" s="596" t="s">
        <v>672</v>
      </c>
      <c r="L552" s="444"/>
      <c r="M552" s="485" t="s">
        <v>724</v>
      </c>
      <c r="N552" s="464"/>
      <c r="O552" s="464"/>
      <c r="P552" s="446">
        <v>45703.0</v>
      </c>
      <c r="Q552" s="448">
        <v>2.430522479E9</v>
      </c>
      <c r="R552" s="448">
        <v>2.500993928E9</v>
      </c>
      <c r="S552" s="448"/>
      <c r="T552" s="448"/>
      <c r="U552" s="448"/>
      <c r="V552" s="448"/>
      <c r="W552" s="448"/>
      <c r="X552" s="448"/>
      <c r="Y552" s="448"/>
      <c r="Z552" s="448"/>
      <c r="AA552" s="448"/>
      <c r="AB552" s="448"/>
      <c r="AC552" s="449">
        <f t="shared" ref="AC552:AC556" si="297">sum(Q552:AB552)</f>
        <v>4931516407</v>
      </c>
      <c r="AD552" s="214"/>
      <c r="AE552" s="192"/>
      <c r="AF552" s="194"/>
      <c r="AG552" s="194"/>
      <c r="AH552" s="194"/>
      <c r="AI552" s="194"/>
    </row>
    <row r="553" hidden="1">
      <c r="A553" s="126"/>
      <c r="B553" s="555"/>
      <c r="C553" s="242"/>
      <c r="D553" s="481" t="s">
        <v>725</v>
      </c>
      <c r="E553" s="711"/>
      <c r="F553" s="711"/>
      <c r="G553" s="711"/>
      <c r="H553" s="712"/>
      <c r="I553" s="712"/>
      <c r="J553" s="242"/>
      <c r="K553" s="596" t="s">
        <v>672</v>
      </c>
      <c r="L553" s="444">
        <v>1.7088301364E10</v>
      </c>
      <c r="M553" s="485" t="s">
        <v>726</v>
      </c>
      <c r="N553" s="464"/>
      <c r="O553" s="464"/>
      <c r="P553" s="446">
        <v>45807.0</v>
      </c>
      <c r="Q553" s="448"/>
      <c r="R553" s="448"/>
      <c r="S553" s="448"/>
      <c r="T553" s="447"/>
      <c r="U553" s="447">
        <f>U554</f>
        <v>3302601143</v>
      </c>
      <c r="V553" s="448">
        <v>7.599792133E9</v>
      </c>
      <c r="W553" s="447"/>
      <c r="X553" s="447"/>
      <c r="Y553" s="447"/>
      <c r="Z553" s="447"/>
      <c r="AA553" s="447"/>
      <c r="AB553" s="447"/>
      <c r="AC553" s="449">
        <f t="shared" si="297"/>
        <v>10902393276</v>
      </c>
      <c r="AD553" s="214"/>
      <c r="AE553" s="192"/>
      <c r="AF553" s="194"/>
      <c r="AG553" s="194"/>
      <c r="AH553" s="194"/>
      <c r="AI553" s="194"/>
    </row>
    <row r="554" hidden="1">
      <c r="A554" s="126"/>
      <c r="B554" s="555"/>
      <c r="C554" s="196"/>
      <c r="D554" s="250" t="s">
        <v>727</v>
      </c>
      <c r="E554" s="713"/>
      <c r="F554" s="713"/>
      <c r="G554" s="713"/>
      <c r="H554" s="714"/>
      <c r="I554" s="714"/>
      <c r="J554" s="196"/>
      <c r="K554" s="196" t="s">
        <v>672</v>
      </c>
      <c r="L554" s="715"/>
      <c r="M554" s="716"/>
      <c r="N554" s="717"/>
      <c r="O554" s="717"/>
      <c r="P554" s="717"/>
      <c r="Q554" s="600">
        <v>2.430522479E9</v>
      </c>
      <c r="R554" s="600">
        <v>2.500993928E9</v>
      </c>
      <c r="S554" s="600"/>
      <c r="T554" s="452"/>
      <c r="U554" s="600">
        <v>3.302601143E9</v>
      </c>
      <c r="V554" s="452"/>
      <c r="W554" s="452"/>
      <c r="X554" s="452"/>
      <c r="Y554" s="452"/>
      <c r="Z554" s="452"/>
      <c r="AA554" s="452"/>
      <c r="AB554" s="452"/>
      <c r="AC554" s="538">
        <f t="shared" si="297"/>
        <v>8234117550</v>
      </c>
      <c r="AD554" s="214"/>
      <c r="AE554" s="192"/>
      <c r="AF554" s="194"/>
      <c r="AG554" s="194"/>
      <c r="AH554" s="194"/>
      <c r="AI554" s="194"/>
    </row>
    <row r="555" hidden="1">
      <c r="A555" s="126"/>
      <c r="B555" s="555"/>
      <c r="C555" s="196"/>
      <c r="D555" s="286" t="s">
        <v>194</v>
      </c>
      <c r="E555" s="233"/>
      <c r="F555" s="233"/>
      <c r="G555" s="233"/>
      <c r="H555" s="234"/>
      <c r="I555" s="234"/>
      <c r="J555" s="196"/>
      <c r="K555" s="196" t="s">
        <v>672</v>
      </c>
      <c r="L555" s="225"/>
      <c r="M555" s="236"/>
      <c r="N555" s="285"/>
      <c r="O555" s="285"/>
      <c r="P555" s="285"/>
      <c r="Q555" s="600">
        <v>2.430522479E9</v>
      </c>
      <c r="R555" s="600">
        <v>2.500993928E9</v>
      </c>
      <c r="S555" s="600"/>
      <c r="T555" s="452"/>
      <c r="U555" s="600">
        <v>3.302601143E9</v>
      </c>
      <c r="V555" s="718"/>
      <c r="W555" s="718"/>
      <c r="X555" s="718"/>
      <c r="Y555" s="718"/>
      <c r="Z555" s="718"/>
      <c r="AA555" s="718"/>
      <c r="AB555" s="718"/>
      <c r="AC555" s="538">
        <f t="shared" si="297"/>
        <v>8234117550</v>
      </c>
      <c r="AD555" s="273"/>
      <c r="AE555" s="192"/>
      <c r="AF555" s="194"/>
      <c r="AG555" s="194"/>
      <c r="AH555" s="194"/>
      <c r="AI555" s="194"/>
    </row>
    <row r="556" hidden="1">
      <c r="A556" s="126"/>
      <c r="B556" s="555"/>
      <c r="C556" s="196"/>
      <c r="D556" s="286" t="s">
        <v>728</v>
      </c>
      <c r="E556" s="233"/>
      <c r="F556" s="233"/>
      <c r="G556" s="233"/>
      <c r="H556" s="234"/>
      <c r="I556" s="234"/>
      <c r="J556" s="196"/>
      <c r="K556" s="196" t="s">
        <v>672</v>
      </c>
      <c r="L556" s="225"/>
      <c r="M556" s="236"/>
      <c r="N556" s="285"/>
      <c r="O556" s="285"/>
      <c r="P556" s="285"/>
      <c r="Q556" s="600">
        <v>2.430522479E9</v>
      </c>
      <c r="R556" s="600">
        <v>2.500993928E9</v>
      </c>
      <c r="S556" s="600"/>
      <c r="T556" s="452"/>
      <c r="U556" s="600">
        <v>3.302601143E9</v>
      </c>
      <c r="V556" s="718"/>
      <c r="W556" s="718"/>
      <c r="X556" s="718"/>
      <c r="Y556" s="718"/>
      <c r="Z556" s="718"/>
      <c r="AA556" s="718"/>
      <c r="AB556" s="718"/>
      <c r="AC556" s="538">
        <f t="shared" si="297"/>
        <v>8234117550</v>
      </c>
      <c r="AD556" s="273"/>
      <c r="AE556" s="192"/>
      <c r="AF556" s="194"/>
      <c r="AG556" s="194"/>
      <c r="AH556" s="194"/>
      <c r="AI556" s="194"/>
    </row>
    <row r="557" hidden="1">
      <c r="A557" s="126"/>
      <c r="B557" s="181"/>
      <c r="C557" s="289"/>
      <c r="D557" s="290" t="s">
        <v>729</v>
      </c>
      <c r="E557" s="487"/>
      <c r="F557" s="487"/>
      <c r="G557" s="487"/>
      <c r="H557" s="291"/>
      <c r="I557" s="291"/>
      <c r="J557" s="292"/>
      <c r="K557" s="292" t="s">
        <v>730</v>
      </c>
      <c r="L557" s="293"/>
      <c r="M557" s="294"/>
      <c r="N557" s="295"/>
      <c r="O557" s="295"/>
      <c r="P557" s="295"/>
      <c r="Q557" s="296">
        <f t="shared" ref="Q557:AC557" si="298">Q497+Q498+Q503+Q504+Q509+Q514+Q519+Q524+Q525+Q530+Q531+Q536+Q843+Q844+Q845+Q846+Q847+Q848+Q853+Q854+Q859+Q860+Q867+Q872+Q877</f>
        <v>2897503335</v>
      </c>
      <c r="R557" s="296">
        <f t="shared" si="298"/>
        <v>2897503335</v>
      </c>
      <c r="S557" s="296">
        <f t="shared" si="298"/>
        <v>2897503335</v>
      </c>
      <c r="T557" s="296">
        <f t="shared" si="298"/>
        <v>2365375202</v>
      </c>
      <c r="U557" s="296">
        <f t="shared" si="298"/>
        <v>2372940048</v>
      </c>
      <c r="V557" s="296">
        <f t="shared" si="298"/>
        <v>2372940048</v>
      </c>
      <c r="W557" s="296">
        <f t="shared" si="298"/>
        <v>2306830660</v>
      </c>
      <c r="X557" s="296">
        <f t="shared" si="298"/>
        <v>2306830660</v>
      </c>
      <c r="Y557" s="296">
        <f t="shared" si="298"/>
        <v>2141668613</v>
      </c>
      <c r="Z557" s="296">
        <f t="shared" si="298"/>
        <v>2141668613</v>
      </c>
      <c r="AA557" s="296">
        <f t="shared" si="298"/>
        <v>2141668613</v>
      </c>
      <c r="AB557" s="296">
        <f t="shared" si="298"/>
        <v>2061637679</v>
      </c>
      <c r="AC557" s="297">
        <f t="shared" si="298"/>
        <v>28904070139</v>
      </c>
      <c r="AD557" s="214"/>
      <c r="AE557" s="192"/>
      <c r="AF557" s="194"/>
      <c r="AG557" s="194"/>
      <c r="AH557" s="194"/>
      <c r="AI557" s="194"/>
    </row>
    <row r="558" hidden="1">
      <c r="A558" s="126"/>
      <c r="B558" s="298"/>
      <c r="C558" s="299"/>
      <c r="D558" s="300" t="s">
        <v>731</v>
      </c>
      <c r="E558" s="488"/>
      <c r="F558" s="488"/>
      <c r="G558" s="488"/>
      <c r="H558" s="301"/>
      <c r="I558" s="301"/>
      <c r="J558" s="302"/>
      <c r="K558" s="303" t="s">
        <v>732</v>
      </c>
      <c r="L558" s="304"/>
      <c r="M558" s="305"/>
      <c r="N558" s="306"/>
      <c r="O558" s="306"/>
      <c r="P558" s="306"/>
      <c r="Q558" s="490">
        <f t="shared" ref="Q558:AB558" si="299">Q499+Q505+Q510+Q515+Q520+Q526+Q532+Q537+Q542+Q548+Q849+Q855+Q861+Q868+Q884+Q554+Q1107</f>
        <v>5779372776</v>
      </c>
      <c r="R558" s="490">
        <f t="shared" si="299"/>
        <v>5929574870</v>
      </c>
      <c r="S558" s="490">
        <f t="shared" si="299"/>
        <v>3381288564</v>
      </c>
      <c r="T558" s="490">
        <f t="shared" si="299"/>
        <v>3557379888</v>
      </c>
      <c r="U558" s="490">
        <f t="shared" si="299"/>
        <v>7621212694</v>
      </c>
      <c r="V558" s="490">
        <f t="shared" si="299"/>
        <v>4302617227</v>
      </c>
      <c r="W558" s="490">
        <f t="shared" si="299"/>
        <v>2804083929</v>
      </c>
      <c r="X558" s="307">
        <f t="shared" si="299"/>
        <v>0</v>
      </c>
      <c r="Y558" s="307">
        <f t="shared" si="299"/>
        <v>0</v>
      </c>
      <c r="Z558" s="307">
        <f t="shared" si="299"/>
        <v>0</v>
      </c>
      <c r="AA558" s="307">
        <f t="shared" si="299"/>
        <v>0</v>
      </c>
      <c r="AB558" s="307">
        <f t="shared" si="299"/>
        <v>0</v>
      </c>
      <c r="AC558" s="309">
        <f t="shared" ref="AC558:AC560" si="301">SUM(Q558:AB558)</f>
        <v>33375529949</v>
      </c>
      <c r="AD558" s="214"/>
      <c r="AE558" s="192"/>
      <c r="AF558" s="310">
        <f t="shared" ref="AF558:AF559" si="302">AC558-AC559</f>
        <v>8897523467</v>
      </c>
      <c r="AG558" s="311" t="s">
        <v>226</v>
      </c>
      <c r="AH558" s="194"/>
      <c r="AI558" s="194"/>
    </row>
    <row r="559" hidden="1">
      <c r="A559" s="126"/>
      <c r="B559" s="298"/>
      <c r="C559" s="312"/>
      <c r="D559" s="313" t="s">
        <v>733</v>
      </c>
      <c r="E559" s="331"/>
      <c r="F559" s="331"/>
      <c r="G559" s="331"/>
      <c r="H559" s="199"/>
      <c r="I559" s="199"/>
      <c r="J559" s="377"/>
      <c r="K559" s="719" t="s">
        <v>732</v>
      </c>
      <c r="L559" s="287"/>
      <c r="M559" s="236"/>
      <c r="N559" s="285"/>
      <c r="O559" s="285"/>
      <c r="P559" s="285"/>
      <c r="Q559" s="314">
        <f t="shared" ref="Q559:V559" si="300">Q500+Q506+Q511+Q516+Q521+Q527+Q533+Q538+Q543+Q549+Q850+Q856+Q862+Q869+Q885+Q555+Q1108</f>
        <v>5535352126</v>
      </c>
      <c r="R559" s="314">
        <f t="shared" si="300"/>
        <v>5667228094</v>
      </c>
      <c r="S559" s="314">
        <f t="shared" si="300"/>
        <v>2837635698</v>
      </c>
      <c r="T559" s="314">
        <f t="shared" si="300"/>
        <v>2467434915</v>
      </c>
      <c r="U559" s="314">
        <f t="shared" si="300"/>
        <v>5786987459</v>
      </c>
      <c r="V559" s="314">
        <f t="shared" si="300"/>
        <v>2183368190</v>
      </c>
      <c r="W559" s="314"/>
      <c r="X559" s="288"/>
      <c r="Y559" s="288"/>
      <c r="Z559" s="288"/>
      <c r="AA559" s="288"/>
      <c r="AB559" s="288"/>
      <c r="AC559" s="378">
        <f t="shared" si="301"/>
        <v>24478006483</v>
      </c>
      <c r="AD559" s="214"/>
      <c r="AE559" s="720"/>
      <c r="AF559" s="316">
        <f t="shared" si="302"/>
        <v>5183286115</v>
      </c>
      <c r="AG559" s="311" t="s">
        <v>228</v>
      </c>
      <c r="AH559" s="721"/>
      <c r="AI559" s="721"/>
    </row>
    <row r="560" hidden="1">
      <c r="A560" s="126"/>
      <c r="B560" s="298"/>
      <c r="C560" s="317"/>
      <c r="D560" s="318" t="s">
        <v>734</v>
      </c>
      <c r="E560" s="493"/>
      <c r="F560" s="493"/>
      <c r="G560" s="493"/>
      <c r="H560" s="494"/>
      <c r="I560" s="494"/>
      <c r="J560" s="722"/>
      <c r="K560" s="723" t="s">
        <v>732</v>
      </c>
      <c r="L560" s="321"/>
      <c r="M560" s="322"/>
      <c r="N560" s="323"/>
      <c r="O560" s="323"/>
      <c r="P560" s="323"/>
      <c r="Q560" s="325">
        <f t="shared" ref="Q560:V560" si="303">Q501+Q507+Q512+Q517+Q522+Q528+Q534+Q539+Q544+Q550+Q851+Q857+Q863+Q870+Q886+Q556+Q1109</f>
        <v>5405730627</v>
      </c>
      <c r="R560" s="325">
        <f t="shared" si="303"/>
        <v>5538512133</v>
      </c>
      <c r="S560" s="325">
        <f t="shared" si="303"/>
        <v>2380001391</v>
      </c>
      <c r="T560" s="325">
        <f t="shared" si="303"/>
        <v>1607217201</v>
      </c>
      <c r="U560" s="325">
        <f t="shared" si="303"/>
        <v>4363259015</v>
      </c>
      <c r="V560" s="325">
        <f t="shared" si="303"/>
        <v>0</v>
      </c>
      <c r="W560" s="325"/>
      <c r="X560" s="324"/>
      <c r="Y560" s="324"/>
      <c r="Z560" s="324"/>
      <c r="AA560" s="324"/>
      <c r="AB560" s="324"/>
      <c r="AC560" s="539">
        <f t="shared" si="301"/>
        <v>19294720368</v>
      </c>
      <c r="AD560" s="214"/>
      <c r="AE560" s="720"/>
      <c r="AF560" s="328">
        <f>AC560</f>
        <v>19294720368</v>
      </c>
      <c r="AG560" s="311" t="s">
        <v>148</v>
      </c>
      <c r="AH560" s="721"/>
      <c r="AI560" s="721"/>
    </row>
    <row r="561">
      <c r="A561" s="126"/>
      <c r="B561" s="655">
        <v>13.0</v>
      </c>
      <c r="C561" s="329" t="s">
        <v>42</v>
      </c>
      <c r="D561" s="724"/>
      <c r="E561" s="496"/>
      <c r="F561" s="496"/>
      <c r="G561" s="496"/>
      <c r="H561" s="332"/>
      <c r="I561" s="332"/>
      <c r="J561" s="333"/>
      <c r="K561" s="333" t="s">
        <v>735</v>
      </c>
      <c r="L561" s="334" t="str">
        <f>L562+L571+L577+L583+L589+L595+L600+#REF!+L605+L645+L639+L654+L659+L664+L671+L678+L685+#REF!+L693+#REF!+L698+L703+L708+L723+L729+L713+L740+L747+L754+L759+L766+L772+L777+L784+L789+L795+L952+L808+L816+L823+L829+L834+L839+L897</f>
        <v>#VALUE!</v>
      </c>
      <c r="M561" s="335"/>
      <c r="N561" s="336"/>
      <c r="O561" s="336"/>
      <c r="P561" s="336"/>
      <c r="Q561" s="337">
        <f t="shared" ref="Q561:AC561" si="304">Q562+Q571+Q577+Q583+Q589+Q595+Q600++Q605+Q644+Q637+Q653+Q658+Q663+Q670+Q677+Q684++Q692+Q697+Q702+Q707+Q722+Q728+Q712+Q734+Q739+Q746+Q753+Q758+Q766+Q771+Q776+Q783+Q788+Q794+Q801+Q807+Q815+Q822+Q827+Q832+Q837+Q842+Q852+Q858+Q864+Q871+Q876+Q887+Q995+Q1000+Q1005+Q1010+Q1015+Q1020+Q1025+Q1030+Q1035+Q1040+Q1045+Q1050+Q1055+Q1060+Q1065+Q1070+Q1075+Q1080+Q1085+Q1090+Q1095+Q1100+Q1105+Q1110+Q1117+Q1122</f>
        <v>73061456571</v>
      </c>
      <c r="R561" s="337">
        <f t="shared" si="304"/>
        <v>72488737220</v>
      </c>
      <c r="S561" s="337">
        <f t="shared" si="304"/>
        <v>73829695110</v>
      </c>
      <c r="T561" s="337">
        <f t="shared" si="304"/>
        <v>66099229179</v>
      </c>
      <c r="U561" s="337">
        <f t="shared" si="304"/>
        <v>66488541091</v>
      </c>
      <c r="V561" s="337">
        <f t="shared" si="304"/>
        <v>71391659173</v>
      </c>
      <c r="W561" s="337">
        <f t="shared" si="304"/>
        <v>71172133736</v>
      </c>
      <c r="X561" s="337">
        <f t="shared" si="304"/>
        <v>72006887571</v>
      </c>
      <c r="Y561" s="337">
        <f t="shared" si="304"/>
        <v>66192856408</v>
      </c>
      <c r="Z561" s="337">
        <f t="shared" si="304"/>
        <v>65902720905</v>
      </c>
      <c r="AA561" s="337">
        <f t="shared" si="304"/>
        <v>66142856409</v>
      </c>
      <c r="AB561" s="337">
        <f t="shared" si="304"/>
        <v>72219387573</v>
      </c>
      <c r="AC561" s="337">
        <f t="shared" si="304"/>
        <v>836996160943</v>
      </c>
      <c r="AD561" s="178">
        <f>AC561-AE561</f>
        <v>-0.9689941406</v>
      </c>
      <c r="AE561" s="241">
        <f>'Proker New'!Y99</f>
        <v>836996160944</v>
      </c>
      <c r="AF561" s="193" t="str">
        <f>C561</f>
        <v>Banten - Serang</v>
      </c>
      <c r="AG561" s="721"/>
      <c r="AH561" s="721"/>
      <c r="AI561" s="721"/>
    </row>
    <row r="562">
      <c r="A562" s="126"/>
      <c r="B562" s="195"/>
      <c r="C562" s="196">
        <v>1.0</v>
      </c>
      <c r="D562" s="354" t="s">
        <v>736</v>
      </c>
      <c r="E562" s="198" t="s">
        <v>186</v>
      </c>
      <c r="F562" s="198" t="s">
        <v>103</v>
      </c>
      <c r="G562" s="198" t="s">
        <v>86</v>
      </c>
      <c r="H562" s="198" t="s">
        <v>86</v>
      </c>
      <c r="I562" s="198" t="s">
        <v>187</v>
      </c>
      <c r="J562" s="198" t="s">
        <v>188</v>
      </c>
      <c r="K562" s="199" t="s">
        <v>735</v>
      </c>
      <c r="L562" s="347">
        <v>1.69699982E11</v>
      </c>
      <c r="M562" s="257" t="s">
        <v>737</v>
      </c>
      <c r="N562" s="366"/>
      <c r="O562" s="366">
        <v>45108.0</v>
      </c>
      <c r="P562" s="366">
        <v>45473.0</v>
      </c>
      <c r="Q562" s="204">
        <v>1.3727795797E10</v>
      </c>
      <c r="R562" s="204">
        <v>1.3727795797E10</v>
      </c>
      <c r="S562" s="204">
        <v>1.3727795797E10</v>
      </c>
      <c r="T562" s="204">
        <v>1.3727795797E10</v>
      </c>
      <c r="U562" s="204">
        <v>1.3727795797E10</v>
      </c>
      <c r="V562" s="204">
        <v>1.3727795797E10</v>
      </c>
      <c r="W562" s="204">
        <v>1.3727795797E10</v>
      </c>
      <c r="X562" s="204">
        <v>1.3727795797E10</v>
      </c>
      <c r="Y562" s="204">
        <v>1.3727795797E10</v>
      </c>
      <c r="Z562" s="204">
        <v>1.3727795797E10</v>
      </c>
      <c r="AA562" s="204">
        <v>1.3727795797E10</v>
      </c>
      <c r="AB562" s="204">
        <v>1.3727795797E10</v>
      </c>
      <c r="AC562" s="205">
        <v>1.64733549564E11</v>
      </c>
      <c r="AD562" s="178">
        <f>SUM(Q562:AB562)-AC562</f>
        <v>0</v>
      </c>
      <c r="AE562" s="192"/>
      <c r="AF562" s="725">
        <v>1.64733549564E11</v>
      </c>
      <c r="AG562" s="194"/>
      <c r="AH562" s="194"/>
      <c r="AI562" s="194"/>
    </row>
    <row r="563" hidden="1">
      <c r="A563" s="126"/>
      <c r="B563" s="195"/>
      <c r="C563" s="206"/>
      <c r="D563" s="207"/>
      <c r="E563" s="260"/>
      <c r="F563" s="207"/>
      <c r="G563" s="260"/>
      <c r="H563" s="206"/>
      <c r="I563" s="206"/>
      <c r="J563" s="206"/>
      <c r="K563" s="206" t="s">
        <v>735</v>
      </c>
      <c r="L563" s="249">
        <v>2.250682903E9</v>
      </c>
      <c r="M563" s="265" t="s">
        <v>738</v>
      </c>
      <c r="N563" s="367"/>
      <c r="O563" s="367">
        <v>45383.0</v>
      </c>
      <c r="P563" s="367">
        <v>45473.0</v>
      </c>
      <c r="Q563" s="249"/>
      <c r="R563" s="249"/>
      <c r="S563" s="249"/>
      <c r="T563" s="249"/>
      <c r="U563" s="212"/>
      <c r="V563" s="212"/>
      <c r="W563" s="212"/>
      <c r="X563" s="212"/>
      <c r="Y563" s="212"/>
      <c r="Z563" s="212"/>
      <c r="AA563" s="212"/>
      <c r="AB563" s="212"/>
      <c r="AC563" s="213">
        <f t="shared" ref="AC563:AC570" si="305">SUM(Q563:AB563)</f>
        <v>0</v>
      </c>
      <c r="AD563" s="214"/>
      <c r="AE563" s="192"/>
      <c r="AF563" s="194"/>
      <c r="AG563" s="194"/>
      <c r="AH563" s="194"/>
      <c r="AI563" s="194"/>
    </row>
    <row r="564" hidden="1">
      <c r="A564" s="126"/>
      <c r="B564" s="195"/>
      <c r="C564" s="206"/>
      <c r="D564" s="207"/>
      <c r="E564" s="260"/>
      <c r="F564" s="207"/>
      <c r="G564" s="260"/>
      <c r="H564" s="206"/>
      <c r="I564" s="206"/>
      <c r="J564" s="206"/>
      <c r="K564" s="206" t="s">
        <v>735</v>
      </c>
      <c r="L564" s="245">
        <v>4.4923253522E10</v>
      </c>
      <c r="M564" s="265" t="s">
        <v>739</v>
      </c>
      <c r="N564" s="367"/>
      <c r="O564" s="367">
        <v>45474.0</v>
      </c>
      <c r="P564" s="367">
        <v>45565.0</v>
      </c>
      <c r="Q564" s="249"/>
      <c r="R564" s="249"/>
      <c r="S564" s="249"/>
      <c r="T564" s="249"/>
      <c r="U564" s="267"/>
      <c r="V564" s="212"/>
      <c r="W564" s="212"/>
      <c r="X564" s="212"/>
      <c r="Y564" s="212"/>
      <c r="Z564" s="212"/>
      <c r="AA564" s="212"/>
      <c r="AB564" s="212"/>
      <c r="AC564" s="628">
        <f t="shared" si="305"/>
        <v>0</v>
      </c>
      <c r="AD564" s="214"/>
      <c r="AE564" s="192"/>
      <c r="AF564" s="194"/>
      <c r="AG564" s="194"/>
      <c r="AH564" s="194"/>
      <c r="AI564" s="194"/>
    </row>
    <row r="565" hidden="1">
      <c r="A565" s="126"/>
      <c r="B565" s="195"/>
      <c r="C565" s="206"/>
      <c r="D565" s="207"/>
      <c r="E565" s="260"/>
      <c r="F565" s="207"/>
      <c r="G565" s="260"/>
      <c r="H565" s="206"/>
      <c r="I565" s="206"/>
      <c r="J565" s="206"/>
      <c r="K565" s="206" t="s">
        <v>735</v>
      </c>
      <c r="L565" s="245">
        <v>4.994654004E9</v>
      </c>
      <c r="M565" s="265" t="s">
        <v>740</v>
      </c>
      <c r="N565" s="367"/>
      <c r="O565" s="367">
        <v>45474.0</v>
      </c>
      <c r="P565" s="367">
        <v>45565.0</v>
      </c>
      <c r="Q565" s="249"/>
      <c r="R565" s="249"/>
      <c r="S565" s="249"/>
      <c r="T565" s="249"/>
      <c r="U565" s="267"/>
      <c r="V565" s="212"/>
      <c r="W565" s="212"/>
      <c r="X565" s="212"/>
      <c r="Y565" s="212"/>
      <c r="Z565" s="212"/>
      <c r="AA565" s="212"/>
      <c r="AB565" s="212"/>
      <c r="AC565" s="628">
        <f t="shared" si="305"/>
        <v>0</v>
      </c>
      <c r="AD565" s="214"/>
      <c r="AE565" s="192"/>
      <c r="AF565" s="194"/>
      <c r="AG565" s="194"/>
      <c r="AH565" s="194"/>
      <c r="AI565" s="194"/>
    </row>
    <row r="566" hidden="1">
      <c r="A566" s="126"/>
      <c r="B566" s="195"/>
      <c r="C566" s="206"/>
      <c r="D566" s="207"/>
      <c r="E566" s="260"/>
      <c r="F566" s="207"/>
      <c r="G566" s="260"/>
      <c r="H566" s="206"/>
      <c r="I566" s="206"/>
      <c r="J566" s="206"/>
      <c r="K566" s="206" t="s">
        <v>735</v>
      </c>
      <c r="L566" s="245">
        <v>1.23545836873E11</v>
      </c>
      <c r="M566" s="247" t="s">
        <v>741</v>
      </c>
      <c r="N566" s="367"/>
      <c r="O566" s="367">
        <v>45566.0</v>
      </c>
      <c r="P566" s="367">
        <v>45777.0</v>
      </c>
      <c r="Q566" s="249">
        <f>L566/7</f>
        <v>17649405268</v>
      </c>
      <c r="R566" s="249">
        <v>1.764940526757143E10</v>
      </c>
      <c r="S566" s="249">
        <v>1.764940526757143E10</v>
      </c>
      <c r="T566" s="249">
        <v>1.764940526757143E10</v>
      </c>
      <c r="U566" s="249">
        <v>1.764940526757143E10</v>
      </c>
      <c r="V566" s="212"/>
      <c r="W566" s="212"/>
      <c r="X566" s="212"/>
      <c r="Y566" s="212"/>
      <c r="Z566" s="212"/>
      <c r="AA566" s="212"/>
      <c r="AB566" s="212"/>
      <c r="AC566" s="213">
        <f t="shared" si="305"/>
        <v>88247026338</v>
      </c>
      <c r="AD566" s="214"/>
      <c r="AE566" s="192"/>
      <c r="AF566" s="194"/>
      <c r="AG566" s="194"/>
      <c r="AH566" s="194"/>
      <c r="AI566" s="194"/>
    </row>
    <row r="567" hidden="1">
      <c r="A567" s="126"/>
      <c r="B567" s="392"/>
      <c r="C567" s="206"/>
      <c r="D567" s="215"/>
      <c r="E567" s="260"/>
      <c r="F567" s="207"/>
      <c r="G567" s="260"/>
      <c r="H567" s="206"/>
      <c r="I567" s="206"/>
      <c r="J567" s="206"/>
      <c r="K567" s="206" t="s">
        <v>735</v>
      </c>
      <c r="L567" s="249">
        <v>1.61487118108E11</v>
      </c>
      <c r="M567" s="247" t="s">
        <v>742</v>
      </c>
      <c r="N567" s="367"/>
      <c r="O567" s="367">
        <v>45778.0</v>
      </c>
      <c r="P567" s="367">
        <v>46022.0</v>
      </c>
      <c r="Q567" s="212"/>
      <c r="R567" s="249"/>
      <c r="S567" s="249"/>
      <c r="T567" s="249"/>
      <c r="U567" s="212">
        <f>L567/8</f>
        <v>20185889764</v>
      </c>
      <c r="V567" s="212">
        <v>2.01858897635E10</v>
      </c>
      <c r="W567" s="212">
        <v>2.01858897635E10</v>
      </c>
      <c r="X567" s="212">
        <v>2.01858897635E10</v>
      </c>
      <c r="Y567" s="212">
        <v>2.01858897635E10</v>
      </c>
      <c r="Z567" s="212">
        <v>2.01858897635E10</v>
      </c>
      <c r="AA567" s="212">
        <v>2.01858897635E10</v>
      </c>
      <c r="AB567" s="212">
        <v>2.01858897635E10</v>
      </c>
      <c r="AC567" s="213">
        <f t="shared" si="305"/>
        <v>161487118108</v>
      </c>
      <c r="AD567" s="214"/>
      <c r="AE567" s="192"/>
      <c r="AF567" s="194"/>
      <c r="AG567" s="194"/>
      <c r="AH567" s="194"/>
      <c r="AI567" s="194"/>
    </row>
    <row r="568" hidden="1">
      <c r="A568" s="126"/>
      <c r="B568" s="195"/>
      <c r="C568" s="196"/>
      <c r="D568" s="250" t="s">
        <v>743</v>
      </c>
      <c r="E568" s="233"/>
      <c r="F568" s="233"/>
      <c r="G568" s="233"/>
      <c r="H568" s="234"/>
      <c r="I568" s="234"/>
      <c r="J568" s="222"/>
      <c r="K568" s="222" t="s">
        <v>735</v>
      </c>
      <c r="L568" s="346"/>
      <c r="M568" s="255"/>
      <c r="N568" s="365"/>
      <c r="O568" s="365"/>
      <c r="P568" s="365"/>
      <c r="Q568" s="228">
        <v>1.764940526757143E10</v>
      </c>
      <c r="R568" s="228">
        <v>1.764940526757143E10</v>
      </c>
      <c r="S568" s="228">
        <v>1.764940526757143E10</v>
      </c>
      <c r="T568" s="228">
        <v>1.764940526757143E10</v>
      </c>
      <c r="U568" s="230">
        <v>2.01858897635E10</v>
      </c>
      <c r="V568" s="238">
        <v>2.01858897635E10</v>
      </c>
      <c r="W568" s="238"/>
      <c r="X568" s="238"/>
      <c r="Y568" s="238"/>
      <c r="Z568" s="238"/>
      <c r="AA568" s="238"/>
      <c r="AB568" s="238"/>
      <c r="AC568" s="231">
        <f t="shared" si="305"/>
        <v>110969400597</v>
      </c>
      <c r="AD568" s="214"/>
      <c r="AE568" s="192"/>
      <c r="AF568" s="194"/>
      <c r="AG568" s="194"/>
      <c r="AH568" s="194"/>
      <c r="AI568" s="194"/>
    </row>
    <row r="569" hidden="1">
      <c r="A569" s="126"/>
      <c r="B569" s="195"/>
      <c r="C569" s="196"/>
      <c r="D569" s="286" t="s">
        <v>194</v>
      </c>
      <c r="E569" s="233"/>
      <c r="F569" s="233"/>
      <c r="G569" s="233"/>
      <c r="H569" s="234"/>
      <c r="I569" s="234"/>
      <c r="J569" s="222"/>
      <c r="K569" s="222" t="s">
        <v>735</v>
      </c>
      <c r="L569" s="346"/>
      <c r="M569" s="255"/>
      <c r="N569" s="365"/>
      <c r="O569" s="365"/>
      <c r="P569" s="365"/>
      <c r="Q569" s="228">
        <v>1.764940526757143E10</v>
      </c>
      <c r="R569" s="228">
        <v>1.764940526757143E10</v>
      </c>
      <c r="S569" s="228">
        <v>1.764940526757143E10</v>
      </c>
      <c r="T569" s="228">
        <v>1.764940526757143E10</v>
      </c>
      <c r="U569" s="230">
        <v>2.01858897635E10</v>
      </c>
      <c r="V569" s="238"/>
      <c r="W569" s="238"/>
      <c r="X569" s="238"/>
      <c r="Y569" s="238"/>
      <c r="Z569" s="238"/>
      <c r="AA569" s="238"/>
      <c r="AB569" s="238"/>
      <c r="AC569" s="378">
        <f t="shared" si="305"/>
        <v>90783510834</v>
      </c>
      <c r="AD569" s="214"/>
      <c r="AE569" s="192"/>
      <c r="AF569" s="194"/>
      <c r="AG569" s="194"/>
      <c r="AH569" s="194"/>
      <c r="AI569" s="194"/>
    </row>
    <row r="570" hidden="1">
      <c r="A570" s="126"/>
      <c r="B570" s="195"/>
      <c r="C570" s="196"/>
      <c r="D570" s="286" t="s">
        <v>744</v>
      </c>
      <c r="E570" s="233"/>
      <c r="F570" s="233"/>
      <c r="G570" s="233"/>
      <c r="H570" s="234"/>
      <c r="I570" s="234"/>
      <c r="J570" s="222"/>
      <c r="K570" s="222" t="s">
        <v>735</v>
      </c>
      <c r="L570" s="346"/>
      <c r="M570" s="255"/>
      <c r="N570" s="365"/>
      <c r="O570" s="365"/>
      <c r="P570" s="365"/>
      <c r="Q570" s="228">
        <v>1.764940526757143E10</v>
      </c>
      <c r="R570" s="228">
        <v>1.764940526757143E10</v>
      </c>
      <c r="S570" s="228">
        <v>1.764940526757143E10</v>
      </c>
      <c r="T570" s="228">
        <v>1.764940526757143E10</v>
      </c>
      <c r="U570" s="230">
        <v>2.01858897635E10</v>
      </c>
      <c r="V570" s="238"/>
      <c r="W570" s="238"/>
      <c r="X570" s="238"/>
      <c r="Y570" s="238"/>
      <c r="Z570" s="238"/>
      <c r="AA570" s="238"/>
      <c r="AB570" s="238"/>
      <c r="AC570" s="378">
        <f t="shared" si="305"/>
        <v>90783510834</v>
      </c>
      <c r="AD570" s="214"/>
      <c r="AE570" s="192"/>
      <c r="AF570" s="194"/>
      <c r="AG570" s="194"/>
      <c r="AH570" s="194"/>
      <c r="AI570" s="194"/>
    </row>
    <row r="571">
      <c r="A571" s="126"/>
      <c r="B571" s="195"/>
      <c r="C571" s="196">
        <v>2.0</v>
      </c>
      <c r="D571" s="197" t="s">
        <v>745</v>
      </c>
      <c r="E571" s="198" t="s">
        <v>186</v>
      </c>
      <c r="F571" s="198" t="s">
        <v>103</v>
      </c>
      <c r="G571" s="198" t="s">
        <v>86</v>
      </c>
      <c r="H571" s="198" t="s">
        <v>86</v>
      </c>
      <c r="I571" s="198" t="s">
        <v>366</v>
      </c>
      <c r="J571" s="198" t="s">
        <v>367</v>
      </c>
      <c r="K571" s="199" t="s">
        <v>735</v>
      </c>
      <c r="L571" s="347">
        <v>2.166981632E9</v>
      </c>
      <c r="M571" s="257" t="s">
        <v>746</v>
      </c>
      <c r="N571" s="366"/>
      <c r="O571" s="366">
        <v>45413.0</v>
      </c>
      <c r="P571" s="366">
        <v>45777.0</v>
      </c>
      <c r="Q571" s="204">
        <v>1.80581802697166E8</v>
      </c>
      <c r="R571" s="204">
        <v>1.80581802697166E8</v>
      </c>
      <c r="S571" s="204">
        <v>1.80581802697166E8</v>
      </c>
      <c r="T571" s="204">
        <v>1.80581802697166E8</v>
      </c>
      <c r="U571" s="204">
        <v>1.80581802697166E8</v>
      </c>
      <c r="V571" s="204">
        <v>1.80581802697166E8</v>
      </c>
      <c r="W571" s="204">
        <v>1.80581802697166E8</v>
      </c>
      <c r="X571" s="204">
        <v>1.80581802697166E8</v>
      </c>
      <c r="Y571" s="204">
        <v>1.80581802697166E8</v>
      </c>
      <c r="Z571" s="204">
        <v>1.80581802697166E8</v>
      </c>
      <c r="AA571" s="204">
        <v>1.80581802697166E8</v>
      </c>
      <c r="AB571" s="204">
        <v>1.80581802697166E8</v>
      </c>
      <c r="AC571" s="205">
        <v>2.166981632365992E9</v>
      </c>
      <c r="AD571" s="178">
        <f>SUM(Q571:AB571)-AC571</f>
        <v>0</v>
      </c>
      <c r="AE571" s="192"/>
      <c r="AF571" s="725">
        <v>2.166981632E9</v>
      </c>
      <c r="AG571" s="194"/>
      <c r="AH571" s="194"/>
      <c r="AI571" s="194"/>
    </row>
    <row r="572" hidden="1">
      <c r="A572" s="126"/>
      <c r="B572" s="195"/>
      <c r="C572" s="206"/>
      <c r="D572" s="215" t="s">
        <v>747</v>
      </c>
      <c r="E572" s="260"/>
      <c r="F572" s="207"/>
      <c r="G572" s="260"/>
      <c r="H572" s="206"/>
      <c r="I572" s="206"/>
      <c r="J572" s="216"/>
      <c r="K572" s="216" t="s">
        <v>735</v>
      </c>
      <c r="L572" s="217"/>
      <c r="M572" s="209"/>
      <c r="N572" s="367"/>
      <c r="O572" s="367"/>
      <c r="P572" s="367">
        <f>P571</f>
        <v>45777</v>
      </c>
      <c r="Q572" s="267">
        <v>1.80581803E8</v>
      </c>
      <c r="R572" s="267">
        <v>1.80581803E8</v>
      </c>
      <c r="S572" s="267">
        <v>1.80581803E8</v>
      </c>
      <c r="T572" s="267">
        <v>1.80581803E8</v>
      </c>
      <c r="U572" s="212"/>
      <c r="V572" s="212"/>
      <c r="W572" s="212"/>
      <c r="X572" s="212"/>
      <c r="Y572" s="212"/>
      <c r="Z572" s="212"/>
      <c r="AA572" s="212"/>
      <c r="AB572" s="212"/>
      <c r="AC572" s="213">
        <f t="shared" ref="AC572:AC576" si="306">SUM(Q572:AB572)</f>
        <v>722327212</v>
      </c>
      <c r="AD572" s="214"/>
      <c r="AE572" s="192"/>
      <c r="AF572" s="194"/>
      <c r="AG572" s="194"/>
      <c r="AH572" s="194"/>
      <c r="AI572" s="194"/>
    </row>
    <row r="573" hidden="1">
      <c r="A573" s="126"/>
      <c r="B573" s="195"/>
      <c r="C573" s="206"/>
      <c r="D573" s="220" t="s">
        <v>748</v>
      </c>
      <c r="E573" s="260"/>
      <c r="F573" s="207"/>
      <c r="G573" s="260"/>
      <c r="H573" s="206"/>
      <c r="I573" s="206"/>
      <c r="J573" s="216"/>
      <c r="K573" s="216" t="s">
        <v>735</v>
      </c>
      <c r="L573" s="277"/>
      <c r="M573" s="265" t="s">
        <v>512</v>
      </c>
      <c r="N573" s="283"/>
      <c r="O573" s="283">
        <f>P571+1</f>
        <v>45778</v>
      </c>
      <c r="P573" s="367">
        <v>46142.0</v>
      </c>
      <c r="Q573" s="249"/>
      <c r="R573" s="249"/>
      <c r="S573" s="212"/>
      <c r="T573" s="212"/>
      <c r="U573" s="249"/>
      <c r="V573" s="212"/>
      <c r="W573" s="212"/>
      <c r="X573" s="212"/>
      <c r="Y573" s="212"/>
      <c r="Z573" s="212"/>
      <c r="AA573" s="212"/>
      <c r="AB573" s="212"/>
      <c r="AC573" s="628">
        <f t="shared" si="306"/>
        <v>0</v>
      </c>
      <c r="AD573" s="214"/>
      <c r="AE573" s="192"/>
      <c r="AF573" s="194"/>
      <c r="AG573" s="194"/>
      <c r="AH573" s="194"/>
      <c r="AI573" s="194"/>
    </row>
    <row r="574" hidden="1">
      <c r="A574" s="126"/>
      <c r="B574" s="195"/>
      <c r="C574" s="222"/>
      <c r="D574" s="250" t="s">
        <v>749</v>
      </c>
      <c r="E574" s="233"/>
      <c r="F574" s="224"/>
      <c r="G574" s="233"/>
      <c r="H574" s="222"/>
      <c r="I574" s="222"/>
      <c r="J574" s="222"/>
      <c r="K574" s="222" t="s">
        <v>735</v>
      </c>
      <c r="L574" s="225"/>
      <c r="M574" s="383"/>
      <c r="N574" s="285"/>
      <c r="O574" s="285"/>
      <c r="P574" s="285"/>
      <c r="Q574" s="229">
        <f>200445801</f>
        <v>200445801</v>
      </c>
      <c r="R574" s="229">
        <f t="shared" ref="R574:T574" si="307">Q574</f>
        <v>200445801</v>
      </c>
      <c r="S574" s="238">
        <f t="shared" si="307"/>
        <v>200445801</v>
      </c>
      <c r="T574" s="238">
        <f t="shared" si="307"/>
        <v>200445801</v>
      </c>
      <c r="U574" s="229"/>
      <c r="V574" s="230"/>
      <c r="W574" s="230"/>
      <c r="X574" s="230"/>
      <c r="Y574" s="230"/>
      <c r="Z574" s="230"/>
      <c r="AA574" s="230"/>
      <c r="AB574" s="230"/>
      <c r="AC574" s="231">
        <f t="shared" si="306"/>
        <v>801783204</v>
      </c>
      <c r="AD574" s="214"/>
      <c r="AE574" s="192"/>
      <c r="AF574" s="194"/>
      <c r="AG574" s="194"/>
      <c r="AH574" s="194"/>
      <c r="AI574" s="194"/>
    </row>
    <row r="575" hidden="1">
      <c r="A575" s="126"/>
      <c r="B575" s="195"/>
      <c r="C575" s="196"/>
      <c r="D575" s="286" t="s">
        <v>194</v>
      </c>
      <c r="E575" s="233"/>
      <c r="F575" s="233"/>
      <c r="G575" s="233"/>
      <c r="H575" s="234"/>
      <c r="I575" s="234"/>
      <c r="J575" s="222"/>
      <c r="K575" s="222" t="s">
        <v>735</v>
      </c>
      <c r="L575" s="346"/>
      <c r="M575" s="358"/>
      <c r="N575" s="365"/>
      <c r="O575" s="365"/>
      <c r="P575" s="365"/>
      <c r="Q575" s="238"/>
      <c r="R575" s="238"/>
      <c r="S575" s="238"/>
      <c r="T575" s="238"/>
      <c r="U575" s="238"/>
      <c r="V575" s="238"/>
      <c r="W575" s="238"/>
      <c r="X575" s="238"/>
      <c r="Y575" s="238"/>
      <c r="Z575" s="238"/>
      <c r="AA575" s="238"/>
      <c r="AB575" s="238"/>
      <c r="AC575" s="378">
        <f t="shared" si="306"/>
        <v>0</v>
      </c>
      <c r="AD575" s="214"/>
      <c r="AE575" s="192"/>
      <c r="AF575" s="194"/>
      <c r="AG575" s="194"/>
      <c r="AH575" s="194"/>
      <c r="AI575" s="194"/>
    </row>
    <row r="576" hidden="1">
      <c r="A576" s="126"/>
      <c r="B576" s="195"/>
      <c r="C576" s="196"/>
      <c r="D576" s="286" t="s">
        <v>750</v>
      </c>
      <c r="E576" s="233"/>
      <c r="F576" s="233"/>
      <c r="G576" s="233"/>
      <c r="H576" s="234"/>
      <c r="I576" s="234"/>
      <c r="J576" s="222"/>
      <c r="K576" s="222" t="s">
        <v>735</v>
      </c>
      <c r="L576" s="346"/>
      <c r="M576" s="358"/>
      <c r="N576" s="365"/>
      <c r="O576" s="365"/>
      <c r="P576" s="365"/>
      <c r="Q576" s="238"/>
      <c r="R576" s="238"/>
      <c r="S576" s="238"/>
      <c r="T576" s="238"/>
      <c r="U576" s="238"/>
      <c r="V576" s="238"/>
      <c r="W576" s="238"/>
      <c r="X576" s="238"/>
      <c r="Y576" s="238"/>
      <c r="Z576" s="238"/>
      <c r="AA576" s="238"/>
      <c r="AB576" s="238"/>
      <c r="AC576" s="378">
        <f t="shared" si="306"/>
        <v>0</v>
      </c>
      <c r="AD576" s="214"/>
      <c r="AE576" s="192"/>
      <c r="AF576" s="194"/>
      <c r="AG576" s="194"/>
      <c r="AH576" s="194"/>
      <c r="AI576" s="194"/>
    </row>
    <row r="577">
      <c r="A577" s="126"/>
      <c r="B577" s="195"/>
      <c r="C577" s="196">
        <v>3.0</v>
      </c>
      <c r="D577" s="197" t="s">
        <v>751</v>
      </c>
      <c r="E577" s="198" t="s">
        <v>186</v>
      </c>
      <c r="F577" s="198" t="s">
        <v>103</v>
      </c>
      <c r="G577" s="198" t="s">
        <v>86</v>
      </c>
      <c r="H577" s="198" t="s">
        <v>86</v>
      </c>
      <c r="I577" s="198" t="s">
        <v>752</v>
      </c>
      <c r="J577" s="198" t="s">
        <v>367</v>
      </c>
      <c r="K577" s="199" t="s">
        <v>735</v>
      </c>
      <c r="L577" s="347">
        <f>2330714294</f>
        <v>2330714294</v>
      </c>
      <c r="M577" s="362" t="s">
        <v>753</v>
      </c>
      <c r="N577" s="366"/>
      <c r="O577" s="366">
        <v>45627.0</v>
      </c>
      <c r="P577" s="366">
        <v>45991.0</v>
      </c>
      <c r="Q577" s="204">
        <v>1.68918778E8</v>
      </c>
      <c r="R577" s="204">
        <v>1.68918778E8</v>
      </c>
      <c r="S577" s="204">
        <v>1.68918778E8</v>
      </c>
      <c r="T577" s="204">
        <v>1.68918778E8</v>
      </c>
      <c r="U577" s="204">
        <v>1.68918778E8</v>
      </c>
      <c r="V577" s="204">
        <v>1.68918778E8</v>
      </c>
      <c r="W577" s="204">
        <v>1.68918778E8</v>
      </c>
      <c r="X577" s="204">
        <v>1.68918778E8</v>
      </c>
      <c r="Y577" s="204">
        <v>1.68918778E8</v>
      </c>
      <c r="Z577" s="204">
        <v>1.68918778E8</v>
      </c>
      <c r="AA577" s="204">
        <v>1.68918778E8</v>
      </c>
      <c r="AB577" s="204">
        <v>1.68918778E8</v>
      </c>
      <c r="AC577" s="205">
        <v>2.027025336E9</v>
      </c>
      <c r="AD577" s="178">
        <f>SUM(Q577:AB577)-AC577</f>
        <v>0</v>
      </c>
      <c r="AE577" s="192"/>
      <c r="AF577" s="725">
        <v>2.027025336E9</v>
      </c>
      <c r="AG577" s="194"/>
      <c r="AH577" s="194"/>
      <c r="AI577" s="194"/>
    </row>
    <row r="578" hidden="1">
      <c r="A578" s="126"/>
      <c r="B578" s="195"/>
      <c r="C578" s="206"/>
      <c r="D578" s="207"/>
      <c r="E578" s="260"/>
      <c r="F578" s="207"/>
      <c r="G578" s="260"/>
      <c r="H578" s="206"/>
      <c r="I578" s="206"/>
      <c r="J578" s="216"/>
      <c r="K578" s="216" t="s">
        <v>735</v>
      </c>
      <c r="L578" s="277"/>
      <c r="M578" s="209"/>
      <c r="N578" s="367"/>
      <c r="O578" s="367"/>
      <c r="P578" s="367">
        <f>P577</f>
        <v>45991</v>
      </c>
      <c r="Q578" s="249">
        <f>L577/12</f>
        <v>194226191.2</v>
      </c>
      <c r="R578" s="249">
        <f t="shared" ref="R578:AA578" si="308">Q578</f>
        <v>194226191.2</v>
      </c>
      <c r="S578" s="249">
        <f t="shared" si="308"/>
        <v>194226191.2</v>
      </c>
      <c r="T578" s="249">
        <f t="shared" si="308"/>
        <v>194226191.2</v>
      </c>
      <c r="U578" s="249">
        <f t="shared" si="308"/>
        <v>194226191.2</v>
      </c>
      <c r="V578" s="249">
        <f t="shared" si="308"/>
        <v>194226191.2</v>
      </c>
      <c r="W578" s="249">
        <f t="shared" si="308"/>
        <v>194226191.2</v>
      </c>
      <c r="X578" s="249">
        <f t="shared" si="308"/>
        <v>194226191.2</v>
      </c>
      <c r="Y578" s="249">
        <f t="shared" si="308"/>
        <v>194226191.2</v>
      </c>
      <c r="Z578" s="249">
        <f t="shared" si="308"/>
        <v>194226191.2</v>
      </c>
      <c r="AA578" s="249">
        <f t="shared" si="308"/>
        <v>194226191.2</v>
      </c>
      <c r="AB578" s="212"/>
      <c r="AC578" s="213">
        <f t="shared" ref="AC578:AC582" si="309">SUM(Q578:AB578)</f>
        <v>2136488103</v>
      </c>
      <c r="AD578" s="214"/>
      <c r="AE578" s="192"/>
      <c r="AF578" s="194"/>
      <c r="AG578" s="194"/>
      <c r="AH578" s="194"/>
      <c r="AI578" s="194"/>
    </row>
    <row r="579" hidden="1">
      <c r="A579" s="391"/>
      <c r="B579" s="392"/>
      <c r="C579" s="206"/>
      <c r="D579" s="207"/>
      <c r="E579" s="260"/>
      <c r="F579" s="207"/>
      <c r="G579" s="260"/>
      <c r="H579" s="206"/>
      <c r="I579" s="206"/>
      <c r="J579" s="216"/>
      <c r="K579" s="216" t="s">
        <v>735</v>
      </c>
      <c r="L579" s="277"/>
      <c r="M579" s="265"/>
      <c r="N579" s="368"/>
      <c r="O579" s="368">
        <v>45992.0</v>
      </c>
      <c r="P579" s="389"/>
      <c r="Q579" s="249"/>
      <c r="R579" s="249"/>
      <c r="S579" s="212"/>
      <c r="T579" s="249"/>
      <c r="U579" s="249"/>
      <c r="V579" s="212"/>
      <c r="W579" s="212"/>
      <c r="X579" s="212"/>
      <c r="Y579" s="212"/>
      <c r="Z579" s="212"/>
      <c r="AA579" s="212"/>
      <c r="AB579" s="212"/>
      <c r="AC579" s="637">
        <f t="shared" si="309"/>
        <v>0</v>
      </c>
      <c r="AD579" s="545"/>
      <c r="AE579" s="726"/>
      <c r="AF579" s="412"/>
      <c r="AG579" s="412"/>
      <c r="AH579" s="412"/>
      <c r="AI579" s="412"/>
    </row>
    <row r="580" hidden="1">
      <c r="A580" s="126"/>
      <c r="B580" s="195"/>
      <c r="C580" s="222"/>
      <c r="D580" s="250" t="s">
        <v>754</v>
      </c>
      <c r="E580" s="233"/>
      <c r="F580" s="224"/>
      <c r="G580" s="233"/>
      <c r="H580" s="222"/>
      <c r="I580" s="222"/>
      <c r="J580" s="222"/>
      <c r="K580" s="222" t="s">
        <v>735</v>
      </c>
      <c r="L580" s="225"/>
      <c r="M580" s="383"/>
      <c r="N580" s="285"/>
      <c r="O580" s="285"/>
      <c r="P580" s="285"/>
      <c r="Q580" s="228">
        <v>1.9422619116666666E8</v>
      </c>
      <c r="R580" s="228">
        <v>1.9422619116666666E8</v>
      </c>
      <c r="S580" s="230">
        <v>1.9422619116666666E8</v>
      </c>
      <c r="T580" s="228">
        <v>1.9422619116666666E8</v>
      </c>
      <c r="U580" s="727">
        <v>1.9422619116666666E8</v>
      </c>
      <c r="V580" s="728">
        <f>V578</f>
        <v>194226191.2</v>
      </c>
      <c r="W580" s="727"/>
      <c r="X580" s="727"/>
      <c r="Y580" s="727"/>
      <c r="Z580" s="230"/>
      <c r="AA580" s="230"/>
      <c r="AB580" s="230"/>
      <c r="AC580" s="231">
        <f t="shared" si="309"/>
        <v>1165357147</v>
      </c>
      <c r="AD580" s="214"/>
      <c r="AE580" s="192"/>
      <c r="AF580" s="194"/>
      <c r="AG580" s="194"/>
      <c r="AH580" s="194"/>
      <c r="AI580" s="194"/>
    </row>
    <row r="581" hidden="1">
      <c r="A581" s="126"/>
      <c r="B581" s="729"/>
      <c r="C581" s="196"/>
      <c r="D581" s="286" t="s">
        <v>194</v>
      </c>
      <c r="E581" s="233"/>
      <c r="F581" s="233"/>
      <c r="G581" s="233"/>
      <c r="H581" s="234"/>
      <c r="I581" s="234"/>
      <c r="J581" s="222"/>
      <c r="K581" s="222" t="s">
        <v>735</v>
      </c>
      <c r="L581" s="346"/>
      <c r="M581" s="255"/>
      <c r="N581" s="365"/>
      <c r="O581" s="365"/>
      <c r="P581" s="365"/>
      <c r="Q581" s="228">
        <v>1.9422619116666666E8</v>
      </c>
      <c r="R581" s="228">
        <v>1.9422619116666666E8</v>
      </c>
      <c r="S581" s="230">
        <v>1.9422619116666666E8</v>
      </c>
      <c r="T581" s="228">
        <v>1.9422619116666666E8</v>
      </c>
      <c r="U581" s="727">
        <v>1.9422619116666666E8</v>
      </c>
      <c r="V581" s="238"/>
      <c r="W581" s="238"/>
      <c r="X581" s="238"/>
      <c r="Y581" s="238"/>
      <c r="Z581" s="238"/>
      <c r="AA581" s="238"/>
      <c r="AB581" s="238"/>
      <c r="AC581" s="378">
        <f t="shared" si="309"/>
        <v>971130955.8</v>
      </c>
      <c r="AD581" s="214"/>
      <c r="AE581" s="192"/>
      <c r="AF581" s="194"/>
      <c r="AG581" s="194"/>
      <c r="AH581" s="194"/>
      <c r="AI581" s="194"/>
    </row>
    <row r="582" hidden="1">
      <c r="A582" s="126"/>
      <c r="B582" s="729"/>
      <c r="C582" s="196"/>
      <c r="D582" s="286" t="s">
        <v>755</v>
      </c>
      <c r="E582" s="233"/>
      <c r="F582" s="233"/>
      <c r="G582" s="233"/>
      <c r="H582" s="234"/>
      <c r="I582" s="234"/>
      <c r="J582" s="222"/>
      <c r="K582" s="222" t="s">
        <v>735</v>
      </c>
      <c r="L582" s="346"/>
      <c r="M582" s="255"/>
      <c r="N582" s="365"/>
      <c r="O582" s="365"/>
      <c r="P582" s="365"/>
      <c r="Q582" s="228">
        <v>1.9422619116666666E8</v>
      </c>
      <c r="R582" s="228">
        <v>1.9422619116666666E8</v>
      </c>
      <c r="S582" s="230">
        <v>1.9422619116666666E8</v>
      </c>
      <c r="T582" s="228">
        <v>1.9422619116666666E8</v>
      </c>
      <c r="U582" s="727">
        <v>1.9422619116666666E8</v>
      </c>
      <c r="V582" s="238"/>
      <c r="W582" s="238"/>
      <c r="X582" s="238"/>
      <c r="Y582" s="238"/>
      <c r="Z582" s="238"/>
      <c r="AA582" s="238"/>
      <c r="AB582" s="238"/>
      <c r="AC582" s="378">
        <f t="shared" si="309"/>
        <v>971130955.8</v>
      </c>
      <c r="AD582" s="214"/>
      <c r="AE582" s="192"/>
      <c r="AF582" s="194"/>
      <c r="AG582" s="194"/>
      <c r="AH582" s="194"/>
      <c r="AI582" s="194"/>
    </row>
    <row r="583">
      <c r="A583" s="126" t="s">
        <v>756</v>
      </c>
      <c r="B583" s="729"/>
      <c r="C583" s="196">
        <v>4.0</v>
      </c>
      <c r="D583" s="354" t="s">
        <v>757</v>
      </c>
      <c r="E583" s="198" t="s">
        <v>186</v>
      </c>
      <c r="F583" s="198" t="s">
        <v>103</v>
      </c>
      <c r="G583" s="198" t="s">
        <v>86</v>
      </c>
      <c r="H583" s="198" t="s">
        <v>86</v>
      </c>
      <c r="I583" s="198" t="s">
        <v>253</v>
      </c>
      <c r="J583" s="198" t="s">
        <v>254</v>
      </c>
      <c r="K583" s="199" t="s">
        <v>735</v>
      </c>
      <c r="L583" s="347">
        <v>6.815768928E9</v>
      </c>
      <c r="M583" s="257" t="s">
        <v>758</v>
      </c>
      <c r="N583" s="366"/>
      <c r="O583" s="366">
        <v>45474.0</v>
      </c>
      <c r="P583" s="366">
        <v>45838.0</v>
      </c>
      <c r="Q583" s="204">
        <v>5.67980744332686E8</v>
      </c>
      <c r="R583" s="204">
        <v>5.67980744332686E8</v>
      </c>
      <c r="S583" s="204">
        <v>5.67980744332686E8</v>
      </c>
      <c r="T583" s="204">
        <v>5.67980744332686E8</v>
      </c>
      <c r="U583" s="204">
        <v>5.67980744332686E8</v>
      </c>
      <c r="V583" s="204">
        <v>5.67980744332686E8</v>
      </c>
      <c r="W583" s="204">
        <v>5.67980744332686E8</v>
      </c>
      <c r="X583" s="204">
        <v>5.67980744332686E8</v>
      </c>
      <c r="Y583" s="204">
        <v>5.67980744332686E8</v>
      </c>
      <c r="Z583" s="204">
        <v>5.67980744332686E8</v>
      </c>
      <c r="AA583" s="204">
        <v>5.67980744332686E8</v>
      </c>
      <c r="AB583" s="204">
        <v>5.67980744332686E8</v>
      </c>
      <c r="AC583" s="205">
        <v>6.815768931992229E9</v>
      </c>
      <c r="AD583" s="178">
        <f>SUM(Q583:AB583)-AC583</f>
        <v>0</v>
      </c>
      <c r="AE583" s="192"/>
      <c r="AF583" s="725">
        <v>6.815768932E9</v>
      </c>
      <c r="AG583" s="194"/>
      <c r="AH583" s="194"/>
      <c r="AI583" s="194"/>
    </row>
    <row r="584" hidden="1">
      <c r="A584" s="126"/>
      <c r="B584" s="195"/>
      <c r="C584" s="206"/>
      <c r="D584" s="207"/>
      <c r="E584" s="260"/>
      <c r="F584" s="207"/>
      <c r="G584" s="260"/>
      <c r="H584" s="206"/>
      <c r="I584" s="206"/>
      <c r="J584" s="216"/>
      <c r="K584" s="216" t="s">
        <v>735</v>
      </c>
      <c r="L584" s="217"/>
      <c r="M584" s="460"/>
      <c r="N584" s="367"/>
      <c r="O584" s="367"/>
      <c r="P584" s="367">
        <f>P583</f>
        <v>45838</v>
      </c>
      <c r="Q584" s="267">
        <v>5.67980744E8</v>
      </c>
      <c r="R584" s="267">
        <v>5.67980744E8</v>
      </c>
      <c r="S584" s="267">
        <v>5.67980744E8</v>
      </c>
      <c r="T584" s="267">
        <v>5.67980744E8</v>
      </c>
      <c r="U584" s="267">
        <v>5.67980744E8</v>
      </c>
      <c r="V584" s="267">
        <v>5.67980744E8</v>
      </c>
      <c r="W584" s="212"/>
      <c r="X584" s="212"/>
      <c r="Y584" s="212"/>
      <c r="Z584" s="212"/>
      <c r="AA584" s="212"/>
      <c r="AB584" s="212"/>
      <c r="AC584" s="637">
        <f t="shared" ref="AC584:AC588" si="310">SUM(Q584:AB584)</f>
        <v>3407884464</v>
      </c>
      <c r="AD584" s="214"/>
      <c r="AE584" s="192"/>
      <c r="AF584" s="194"/>
      <c r="AG584" s="194"/>
      <c r="AH584" s="194"/>
      <c r="AI584" s="194"/>
    </row>
    <row r="585" hidden="1">
      <c r="A585" s="126"/>
      <c r="B585" s="195"/>
      <c r="C585" s="206"/>
      <c r="D585" s="215" t="s">
        <v>759</v>
      </c>
      <c r="E585" s="260"/>
      <c r="F585" s="207"/>
      <c r="G585" s="260"/>
      <c r="H585" s="206"/>
      <c r="I585" s="206"/>
      <c r="J585" s="216"/>
      <c r="K585" s="216" t="s">
        <v>735</v>
      </c>
      <c r="L585" s="277"/>
      <c r="M585" s="265" t="s">
        <v>760</v>
      </c>
      <c r="N585" s="389"/>
      <c r="O585" s="389">
        <f>P584+1</f>
        <v>45839</v>
      </c>
      <c r="P585" s="389"/>
      <c r="Q585" s="249"/>
      <c r="R585" s="249"/>
      <c r="S585" s="249"/>
      <c r="T585" s="212"/>
      <c r="U585" s="249"/>
      <c r="V585" s="212"/>
      <c r="W585" s="212"/>
      <c r="X585" s="212"/>
      <c r="Y585" s="212"/>
      <c r="Z585" s="212"/>
      <c r="AA585" s="212"/>
      <c r="AB585" s="212"/>
      <c r="AC585" s="637">
        <f t="shared" si="310"/>
        <v>0</v>
      </c>
      <c r="AD585" s="214"/>
      <c r="AE585" s="192"/>
      <c r="AF585" s="194"/>
      <c r="AG585" s="194"/>
      <c r="AH585" s="194"/>
      <c r="AI585" s="194"/>
    </row>
    <row r="586" hidden="1">
      <c r="A586" s="126"/>
      <c r="B586" s="195"/>
      <c r="C586" s="222"/>
      <c r="D586" s="250" t="s">
        <v>761</v>
      </c>
      <c r="E586" s="233"/>
      <c r="F586" s="224"/>
      <c r="G586" s="233"/>
      <c r="H586" s="222"/>
      <c r="I586" s="222"/>
      <c r="J586" s="222"/>
      <c r="K586" s="222" t="s">
        <v>735</v>
      </c>
      <c r="L586" s="225"/>
      <c r="M586" s="383"/>
      <c r="N586" s="285"/>
      <c r="O586" s="285"/>
      <c r="P586" s="285"/>
      <c r="Q586" s="228">
        <v>5.67980744E8</v>
      </c>
      <c r="R586" s="228">
        <v>5.67980744E8</v>
      </c>
      <c r="S586" s="228">
        <v>5.67980744E8</v>
      </c>
      <c r="T586" s="230">
        <f t="shared" ref="T586:T588" si="311">Q586</f>
        <v>567980744</v>
      </c>
      <c r="U586" s="229">
        <v>5.67980744E8</v>
      </c>
      <c r="V586" s="238">
        <f>U586</f>
        <v>567980744</v>
      </c>
      <c r="W586" s="230"/>
      <c r="X586" s="230"/>
      <c r="Y586" s="230"/>
      <c r="Z586" s="230"/>
      <c r="AA586" s="230"/>
      <c r="AB586" s="230"/>
      <c r="AC586" s="231">
        <f t="shared" si="310"/>
        <v>3407884464</v>
      </c>
      <c r="AD586" s="214"/>
      <c r="AE586" s="192"/>
      <c r="AF586" s="194"/>
      <c r="AG586" s="194"/>
      <c r="AH586" s="194"/>
      <c r="AI586" s="194"/>
    </row>
    <row r="587" hidden="1">
      <c r="A587" s="126"/>
      <c r="B587" s="195"/>
      <c r="C587" s="196"/>
      <c r="D587" s="286" t="s">
        <v>194</v>
      </c>
      <c r="E587" s="233"/>
      <c r="F587" s="233"/>
      <c r="G587" s="233"/>
      <c r="H587" s="234"/>
      <c r="I587" s="234"/>
      <c r="J587" s="222"/>
      <c r="K587" s="222" t="s">
        <v>735</v>
      </c>
      <c r="L587" s="346"/>
      <c r="M587" s="255"/>
      <c r="N587" s="365"/>
      <c r="O587" s="365"/>
      <c r="P587" s="365"/>
      <c r="Q587" s="228">
        <v>5.67980744E8</v>
      </c>
      <c r="R587" s="228">
        <v>5.67980744E8</v>
      </c>
      <c r="S587" s="228">
        <v>5.67980744E8</v>
      </c>
      <c r="T587" s="230">
        <f t="shared" si="311"/>
        <v>567980744</v>
      </c>
      <c r="U587" s="238"/>
      <c r="V587" s="238"/>
      <c r="W587" s="238"/>
      <c r="X587" s="238"/>
      <c r="Y587" s="238"/>
      <c r="Z587" s="238"/>
      <c r="AA587" s="238"/>
      <c r="AB587" s="238"/>
      <c r="AC587" s="378">
        <f t="shared" si="310"/>
        <v>2271922976</v>
      </c>
      <c r="AD587" s="214"/>
      <c r="AE587" s="192"/>
      <c r="AF587" s="194"/>
      <c r="AG587" s="194"/>
      <c r="AH587" s="194"/>
      <c r="AI587" s="194"/>
    </row>
    <row r="588" hidden="1">
      <c r="A588" s="126"/>
      <c r="B588" s="195"/>
      <c r="C588" s="196"/>
      <c r="D588" s="286" t="s">
        <v>762</v>
      </c>
      <c r="E588" s="233"/>
      <c r="F588" s="233"/>
      <c r="G588" s="233"/>
      <c r="H588" s="234"/>
      <c r="I588" s="234"/>
      <c r="J588" s="222"/>
      <c r="K588" s="222" t="s">
        <v>735</v>
      </c>
      <c r="L588" s="346"/>
      <c r="M588" s="255"/>
      <c r="N588" s="365"/>
      <c r="O588" s="365"/>
      <c r="P588" s="365"/>
      <c r="Q588" s="228">
        <v>5.67980744E8</v>
      </c>
      <c r="R588" s="228">
        <v>5.67980744E8</v>
      </c>
      <c r="S588" s="228">
        <v>5.67980744E8</v>
      </c>
      <c r="T588" s="230">
        <f t="shared" si="311"/>
        <v>567980744</v>
      </c>
      <c r="U588" s="238"/>
      <c r="V588" s="238"/>
      <c r="W588" s="238"/>
      <c r="X588" s="238"/>
      <c r="Y588" s="238"/>
      <c r="Z588" s="238"/>
      <c r="AA588" s="238"/>
      <c r="AB588" s="238"/>
      <c r="AC588" s="378">
        <f t="shared" si="310"/>
        <v>2271922976</v>
      </c>
      <c r="AD588" s="214"/>
      <c r="AE588" s="192"/>
      <c r="AF588" s="194"/>
      <c r="AG588" s="194"/>
      <c r="AH588" s="194"/>
      <c r="AI588" s="194"/>
    </row>
    <row r="589">
      <c r="A589" s="126"/>
      <c r="B589" s="195"/>
      <c r="C589" s="196">
        <v>5.0</v>
      </c>
      <c r="D589" s="730" t="s">
        <v>763</v>
      </c>
      <c r="E589" s="198" t="s">
        <v>186</v>
      </c>
      <c r="F589" s="198" t="s">
        <v>103</v>
      </c>
      <c r="G589" s="198" t="s">
        <v>132</v>
      </c>
      <c r="H589" s="198" t="s">
        <v>132</v>
      </c>
      <c r="I589" s="198" t="s">
        <v>253</v>
      </c>
      <c r="J589" s="198" t="s">
        <v>254</v>
      </c>
      <c r="K589" s="199" t="s">
        <v>735</v>
      </c>
      <c r="L589" s="347" t="s">
        <v>764</v>
      </c>
      <c r="M589" s="257" t="s">
        <v>765</v>
      </c>
      <c r="N589" s="366"/>
      <c r="O589" s="366">
        <v>44958.0</v>
      </c>
      <c r="P589" s="366">
        <v>45688.0</v>
      </c>
      <c r="Q589" s="204">
        <v>3.143888900939921E8</v>
      </c>
      <c r="R589" s="204">
        <v>2.941057358943797E8</v>
      </c>
      <c r="S589" s="204">
        <v>3.143888900939921E8</v>
      </c>
      <c r="T589" s="204">
        <v>3.042473129941859E8</v>
      </c>
      <c r="U589" s="204">
        <v>3.143888900939921E8</v>
      </c>
      <c r="V589" s="204">
        <v>3.143888900939921E8</v>
      </c>
      <c r="W589" s="204">
        <v>3.143888900939921E8</v>
      </c>
      <c r="X589" s="204">
        <v>3.143888900939921E8</v>
      </c>
      <c r="Y589" s="204">
        <v>3.042473129941859E8</v>
      </c>
      <c r="Z589" s="204">
        <v>3.143888900939921E8</v>
      </c>
      <c r="AA589" s="204">
        <v>3.042473129941859E8</v>
      </c>
      <c r="AB589" s="204">
        <v>3.143888900939921E8</v>
      </c>
      <c r="AC589" s="205">
        <v>3.7219587956288753E9</v>
      </c>
      <c r="AD589" s="178">
        <f>SUM(Q589:AB589)-AC589</f>
        <v>0</v>
      </c>
      <c r="AE589" s="192"/>
      <c r="AF589" s="725">
        <v>3.721958796E9</v>
      </c>
      <c r="AG589" s="194"/>
      <c r="AH589" s="194"/>
      <c r="AI589" s="194"/>
    </row>
    <row r="590" hidden="1">
      <c r="A590" s="126"/>
      <c r="B590" s="195"/>
      <c r="C590" s="206"/>
      <c r="D590" s="207"/>
      <c r="E590" s="260"/>
      <c r="F590" s="207"/>
      <c r="G590" s="260"/>
      <c r="H590" s="206"/>
      <c r="I590" s="206"/>
      <c r="J590" s="216"/>
      <c r="K590" s="216" t="s">
        <v>735</v>
      </c>
      <c r="L590" s="277"/>
      <c r="M590" s="265"/>
      <c r="N590" s="389"/>
      <c r="O590" s="389"/>
      <c r="P590" s="389">
        <f>P589</f>
        <v>45688</v>
      </c>
      <c r="Q590" s="249">
        <f>(8925000000*0.35)/12</f>
        <v>260312500</v>
      </c>
      <c r="R590" s="212"/>
      <c r="S590" s="212"/>
      <c r="T590" s="212"/>
      <c r="U590" s="212"/>
      <c r="V590" s="212"/>
      <c r="W590" s="212"/>
      <c r="X590" s="212"/>
      <c r="Y590" s="212"/>
      <c r="Z590" s="212"/>
      <c r="AA590" s="212"/>
      <c r="AB590" s="212"/>
      <c r="AC590" s="637">
        <f t="shared" ref="AC590:AC594" si="312">SUM(Q590:AB590)</f>
        <v>260312500</v>
      </c>
      <c r="AD590" s="214"/>
      <c r="AE590" s="192"/>
      <c r="AF590" s="194"/>
      <c r="AG590" s="194"/>
      <c r="AH590" s="194"/>
      <c r="AI590" s="194"/>
    </row>
    <row r="591" hidden="1">
      <c r="A591" s="126"/>
      <c r="B591" s="195"/>
      <c r="C591" s="206"/>
      <c r="D591" s="215" t="s">
        <v>766</v>
      </c>
      <c r="E591" s="260"/>
      <c r="F591" s="207"/>
      <c r="G591" s="260"/>
      <c r="H591" s="206"/>
      <c r="I591" s="206"/>
      <c r="J591" s="216"/>
      <c r="K591" s="216" t="s">
        <v>735</v>
      </c>
      <c r="L591" s="245" t="s">
        <v>767</v>
      </c>
      <c r="M591" s="265" t="s">
        <v>214</v>
      </c>
      <c r="N591" s="368"/>
      <c r="O591" s="368">
        <v>45689.0</v>
      </c>
      <c r="P591" s="368">
        <v>46418.0</v>
      </c>
      <c r="Q591" s="249"/>
      <c r="R591" s="249">
        <f>(14003084459*0.25)/12</f>
        <v>291730926.2</v>
      </c>
      <c r="S591" s="249">
        <v>2.917309262291667E8</v>
      </c>
      <c r="T591" s="249">
        <v>2.917309262291667E8</v>
      </c>
      <c r="U591" s="249">
        <v>2.917309262291667E8</v>
      </c>
      <c r="V591" s="249">
        <v>2.917309262291667E8</v>
      </c>
      <c r="W591" s="249">
        <v>2.917309262291667E8</v>
      </c>
      <c r="X591" s="249">
        <v>2.917309262291667E8</v>
      </c>
      <c r="Y591" s="249">
        <v>2.917309262291667E8</v>
      </c>
      <c r="Z591" s="249">
        <v>2.917309262291667E8</v>
      </c>
      <c r="AA591" s="249">
        <v>2.917309262291667E8</v>
      </c>
      <c r="AB591" s="249">
        <v>2.917309262291667E8</v>
      </c>
      <c r="AC591" s="637">
        <f t="shared" si="312"/>
        <v>3209040189</v>
      </c>
      <c r="AD591" s="214"/>
      <c r="AE591" s="192"/>
      <c r="AF591" s="194"/>
      <c r="AG591" s="194"/>
      <c r="AH591" s="194"/>
      <c r="AI591" s="194"/>
    </row>
    <row r="592" hidden="1">
      <c r="A592" s="126"/>
      <c r="B592" s="195"/>
      <c r="C592" s="222"/>
      <c r="D592" s="250" t="s">
        <v>768</v>
      </c>
      <c r="E592" s="233"/>
      <c r="F592" s="224"/>
      <c r="G592" s="233"/>
      <c r="H592" s="222"/>
      <c r="I592" s="222"/>
      <c r="J592" s="222"/>
      <c r="K592" s="222" t="s">
        <v>735</v>
      </c>
      <c r="L592" s="225"/>
      <c r="M592" s="383"/>
      <c r="N592" s="285"/>
      <c r="O592" s="285"/>
      <c r="P592" s="285"/>
      <c r="Q592" s="229">
        <v>3.54789505E8</v>
      </c>
      <c r="R592" s="228"/>
      <c r="S592" s="228"/>
      <c r="T592" s="228"/>
      <c r="U592" s="228"/>
      <c r="V592" s="230"/>
      <c r="W592" s="230"/>
      <c r="X592" s="230"/>
      <c r="Y592" s="230"/>
      <c r="Z592" s="230"/>
      <c r="AA592" s="230"/>
      <c r="AB592" s="230"/>
      <c r="AC592" s="231">
        <f t="shared" si="312"/>
        <v>354789505</v>
      </c>
      <c r="AD592" s="214"/>
      <c r="AE592" s="192"/>
      <c r="AF592" s="194"/>
      <c r="AG592" s="194"/>
      <c r="AH592" s="194"/>
      <c r="AI592" s="194"/>
    </row>
    <row r="593" hidden="1">
      <c r="A593" s="126"/>
      <c r="B593" s="195"/>
      <c r="C593" s="196"/>
      <c r="D593" s="286" t="s">
        <v>194</v>
      </c>
      <c r="E593" s="233"/>
      <c r="F593" s="233"/>
      <c r="G593" s="233"/>
      <c r="H593" s="234"/>
      <c r="I593" s="234"/>
      <c r="J593" s="222"/>
      <c r="K593" s="222" t="s">
        <v>735</v>
      </c>
      <c r="L593" s="225"/>
      <c r="M593" s="383"/>
      <c r="N593" s="285"/>
      <c r="O593" s="285"/>
      <c r="P593" s="285"/>
      <c r="Q593" s="229">
        <v>3.54789505E8</v>
      </c>
      <c r="R593" s="238"/>
      <c r="S593" s="238"/>
      <c r="T593" s="238"/>
      <c r="U593" s="238"/>
      <c r="V593" s="238"/>
      <c r="W593" s="238"/>
      <c r="X593" s="238"/>
      <c r="Y593" s="238"/>
      <c r="Z593" s="238"/>
      <c r="AA593" s="238"/>
      <c r="AB593" s="238"/>
      <c r="AC593" s="378">
        <f t="shared" si="312"/>
        <v>354789505</v>
      </c>
      <c r="AD593" s="214"/>
      <c r="AE593" s="192"/>
      <c r="AF593" s="194"/>
      <c r="AG593" s="194"/>
      <c r="AH593" s="194"/>
      <c r="AI593" s="194"/>
    </row>
    <row r="594" hidden="1">
      <c r="A594" s="126"/>
      <c r="B594" s="195"/>
      <c r="C594" s="196"/>
      <c r="D594" s="286" t="s">
        <v>769</v>
      </c>
      <c r="E594" s="233"/>
      <c r="F594" s="233"/>
      <c r="G594" s="233"/>
      <c r="H594" s="234"/>
      <c r="I594" s="234"/>
      <c r="J594" s="222"/>
      <c r="K594" s="222" t="s">
        <v>735</v>
      </c>
      <c r="L594" s="225"/>
      <c r="M594" s="383"/>
      <c r="N594" s="285"/>
      <c r="O594" s="285"/>
      <c r="P594" s="285"/>
      <c r="Q594" s="238"/>
      <c r="R594" s="238"/>
      <c r="S594" s="238"/>
      <c r="T594" s="238"/>
      <c r="U594" s="238"/>
      <c r="V594" s="238"/>
      <c r="W594" s="238"/>
      <c r="X594" s="238"/>
      <c r="Y594" s="238"/>
      <c r="Z594" s="238"/>
      <c r="AA594" s="238"/>
      <c r="AB594" s="238"/>
      <c r="AC594" s="378">
        <f t="shared" si="312"/>
        <v>0</v>
      </c>
      <c r="AD594" s="214"/>
      <c r="AE594" s="192"/>
      <c r="AF594" s="194"/>
      <c r="AG594" s="194"/>
      <c r="AH594" s="194"/>
      <c r="AI594" s="194"/>
    </row>
    <row r="595">
      <c r="A595" s="126"/>
      <c r="B595" s="195"/>
      <c r="C595" s="196">
        <v>6.0</v>
      </c>
      <c r="D595" s="184" t="s">
        <v>770</v>
      </c>
      <c r="E595" s="198" t="s">
        <v>186</v>
      </c>
      <c r="F595" s="198" t="s">
        <v>98</v>
      </c>
      <c r="G595" s="198" t="s">
        <v>98</v>
      </c>
      <c r="H595" s="198" t="s">
        <v>771</v>
      </c>
      <c r="I595" s="198" t="s">
        <v>253</v>
      </c>
      <c r="J595" s="198" t="s">
        <v>254</v>
      </c>
      <c r="K595" s="199" t="s">
        <v>735</v>
      </c>
      <c r="L595" s="355"/>
      <c r="M595" s="731"/>
      <c r="N595" s="686"/>
      <c r="O595" s="686"/>
      <c r="P595" s="686"/>
      <c r="Q595" s="204">
        <v>3.6382455166666664E7</v>
      </c>
      <c r="R595" s="204">
        <v>3.6382455166666664E7</v>
      </c>
      <c r="S595" s="204">
        <v>3.6382455166666664E7</v>
      </c>
      <c r="T595" s="204">
        <v>3.6382455166666664E7</v>
      </c>
      <c r="U595" s="204">
        <v>3.6382455166666664E7</v>
      </c>
      <c r="V595" s="204">
        <v>3.6382455166666664E7</v>
      </c>
      <c r="W595" s="204">
        <v>3.6382455166666664E7</v>
      </c>
      <c r="X595" s="204">
        <v>3.6382455166666664E7</v>
      </c>
      <c r="Y595" s="204">
        <v>3.6382455166666664E7</v>
      </c>
      <c r="Z595" s="204">
        <v>3.6382455166666664E7</v>
      </c>
      <c r="AA595" s="204">
        <v>3.6382455166666664E7</v>
      </c>
      <c r="AB595" s="204">
        <v>3.6382455166666664E7</v>
      </c>
      <c r="AC595" s="205">
        <v>4.3658946200000006E8</v>
      </c>
      <c r="AD595" s="178">
        <f>SUM(Q595:AB595)-AC595</f>
        <v>0</v>
      </c>
      <c r="AE595" s="192"/>
      <c r="AF595" s="725">
        <v>4.36589462E8</v>
      </c>
      <c r="AG595" s="194"/>
      <c r="AH595" s="194"/>
      <c r="AI595" s="194"/>
    </row>
    <row r="596" hidden="1">
      <c r="A596" s="126"/>
      <c r="B596" s="195"/>
      <c r="C596" s="206"/>
      <c r="D596" s="220" t="s">
        <v>772</v>
      </c>
      <c r="E596" s="260"/>
      <c r="F596" s="207"/>
      <c r="G596" s="260"/>
      <c r="H596" s="206"/>
      <c r="I596" s="206"/>
      <c r="J596" s="216"/>
      <c r="K596" s="216" t="s">
        <v>735</v>
      </c>
      <c r="L596" s="277"/>
      <c r="M596" s="244"/>
      <c r="N596" s="389"/>
      <c r="O596" s="389"/>
      <c r="P596" s="389"/>
      <c r="Q596" s="212"/>
      <c r="R596" s="212"/>
      <c r="S596" s="212"/>
      <c r="T596" s="212"/>
      <c r="U596" s="212"/>
      <c r="V596" s="212"/>
      <c r="W596" s="212"/>
      <c r="X596" s="212"/>
      <c r="Y596" s="212"/>
      <c r="Z596" s="212"/>
      <c r="AA596" s="212"/>
      <c r="AB596" s="212"/>
      <c r="AC596" s="637">
        <f t="shared" ref="AC596:AC599" si="313">SUM(Q596:AB596)</f>
        <v>0</v>
      </c>
      <c r="AD596" s="214"/>
      <c r="AE596" s="192"/>
      <c r="AF596" s="194"/>
      <c r="AG596" s="194"/>
      <c r="AH596" s="194"/>
      <c r="AI596" s="194"/>
    </row>
    <row r="597" hidden="1">
      <c r="A597" s="126"/>
      <c r="B597" s="195"/>
      <c r="C597" s="222"/>
      <c r="D597" s="250" t="s">
        <v>773</v>
      </c>
      <c r="E597" s="233"/>
      <c r="F597" s="224"/>
      <c r="G597" s="233"/>
      <c r="H597" s="222"/>
      <c r="I597" s="222"/>
      <c r="J597" s="222"/>
      <c r="K597" s="222" t="s">
        <v>735</v>
      </c>
      <c r="L597" s="225"/>
      <c r="M597" s="383"/>
      <c r="N597" s="285"/>
      <c r="O597" s="285"/>
      <c r="P597" s="285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  <c r="AA597" s="230"/>
      <c r="AB597" s="230"/>
      <c r="AC597" s="231">
        <f t="shared" si="313"/>
        <v>0</v>
      </c>
      <c r="AD597" s="214"/>
      <c r="AE597" s="192"/>
      <c r="AF597" s="194"/>
      <c r="AG597" s="194"/>
      <c r="AH597" s="194"/>
      <c r="AI597" s="194"/>
    </row>
    <row r="598" hidden="1">
      <c r="A598" s="126"/>
      <c r="B598" s="195"/>
      <c r="C598" s="196"/>
      <c r="D598" s="286" t="s">
        <v>194</v>
      </c>
      <c r="E598" s="233"/>
      <c r="F598" s="233"/>
      <c r="G598" s="233"/>
      <c r="H598" s="234"/>
      <c r="I598" s="234"/>
      <c r="J598" s="222"/>
      <c r="K598" s="222" t="s">
        <v>735</v>
      </c>
      <c r="L598" s="225"/>
      <c r="M598" s="383"/>
      <c r="N598" s="285"/>
      <c r="O598" s="285"/>
      <c r="P598" s="285"/>
      <c r="Q598" s="238"/>
      <c r="R598" s="238"/>
      <c r="S598" s="238"/>
      <c r="T598" s="238"/>
      <c r="U598" s="238"/>
      <c r="V598" s="238"/>
      <c r="W598" s="238"/>
      <c r="X598" s="238"/>
      <c r="Y598" s="238"/>
      <c r="Z598" s="238"/>
      <c r="AA598" s="238"/>
      <c r="AB598" s="238"/>
      <c r="AC598" s="378">
        <f t="shared" si="313"/>
        <v>0</v>
      </c>
      <c r="AD598" s="214"/>
      <c r="AE598" s="192"/>
      <c r="AF598" s="194"/>
      <c r="AG598" s="194"/>
      <c r="AH598" s="194"/>
      <c r="AI598" s="194"/>
    </row>
    <row r="599" hidden="1">
      <c r="A599" s="126"/>
      <c r="B599" s="195"/>
      <c r="C599" s="196"/>
      <c r="D599" s="286" t="s">
        <v>774</v>
      </c>
      <c r="E599" s="233"/>
      <c r="F599" s="233"/>
      <c r="G599" s="233"/>
      <c r="H599" s="234"/>
      <c r="I599" s="234"/>
      <c r="J599" s="222"/>
      <c r="K599" s="222" t="s">
        <v>735</v>
      </c>
      <c r="L599" s="225"/>
      <c r="M599" s="383"/>
      <c r="N599" s="285"/>
      <c r="O599" s="285"/>
      <c r="P599" s="285"/>
      <c r="Q599" s="238"/>
      <c r="R599" s="238"/>
      <c r="S599" s="238"/>
      <c r="T599" s="238"/>
      <c r="U599" s="238"/>
      <c r="V599" s="238"/>
      <c r="W599" s="238"/>
      <c r="X599" s="238"/>
      <c r="Y599" s="238"/>
      <c r="Z599" s="238"/>
      <c r="AA599" s="238"/>
      <c r="AB599" s="238"/>
      <c r="AC599" s="378">
        <f t="shared" si="313"/>
        <v>0</v>
      </c>
      <c r="AD599" s="214"/>
      <c r="AE599" s="192"/>
      <c r="AF599" s="194"/>
      <c r="AG599" s="194"/>
      <c r="AH599" s="194"/>
      <c r="AI599" s="194"/>
    </row>
    <row r="600">
      <c r="A600" s="126"/>
      <c r="B600" s="195"/>
      <c r="C600" s="196">
        <v>7.0</v>
      </c>
      <c r="D600" s="184" t="s">
        <v>770</v>
      </c>
      <c r="E600" s="198" t="s">
        <v>186</v>
      </c>
      <c r="F600" s="198" t="s">
        <v>98</v>
      </c>
      <c r="G600" s="198" t="s">
        <v>98</v>
      </c>
      <c r="H600" s="198" t="s">
        <v>771</v>
      </c>
      <c r="I600" s="198" t="s">
        <v>187</v>
      </c>
      <c r="J600" s="198" t="s">
        <v>188</v>
      </c>
      <c r="K600" s="199" t="s">
        <v>735</v>
      </c>
      <c r="L600" s="355"/>
      <c r="M600" s="731"/>
      <c r="N600" s="686"/>
      <c r="O600" s="686"/>
      <c r="P600" s="686"/>
      <c r="Q600" s="204">
        <v>3.2340777583333332E7</v>
      </c>
      <c r="R600" s="204">
        <v>3.2340777583333332E7</v>
      </c>
      <c r="S600" s="204">
        <v>3.2340777583333332E7</v>
      </c>
      <c r="T600" s="204">
        <v>3.2340777583333332E7</v>
      </c>
      <c r="U600" s="204">
        <v>3.2340777583333332E7</v>
      </c>
      <c r="V600" s="204">
        <v>3.2340777583333332E7</v>
      </c>
      <c r="W600" s="204">
        <v>3.2340777583333332E7</v>
      </c>
      <c r="X600" s="204">
        <v>3.2340777583333332E7</v>
      </c>
      <c r="Y600" s="204">
        <v>3.2340777583333332E7</v>
      </c>
      <c r="Z600" s="204">
        <v>3.2340777583333332E7</v>
      </c>
      <c r="AA600" s="204">
        <v>3.2340777583333332E7</v>
      </c>
      <c r="AB600" s="204">
        <v>3.2340777583333332E7</v>
      </c>
      <c r="AC600" s="205">
        <v>3.8808933099999994E8</v>
      </c>
      <c r="AD600" s="178">
        <f>SUM(Q600:AB600)-AC600</f>
        <v>0</v>
      </c>
      <c r="AE600" s="192"/>
      <c r="AF600" s="725">
        <v>3.88089331E8</v>
      </c>
      <c r="AG600" s="194"/>
      <c r="AH600" s="194"/>
      <c r="AI600" s="194"/>
    </row>
    <row r="601" hidden="1">
      <c r="A601" s="126"/>
      <c r="B601" s="195"/>
      <c r="C601" s="206"/>
      <c r="D601" s="220" t="s">
        <v>772</v>
      </c>
      <c r="E601" s="260"/>
      <c r="F601" s="207"/>
      <c r="G601" s="260"/>
      <c r="H601" s="206"/>
      <c r="I601" s="206"/>
      <c r="J601" s="206"/>
      <c r="K601" s="206" t="s">
        <v>735</v>
      </c>
      <c r="L601" s="277"/>
      <c r="M601" s="265"/>
      <c r="N601" s="389"/>
      <c r="O601" s="389"/>
      <c r="P601" s="389"/>
      <c r="Q601" s="212"/>
      <c r="R601" s="212"/>
      <c r="S601" s="212"/>
      <c r="T601" s="212"/>
      <c r="U601" s="212"/>
      <c r="V601" s="212"/>
      <c r="W601" s="212"/>
      <c r="X601" s="212"/>
      <c r="Y601" s="212"/>
      <c r="Z601" s="212"/>
      <c r="AA601" s="212"/>
      <c r="AB601" s="212"/>
      <c r="AC601" s="637">
        <f t="shared" ref="AC601:AC604" si="314">SUM(Q601:AB601)</f>
        <v>0</v>
      </c>
      <c r="AD601" s="214"/>
      <c r="AE601" s="192"/>
      <c r="AF601" s="194"/>
      <c r="AG601" s="194"/>
      <c r="AH601" s="194"/>
      <c r="AI601" s="194"/>
    </row>
    <row r="602" hidden="1">
      <c r="A602" s="391"/>
      <c r="B602" s="195"/>
      <c r="C602" s="222"/>
      <c r="D602" s="250" t="s">
        <v>775</v>
      </c>
      <c r="E602" s="233"/>
      <c r="F602" s="224"/>
      <c r="G602" s="233"/>
      <c r="H602" s="222"/>
      <c r="I602" s="222"/>
      <c r="J602" s="222"/>
      <c r="K602" s="222" t="s">
        <v>735</v>
      </c>
      <c r="L602" s="225"/>
      <c r="M602" s="236"/>
      <c r="N602" s="285"/>
      <c r="O602" s="285"/>
      <c r="P602" s="285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  <c r="AA602" s="230"/>
      <c r="AB602" s="230"/>
      <c r="AC602" s="231">
        <f t="shared" si="314"/>
        <v>0</v>
      </c>
      <c r="AD602" s="214"/>
      <c r="AE602" s="192"/>
      <c r="AF602" s="194"/>
      <c r="AG602" s="194"/>
      <c r="AH602" s="194"/>
      <c r="AI602" s="194"/>
    </row>
    <row r="603" hidden="1">
      <c r="A603" s="391"/>
      <c r="B603" s="195"/>
      <c r="C603" s="196"/>
      <c r="D603" s="286" t="s">
        <v>194</v>
      </c>
      <c r="E603" s="233"/>
      <c r="F603" s="233"/>
      <c r="G603" s="233"/>
      <c r="H603" s="234"/>
      <c r="I603" s="234"/>
      <c r="J603" s="222"/>
      <c r="K603" s="222" t="s">
        <v>735</v>
      </c>
      <c r="L603" s="225"/>
      <c r="M603" s="383"/>
      <c r="N603" s="285"/>
      <c r="O603" s="285"/>
      <c r="P603" s="285"/>
      <c r="Q603" s="238"/>
      <c r="R603" s="238"/>
      <c r="S603" s="238"/>
      <c r="T603" s="238"/>
      <c r="U603" s="238"/>
      <c r="V603" s="238"/>
      <c r="W603" s="238"/>
      <c r="X603" s="238"/>
      <c r="Y603" s="238"/>
      <c r="Z603" s="238"/>
      <c r="AA603" s="238"/>
      <c r="AB603" s="238"/>
      <c r="AC603" s="378">
        <f t="shared" si="314"/>
        <v>0</v>
      </c>
      <c r="AD603" s="214"/>
      <c r="AE603" s="192"/>
      <c r="AF603" s="194"/>
      <c r="AG603" s="194"/>
      <c r="AH603" s="194"/>
      <c r="AI603" s="194"/>
    </row>
    <row r="604" hidden="1">
      <c r="A604" s="391"/>
      <c r="B604" s="195"/>
      <c r="C604" s="196"/>
      <c r="D604" s="286" t="s">
        <v>776</v>
      </c>
      <c r="E604" s="233"/>
      <c r="F604" s="233"/>
      <c r="G604" s="233"/>
      <c r="H604" s="234"/>
      <c r="I604" s="234"/>
      <c r="J604" s="222"/>
      <c r="K604" s="222" t="s">
        <v>735</v>
      </c>
      <c r="L604" s="225"/>
      <c r="M604" s="383"/>
      <c r="N604" s="285"/>
      <c r="O604" s="285"/>
      <c r="P604" s="285"/>
      <c r="Q604" s="238"/>
      <c r="R604" s="238"/>
      <c r="S604" s="238"/>
      <c r="T604" s="238"/>
      <c r="U604" s="238"/>
      <c r="V604" s="238"/>
      <c r="W604" s="238"/>
      <c r="X604" s="238"/>
      <c r="Y604" s="238"/>
      <c r="Z604" s="238"/>
      <c r="AA604" s="238"/>
      <c r="AB604" s="238"/>
      <c r="AC604" s="378">
        <f t="shared" si="314"/>
        <v>0</v>
      </c>
      <c r="AD604" s="214"/>
      <c r="AE604" s="192"/>
      <c r="AF604" s="194"/>
      <c r="AG604" s="194"/>
      <c r="AH604" s="194"/>
      <c r="AI604" s="194"/>
    </row>
    <row r="605">
      <c r="A605" s="732" t="s">
        <v>756</v>
      </c>
      <c r="B605" s="195"/>
      <c r="C605" s="196">
        <v>8.0</v>
      </c>
      <c r="D605" s="354" t="s">
        <v>777</v>
      </c>
      <c r="E605" s="198" t="s">
        <v>186</v>
      </c>
      <c r="F605" s="198" t="s">
        <v>135</v>
      </c>
      <c r="G605" s="198" t="s">
        <v>135</v>
      </c>
      <c r="H605" s="198" t="s">
        <v>203</v>
      </c>
      <c r="I605" s="198" t="s">
        <v>366</v>
      </c>
      <c r="J605" s="198" t="s">
        <v>367</v>
      </c>
      <c r="K605" s="199" t="s">
        <v>735</v>
      </c>
      <c r="L605" s="347">
        <v>4.8011622539E10</v>
      </c>
      <c r="M605" s="257" t="s">
        <v>778</v>
      </c>
      <c r="N605" s="366"/>
      <c r="O605" s="366">
        <v>45292.0</v>
      </c>
      <c r="P605" s="366">
        <v>45657.0</v>
      </c>
      <c r="Q605" s="204">
        <v>4.201633098E9</v>
      </c>
      <c r="R605" s="204">
        <v>4.201633098E9</v>
      </c>
      <c r="S605" s="204">
        <v>4.201633098E9</v>
      </c>
      <c r="T605" s="204">
        <v>4.201633098E9</v>
      </c>
      <c r="U605" s="204">
        <v>4.201633098E9</v>
      </c>
      <c r="V605" s="204">
        <v>4.201633098E9</v>
      </c>
      <c r="W605" s="204">
        <v>4.201633098E9</v>
      </c>
      <c r="X605" s="204">
        <v>4.201633098E9</v>
      </c>
      <c r="Y605" s="204">
        <v>4.201633098E9</v>
      </c>
      <c r="Z605" s="204">
        <v>4.201633098E9</v>
      </c>
      <c r="AA605" s="204">
        <v>4.201633098E9</v>
      </c>
      <c r="AB605" s="204">
        <v>4.201633098E9</v>
      </c>
      <c r="AC605" s="205">
        <v>5.0419597176E10</v>
      </c>
      <c r="AD605" s="178">
        <f>SUM(Q605:AB605)-AC605</f>
        <v>0</v>
      </c>
      <c r="AE605" s="192"/>
      <c r="AF605" s="725">
        <v>5.0419597176E10</v>
      </c>
      <c r="AG605" s="194"/>
      <c r="AH605" s="194"/>
      <c r="AI605" s="194"/>
    </row>
    <row r="606" hidden="1">
      <c r="A606" s="732"/>
      <c r="B606" s="195"/>
      <c r="C606" s="206"/>
      <c r="D606" s="215" t="s">
        <v>779</v>
      </c>
      <c r="E606" s="260"/>
      <c r="F606" s="207"/>
      <c r="G606" s="260"/>
      <c r="H606" s="206"/>
      <c r="I606" s="206"/>
      <c r="J606" s="206"/>
      <c r="K606" s="206" t="s">
        <v>735</v>
      </c>
      <c r="L606" s="245">
        <v>1.07733202298E11</v>
      </c>
      <c r="M606" s="209" t="s">
        <v>780</v>
      </c>
      <c r="N606" s="367"/>
      <c r="O606" s="367">
        <f>P605+1</f>
        <v>45658</v>
      </c>
      <c r="P606" s="733">
        <f>O606+30</f>
        <v>45688</v>
      </c>
      <c r="Q606" s="268">
        <f>L605/12</f>
        <v>4000968545</v>
      </c>
      <c r="R606" s="268">
        <f t="shared" ref="R606:U606" si="315">Q606</f>
        <v>4000968545</v>
      </c>
      <c r="S606" s="268">
        <f t="shared" si="315"/>
        <v>4000968545</v>
      </c>
      <c r="T606" s="268">
        <f t="shared" si="315"/>
        <v>4000968545</v>
      </c>
      <c r="U606" s="268">
        <f t="shared" si="315"/>
        <v>4000968545</v>
      </c>
      <c r="V606" s="268">
        <v>4.201633098E9</v>
      </c>
      <c r="W606" s="268">
        <v>4.201633098E9</v>
      </c>
      <c r="X606" s="268">
        <v>4.201633098E9</v>
      </c>
      <c r="Y606" s="268">
        <v>4.201633098E9</v>
      </c>
      <c r="Z606" s="268">
        <v>4.201633098E9</v>
      </c>
      <c r="AA606" s="268">
        <v>4.201633098E9</v>
      </c>
      <c r="AB606" s="268">
        <v>4.201633098E9</v>
      </c>
      <c r="AC606" s="637">
        <f t="shared" ref="AC606:AC636" si="316">SUM(Q606:AB606)</f>
        <v>49416274411</v>
      </c>
      <c r="AD606" s="273"/>
      <c r="AE606" s="192"/>
      <c r="AF606" s="194"/>
      <c r="AG606" s="194"/>
      <c r="AH606" s="194"/>
      <c r="AI606" s="194"/>
    </row>
    <row r="607" hidden="1">
      <c r="A607" s="732"/>
      <c r="B607" s="195"/>
      <c r="C607" s="206"/>
      <c r="D607" s="215" t="s">
        <v>781</v>
      </c>
      <c r="E607" s="260"/>
      <c r="F607" s="207"/>
      <c r="G607" s="260"/>
      <c r="H607" s="206"/>
      <c r="I607" s="206"/>
      <c r="J607" s="242"/>
      <c r="K607" s="242" t="s">
        <v>735</v>
      </c>
      <c r="L607" s="217"/>
      <c r="M607" s="246"/>
      <c r="N607" s="733"/>
      <c r="O607" s="733"/>
      <c r="P607" s="733"/>
      <c r="Q607" s="268"/>
      <c r="R607" s="268"/>
      <c r="S607" s="268"/>
      <c r="T607" s="268"/>
      <c r="U607" s="268"/>
      <c r="V607" s="268"/>
      <c r="W607" s="268"/>
      <c r="X607" s="268"/>
      <c r="Y607" s="268"/>
      <c r="Z607" s="268"/>
      <c r="AA607" s="268"/>
      <c r="AB607" s="268"/>
      <c r="AC607" s="637">
        <f t="shared" si="316"/>
        <v>0</v>
      </c>
      <c r="AD607" s="273"/>
      <c r="AE607" s="192"/>
      <c r="AF607" s="194"/>
      <c r="AG607" s="194"/>
      <c r="AH607" s="194"/>
      <c r="AI607" s="194"/>
    </row>
    <row r="608" hidden="1">
      <c r="A608" s="732"/>
      <c r="B608" s="392"/>
      <c r="C608" s="196"/>
      <c r="D608" s="224"/>
      <c r="E608" s="233"/>
      <c r="F608" s="224"/>
      <c r="G608" s="233"/>
      <c r="H608" s="222"/>
      <c r="I608" s="222"/>
      <c r="J608" s="196"/>
      <c r="K608" s="196"/>
      <c r="L608" s="225"/>
      <c r="M608" s="236"/>
      <c r="N608" s="285"/>
      <c r="O608" s="285"/>
      <c r="P608" s="285"/>
      <c r="Q608" s="452"/>
      <c r="R608" s="452"/>
      <c r="S608" s="600"/>
      <c r="T608" s="600"/>
      <c r="U608" s="600"/>
      <c r="V608" s="452"/>
      <c r="W608" s="452"/>
      <c r="X608" s="452"/>
      <c r="Y608" s="452"/>
      <c r="Z608" s="452"/>
      <c r="AA608" s="452"/>
      <c r="AB608" s="452"/>
      <c r="AC608" s="231">
        <f t="shared" si="316"/>
        <v>0</v>
      </c>
      <c r="AD608" s="273"/>
      <c r="AE608" s="192"/>
      <c r="AF608" s="194"/>
      <c r="AG608" s="194"/>
      <c r="AH608" s="194"/>
      <c r="AI608" s="194"/>
    </row>
    <row r="609" hidden="1">
      <c r="A609" s="732"/>
      <c r="B609" s="195"/>
      <c r="C609" s="222"/>
      <c r="D609" s="649" t="s">
        <v>485</v>
      </c>
      <c r="E609" s="233"/>
      <c r="F609" s="233"/>
      <c r="G609" s="233"/>
      <c r="H609" s="234"/>
      <c r="I609" s="234"/>
      <c r="J609" s="377"/>
      <c r="K609" s="377"/>
      <c r="L609" s="225"/>
      <c r="M609" s="383"/>
      <c r="N609" s="365"/>
      <c r="O609" s="365"/>
      <c r="P609" s="285"/>
      <c r="Q609" s="228">
        <v>4.5010685E7</v>
      </c>
      <c r="R609" s="228">
        <v>4.5010685E7</v>
      </c>
      <c r="S609" s="228">
        <v>4.5010685E7</v>
      </c>
      <c r="T609" s="230">
        <f t="shared" ref="T609:W609" si="317">S609</f>
        <v>45010685</v>
      </c>
      <c r="U609" s="230">
        <f t="shared" si="317"/>
        <v>45010685</v>
      </c>
      <c r="V609" s="230">
        <f t="shared" si="317"/>
        <v>45010685</v>
      </c>
      <c r="W609" s="230">
        <f t="shared" si="317"/>
        <v>45010685</v>
      </c>
      <c r="X609" s="230"/>
      <c r="Y609" s="230"/>
      <c r="Z609" s="230"/>
      <c r="AA609" s="230"/>
      <c r="AB609" s="230"/>
      <c r="AC609" s="231">
        <f t="shared" si="316"/>
        <v>315074795</v>
      </c>
      <c r="AD609" s="273"/>
      <c r="AE609" s="192"/>
      <c r="AF609" s="194"/>
      <c r="AG609" s="194"/>
      <c r="AH609" s="194"/>
      <c r="AI609" s="194"/>
    </row>
    <row r="610" hidden="1">
      <c r="A610" s="732"/>
      <c r="B610" s="195"/>
      <c r="C610" s="222"/>
      <c r="D610" s="649" t="s">
        <v>189</v>
      </c>
      <c r="E610" s="233"/>
      <c r="F610" s="233"/>
      <c r="G610" s="233"/>
      <c r="H610" s="234"/>
      <c r="I610" s="234"/>
      <c r="J610" s="377"/>
      <c r="K610" s="377"/>
      <c r="L610" s="225"/>
      <c r="M610" s="236"/>
      <c r="N610" s="365"/>
      <c r="O610" s="365"/>
      <c r="P610" s="285"/>
      <c r="Q610" s="270">
        <v>8.4213404E7</v>
      </c>
      <c r="R610" s="270">
        <v>8.4213404E7</v>
      </c>
      <c r="S610" s="270">
        <v>8.4213404E7</v>
      </c>
      <c r="T610" s="230">
        <f t="shared" ref="T610:W610" si="318">S610</f>
        <v>84213404</v>
      </c>
      <c r="U610" s="230">
        <f t="shared" si="318"/>
        <v>84213404</v>
      </c>
      <c r="V610" s="230">
        <f t="shared" si="318"/>
        <v>84213404</v>
      </c>
      <c r="W610" s="230">
        <f t="shared" si="318"/>
        <v>84213404</v>
      </c>
      <c r="X610" s="238"/>
      <c r="Y610" s="238"/>
      <c r="Z610" s="238"/>
      <c r="AA610" s="238"/>
      <c r="AB610" s="238"/>
      <c r="AC610" s="231">
        <f t="shared" si="316"/>
        <v>589493828</v>
      </c>
      <c r="AD610" s="273"/>
      <c r="AE610" s="192"/>
      <c r="AF610" s="194"/>
      <c r="AG610" s="194"/>
      <c r="AH610" s="194"/>
      <c r="AI610" s="194"/>
    </row>
    <row r="611" hidden="1">
      <c r="A611" s="732"/>
      <c r="B611" s="195"/>
      <c r="C611" s="222"/>
      <c r="D611" s="649" t="s">
        <v>782</v>
      </c>
      <c r="E611" s="233"/>
      <c r="F611" s="233"/>
      <c r="G611" s="233"/>
      <c r="H611" s="234"/>
      <c r="I611" s="234"/>
      <c r="J611" s="377"/>
      <c r="K611" s="377"/>
      <c r="L611" s="225"/>
      <c r="M611" s="236"/>
      <c r="N611" s="365"/>
      <c r="O611" s="365"/>
      <c r="P611" s="285"/>
      <c r="Q611" s="270">
        <v>3007978.0</v>
      </c>
      <c r="R611" s="270">
        <v>3007978.0</v>
      </c>
      <c r="S611" s="270">
        <v>3007978.0</v>
      </c>
      <c r="T611" s="230">
        <f t="shared" ref="T611:W611" si="319">S611</f>
        <v>3007978</v>
      </c>
      <c r="U611" s="230">
        <f t="shared" si="319"/>
        <v>3007978</v>
      </c>
      <c r="V611" s="230">
        <f t="shared" si="319"/>
        <v>3007978</v>
      </c>
      <c r="W611" s="230">
        <f t="shared" si="319"/>
        <v>3007978</v>
      </c>
      <c r="X611" s="238"/>
      <c r="Y611" s="238"/>
      <c r="Z611" s="238"/>
      <c r="AA611" s="238"/>
      <c r="AB611" s="238"/>
      <c r="AC611" s="231">
        <f t="shared" si="316"/>
        <v>21055846</v>
      </c>
      <c r="AD611" s="273"/>
      <c r="AE611" s="192"/>
      <c r="AF611" s="194"/>
      <c r="AG611" s="194"/>
      <c r="AH611" s="194"/>
      <c r="AI611" s="194"/>
    </row>
    <row r="612" hidden="1">
      <c r="A612" s="732"/>
      <c r="B612" s="195"/>
      <c r="C612" s="222"/>
      <c r="D612" s="649" t="s">
        <v>559</v>
      </c>
      <c r="E612" s="233"/>
      <c r="F612" s="233"/>
      <c r="G612" s="233"/>
      <c r="H612" s="234"/>
      <c r="I612" s="234"/>
      <c r="J612" s="234"/>
      <c r="K612" s="234"/>
      <c r="L612" s="225"/>
      <c r="M612" s="236"/>
      <c r="N612" s="365"/>
      <c r="O612" s="365"/>
      <c r="P612" s="285"/>
      <c r="Q612" s="270">
        <v>7.5983662E7</v>
      </c>
      <c r="R612" s="270">
        <v>7.5983662E7</v>
      </c>
      <c r="S612" s="270">
        <v>7.5983662E7</v>
      </c>
      <c r="T612" s="230">
        <f t="shared" ref="T612:W612" si="320">S612</f>
        <v>75983662</v>
      </c>
      <c r="U612" s="230">
        <f t="shared" si="320"/>
        <v>75983662</v>
      </c>
      <c r="V612" s="230">
        <f t="shared" si="320"/>
        <v>75983662</v>
      </c>
      <c r="W612" s="230">
        <f t="shared" si="320"/>
        <v>75983662</v>
      </c>
      <c r="X612" s="238"/>
      <c r="Y612" s="238"/>
      <c r="Z612" s="238"/>
      <c r="AA612" s="238"/>
      <c r="AB612" s="238"/>
      <c r="AC612" s="231">
        <f t="shared" si="316"/>
        <v>531885634</v>
      </c>
      <c r="AD612" s="273"/>
      <c r="AE612" s="192"/>
      <c r="AF612" s="194"/>
      <c r="AG612" s="194"/>
      <c r="AH612" s="194"/>
      <c r="AI612" s="194"/>
    </row>
    <row r="613" hidden="1">
      <c r="A613" s="732"/>
      <c r="B613" s="195"/>
      <c r="C613" s="222"/>
      <c r="D613" s="649" t="s">
        <v>232</v>
      </c>
      <c r="E613" s="233"/>
      <c r="F613" s="233"/>
      <c r="G613" s="233"/>
      <c r="H613" s="234"/>
      <c r="I613" s="234"/>
      <c r="J613" s="234"/>
      <c r="K613" s="234"/>
      <c r="L613" s="225"/>
      <c r="M613" s="236"/>
      <c r="N613" s="365"/>
      <c r="O613" s="365"/>
      <c r="P613" s="285"/>
      <c r="Q613" s="270">
        <v>2.331846E7</v>
      </c>
      <c r="R613" s="270">
        <v>2.331846E7</v>
      </c>
      <c r="S613" s="270">
        <v>2.331846E7</v>
      </c>
      <c r="T613" s="230">
        <f t="shared" ref="T613:W613" si="321">S613</f>
        <v>23318460</v>
      </c>
      <c r="U613" s="230">
        <f t="shared" si="321"/>
        <v>23318460</v>
      </c>
      <c r="V613" s="230">
        <f t="shared" si="321"/>
        <v>23318460</v>
      </c>
      <c r="W613" s="230">
        <f t="shared" si="321"/>
        <v>23318460</v>
      </c>
      <c r="X613" s="238"/>
      <c r="Y613" s="238"/>
      <c r="Z613" s="238"/>
      <c r="AA613" s="238"/>
      <c r="AB613" s="238"/>
      <c r="AC613" s="231">
        <f t="shared" si="316"/>
        <v>163229220</v>
      </c>
      <c r="AD613" s="273"/>
      <c r="AE613" s="192"/>
      <c r="AF613" s="194"/>
      <c r="AG613" s="194"/>
      <c r="AH613" s="194"/>
      <c r="AI613" s="194"/>
    </row>
    <row r="614" hidden="1">
      <c r="A614" s="732"/>
      <c r="B614" s="195"/>
      <c r="C614" s="222"/>
      <c r="D614" s="649" t="s">
        <v>783</v>
      </c>
      <c r="E614" s="233"/>
      <c r="F614" s="233"/>
      <c r="G614" s="233"/>
      <c r="H614" s="234"/>
      <c r="I614" s="234"/>
      <c r="J614" s="234"/>
      <c r="K614" s="234"/>
      <c r="L614" s="225"/>
      <c r="M614" s="236"/>
      <c r="N614" s="365"/>
      <c r="O614" s="365"/>
      <c r="P614" s="285"/>
      <c r="Q614" s="270">
        <v>6.983291E7</v>
      </c>
      <c r="R614" s="270">
        <v>6.983291E7</v>
      </c>
      <c r="S614" s="270">
        <v>6.983291E7</v>
      </c>
      <c r="T614" s="230">
        <f t="shared" ref="T614:W614" si="322">S614</f>
        <v>69832910</v>
      </c>
      <c r="U614" s="230">
        <f t="shared" si="322"/>
        <v>69832910</v>
      </c>
      <c r="V614" s="230">
        <f t="shared" si="322"/>
        <v>69832910</v>
      </c>
      <c r="W614" s="230">
        <f t="shared" si="322"/>
        <v>69832910</v>
      </c>
      <c r="X614" s="238"/>
      <c r="Y614" s="238"/>
      <c r="Z614" s="238"/>
      <c r="AA614" s="238"/>
      <c r="AB614" s="238"/>
      <c r="AC614" s="231">
        <f t="shared" si="316"/>
        <v>488830370</v>
      </c>
      <c r="AD614" s="499"/>
      <c r="AE614" s="241"/>
      <c r="AF614" s="194"/>
      <c r="AG614" s="194"/>
      <c r="AH614" s="194"/>
      <c r="AI614" s="194"/>
    </row>
    <row r="615" hidden="1">
      <c r="A615" s="732"/>
      <c r="B615" s="195"/>
      <c r="C615" s="222"/>
      <c r="D615" s="649" t="s">
        <v>230</v>
      </c>
      <c r="E615" s="233"/>
      <c r="F615" s="233"/>
      <c r="G615" s="233"/>
      <c r="H615" s="234"/>
      <c r="I615" s="234"/>
      <c r="J615" s="234"/>
      <c r="K615" s="234"/>
      <c r="L615" s="225"/>
      <c r="M615" s="236"/>
      <c r="N615" s="365"/>
      <c r="O615" s="365"/>
      <c r="P615" s="285"/>
      <c r="Q615" s="270">
        <v>8.1679126E7</v>
      </c>
      <c r="R615" s="270">
        <v>8.1679126E7</v>
      </c>
      <c r="S615" s="270">
        <v>8.1679126E7</v>
      </c>
      <c r="T615" s="230">
        <f t="shared" ref="T615:W615" si="323">S615</f>
        <v>81679126</v>
      </c>
      <c r="U615" s="230">
        <f t="shared" si="323"/>
        <v>81679126</v>
      </c>
      <c r="V615" s="230">
        <f t="shared" si="323"/>
        <v>81679126</v>
      </c>
      <c r="W615" s="230">
        <f t="shared" si="323"/>
        <v>81679126</v>
      </c>
      <c r="X615" s="238"/>
      <c r="Y615" s="238"/>
      <c r="Z615" s="238"/>
      <c r="AA615" s="238"/>
      <c r="AB615" s="238"/>
      <c r="AC615" s="231">
        <f t="shared" si="316"/>
        <v>571753882</v>
      </c>
      <c r="AD615" s="264"/>
      <c r="AE615" s="241"/>
      <c r="AF615" s="194"/>
      <c r="AG615" s="194"/>
      <c r="AH615" s="194"/>
      <c r="AI615" s="194"/>
    </row>
    <row r="616" hidden="1">
      <c r="A616" s="732"/>
      <c r="B616" s="195"/>
      <c r="C616" s="222"/>
      <c r="D616" s="649" t="s">
        <v>445</v>
      </c>
      <c r="E616" s="233"/>
      <c r="F616" s="233"/>
      <c r="G616" s="233"/>
      <c r="H616" s="234"/>
      <c r="I616" s="234"/>
      <c r="J616" s="234"/>
      <c r="K616" s="234"/>
      <c r="L616" s="225"/>
      <c r="M616" s="236"/>
      <c r="N616" s="365"/>
      <c r="O616" s="365"/>
      <c r="P616" s="285"/>
      <c r="Q616" s="270">
        <v>1.27713592E8</v>
      </c>
      <c r="R616" s="270">
        <v>1.27713592E8</v>
      </c>
      <c r="S616" s="270">
        <v>1.27713592E8</v>
      </c>
      <c r="T616" s="230">
        <f t="shared" ref="T616:W616" si="324">S616</f>
        <v>127713592</v>
      </c>
      <c r="U616" s="230">
        <f t="shared" si="324"/>
        <v>127713592</v>
      </c>
      <c r="V616" s="230">
        <f t="shared" si="324"/>
        <v>127713592</v>
      </c>
      <c r="W616" s="230">
        <f t="shared" si="324"/>
        <v>127713592</v>
      </c>
      <c r="X616" s="238"/>
      <c r="Y616" s="238"/>
      <c r="Z616" s="238"/>
      <c r="AA616" s="238"/>
      <c r="AB616" s="238"/>
      <c r="AC616" s="231">
        <f t="shared" si="316"/>
        <v>893995144</v>
      </c>
      <c r="AD616" s="214"/>
      <c r="AE616" s="192"/>
      <c r="AF616" s="194"/>
      <c r="AG616" s="194"/>
      <c r="AH616" s="194"/>
      <c r="AI616" s="194"/>
    </row>
    <row r="617" hidden="1">
      <c r="A617" s="732"/>
      <c r="B617" s="195"/>
      <c r="C617" s="222"/>
      <c r="D617" s="649" t="s">
        <v>606</v>
      </c>
      <c r="E617" s="233"/>
      <c r="F617" s="233"/>
      <c r="G617" s="233"/>
      <c r="H617" s="234"/>
      <c r="I617" s="234"/>
      <c r="J617" s="234"/>
      <c r="K617" s="234"/>
      <c r="L617" s="225"/>
      <c r="M617" s="236"/>
      <c r="N617" s="365"/>
      <c r="O617" s="365"/>
      <c r="P617" s="285"/>
      <c r="Q617" s="270">
        <v>1.38716089E8</v>
      </c>
      <c r="R617" s="270">
        <v>1.38716089E8</v>
      </c>
      <c r="S617" s="270">
        <v>1.38716089E8</v>
      </c>
      <c r="T617" s="230">
        <f t="shared" ref="T617:W617" si="325">S617</f>
        <v>138716089</v>
      </c>
      <c r="U617" s="230">
        <f t="shared" si="325"/>
        <v>138716089</v>
      </c>
      <c r="V617" s="230">
        <f t="shared" si="325"/>
        <v>138716089</v>
      </c>
      <c r="W617" s="230">
        <f t="shared" si="325"/>
        <v>138716089</v>
      </c>
      <c r="X617" s="238"/>
      <c r="Y617" s="238"/>
      <c r="Z617" s="238"/>
      <c r="AA617" s="238"/>
      <c r="AB617" s="238"/>
      <c r="AC617" s="231">
        <f t="shared" si="316"/>
        <v>971012623</v>
      </c>
      <c r="AD617" s="214"/>
      <c r="AE617" s="192"/>
      <c r="AF617" s="194"/>
      <c r="AG617" s="194"/>
      <c r="AH617" s="194"/>
      <c r="AI617" s="194"/>
    </row>
    <row r="618" hidden="1">
      <c r="A618" s="732"/>
      <c r="B618" s="195"/>
      <c r="C618" s="222"/>
      <c r="D618" s="649" t="s">
        <v>503</v>
      </c>
      <c r="E618" s="233"/>
      <c r="F618" s="233"/>
      <c r="G618" s="233"/>
      <c r="H618" s="234"/>
      <c r="I618" s="234"/>
      <c r="J618" s="234"/>
      <c r="K618" s="234"/>
      <c r="L618" s="225"/>
      <c r="M618" s="236"/>
      <c r="N618" s="365"/>
      <c r="O618" s="365"/>
      <c r="P618" s="285"/>
      <c r="Q618" s="270">
        <v>1.89796814E8</v>
      </c>
      <c r="R618" s="270">
        <v>1.89796814E8</v>
      </c>
      <c r="S618" s="270">
        <v>1.89796814E8</v>
      </c>
      <c r="T618" s="230">
        <f t="shared" ref="T618:W618" si="326">S618</f>
        <v>189796814</v>
      </c>
      <c r="U618" s="230">
        <f t="shared" si="326"/>
        <v>189796814</v>
      </c>
      <c r="V618" s="230">
        <f t="shared" si="326"/>
        <v>189796814</v>
      </c>
      <c r="W618" s="230">
        <f t="shared" si="326"/>
        <v>189796814</v>
      </c>
      <c r="X618" s="238"/>
      <c r="Y618" s="238"/>
      <c r="Z618" s="238"/>
      <c r="AA618" s="238"/>
      <c r="AB618" s="238"/>
      <c r="AC618" s="231">
        <f t="shared" si="316"/>
        <v>1328577698</v>
      </c>
      <c r="AD618" s="214"/>
      <c r="AE618" s="241"/>
      <c r="AF618" s="194"/>
      <c r="AG618" s="194"/>
      <c r="AH618" s="194"/>
      <c r="AI618" s="194"/>
    </row>
    <row r="619" hidden="1">
      <c r="A619" s="732"/>
      <c r="B619" s="195"/>
      <c r="C619" s="222"/>
      <c r="D619" s="649" t="s">
        <v>784</v>
      </c>
      <c r="E619" s="233"/>
      <c r="F619" s="233"/>
      <c r="G619" s="233"/>
      <c r="H619" s="234"/>
      <c r="I619" s="234"/>
      <c r="J619" s="234"/>
      <c r="K619" s="234"/>
      <c r="L619" s="225"/>
      <c r="M619" s="236"/>
      <c r="N619" s="365"/>
      <c r="O619" s="365"/>
      <c r="P619" s="285"/>
      <c r="Q619" s="270">
        <v>1.21703121E8</v>
      </c>
      <c r="R619" s="270">
        <v>1.21703121E8</v>
      </c>
      <c r="S619" s="270">
        <v>1.21703121E8</v>
      </c>
      <c r="T619" s="230">
        <f t="shared" ref="T619:W619" si="327">S619</f>
        <v>121703121</v>
      </c>
      <c r="U619" s="230">
        <f t="shared" si="327"/>
        <v>121703121</v>
      </c>
      <c r="V619" s="230">
        <f t="shared" si="327"/>
        <v>121703121</v>
      </c>
      <c r="W619" s="230">
        <f t="shared" si="327"/>
        <v>121703121</v>
      </c>
      <c r="X619" s="238"/>
      <c r="Y619" s="238"/>
      <c r="Z619" s="238"/>
      <c r="AA619" s="238"/>
      <c r="AB619" s="238"/>
      <c r="AC619" s="231">
        <f t="shared" si="316"/>
        <v>851921847</v>
      </c>
      <c r="AD619" s="264"/>
      <c r="AE619" s="241"/>
      <c r="AF619" s="194"/>
      <c r="AG619" s="194"/>
      <c r="AH619" s="194"/>
      <c r="AI619" s="194"/>
    </row>
    <row r="620" hidden="1">
      <c r="A620" s="732"/>
      <c r="B620" s="195"/>
      <c r="C620" s="222"/>
      <c r="D620" s="734"/>
      <c r="E620" s="735"/>
      <c r="F620" s="233"/>
      <c r="G620" s="233"/>
      <c r="H620" s="234"/>
      <c r="I620" s="234"/>
      <c r="J620" s="234"/>
      <c r="K620" s="234"/>
      <c r="L620" s="225"/>
      <c r="M620" s="236"/>
      <c r="N620" s="365"/>
      <c r="O620" s="365"/>
      <c r="P620" s="285"/>
      <c r="Q620" s="270">
        <v>2.06672417E8</v>
      </c>
      <c r="R620" s="270">
        <v>2.06672417E8</v>
      </c>
      <c r="S620" s="270">
        <v>2.06672417E8</v>
      </c>
      <c r="T620" s="230">
        <f t="shared" ref="T620:W620" si="328">S620</f>
        <v>206672417</v>
      </c>
      <c r="U620" s="230">
        <f t="shared" si="328"/>
        <v>206672417</v>
      </c>
      <c r="V620" s="230">
        <f t="shared" si="328"/>
        <v>206672417</v>
      </c>
      <c r="W620" s="230">
        <f t="shared" si="328"/>
        <v>206672417</v>
      </c>
      <c r="X620" s="238"/>
      <c r="Y620" s="238"/>
      <c r="Z620" s="238"/>
      <c r="AA620" s="238"/>
      <c r="AB620" s="238"/>
      <c r="AC620" s="231">
        <f t="shared" si="316"/>
        <v>1446706919</v>
      </c>
      <c r="AD620" s="214"/>
      <c r="AE620" s="241"/>
      <c r="AF620" s="194"/>
      <c r="AG620" s="194"/>
      <c r="AH620" s="194"/>
      <c r="AI620" s="194"/>
    </row>
    <row r="621" hidden="1">
      <c r="A621" s="732"/>
      <c r="B621" s="195"/>
      <c r="C621" s="222"/>
      <c r="D621" s="649" t="s">
        <v>649</v>
      </c>
      <c r="E621" s="233"/>
      <c r="F621" s="233"/>
      <c r="G621" s="233"/>
      <c r="H621" s="234"/>
      <c r="I621" s="234"/>
      <c r="J621" s="234"/>
      <c r="K621" s="234"/>
      <c r="L621" s="225"/>
      <c r="M621" s="236"/>
      <c r="N621" s="365"/>
      <c r="O621" s="365"/>
      <c r="P621" s="285"/>
      <c r="Q621" s="270">
        <v>4.1339407E7</v>
      </c>
      <c r="R621" s="270">
        <v>4.1339407E7</v>
      </c>
      <c r="S621" s="270">
        <v>4.1339407E7</v>
      </c>
      <c r="T621" s="230">
        <f t="shared" ref="T621:W621" si="329">S621</f>
        <v>41339407</v>
      </c>
      <c r="U621" s="230">
        <f t="shared" si="329"/>
        <v>41339407</v>
      </c>
      <c r="V621" s="230">
        <f t="shared" si="329"/>
        <v>41339407</v>
      </c>
      <c r="W621" s="230">
        <f t="shared" si="329"/>
        <v>41339407</v>
      </c>
      <c r="X621" s="238"/>
      <c r="Y621" s="238"/>
      <c r="Z621" s="238"/>
      <c r="AA621" s="238"/>
      <c r="AB621" s="238"/>
      <c r="AC621" s="231">
        <f t="shared" si="316"/>
        <v>289375849</v>
      </c>
      <c r="AD621" s="214"/>
      <c r="AE621" s="241"/>
      <c r="AF621" s="194"/>
      <c r="AG621" s="194"/>
      <c r="AH621" s="194"/>
      <c r="AI621" s="194"/>
    </row>
    <row r="622" hidden="1">
      <c r="A622" s="732"/>
      <c r="B622" s="195"/>
      <c r="C622" s="222"/>
      <c r="D622" s="649" t="s">
        <v>582</v>
      </c>
      <c r="E622" s="233"/>
      <c r="F622" s="233"/>
      <c r="G622" s="233"/>
      <c r="H622" s="234"/>
      <c r="I622" s="234"/>
      <c r="J622" s="234"/>
      <c r="K622" s="234"/>
      <c r="L622" s="225"/>
      <c r="M622" s="236"/>
      <c r="N622" s="365"/>
      <c r="O622" s="365"/>
      <c r="P622" s="285"/>
      <c r="Q622" s="270">
        <v>4.7797643E7</v>
      </c>
      <c r="R622" s="270">
        <v>4.7797643E7</v>
      </c>
      <c r="S622" s="270">
        <v>4.7797643E7</v>
      </c>
      <c r="T622" s="230">
        <f t="shared" ref="T622:W622" si="330">S622</f>
        <v>47797643</v>
      </c>
      <c r="U622" s="230">
        <f t="shared" si="330"/>
        <v>47797643</v>
      </c>
      <c r="V622" s="230">
        <f t="shared" si="330"/>
        <v>47797643</v>
      </c>
      <c r="W622" s="230">
        <f t="shared" si="330"/>
        <v>47797643</v>
      </c>
      <c r="X622" s="238"/>
      <c r="Y622" s="238"/>
      <c r="Z622" s="238"/>
      <c r="AA622" s="238"/>
      <c r="AB622" s="238"/>
      <c r="AC622" s="231">
        <f t="shared" si="316"/>
        <v>334583501</v>
      </c>
      <c r="AD622" s="264"/>
      <c r="AE622" s="241"/>
      <c r="AF622" s="194"/>
      <c r="AG622" s="194"/>
      <c r="AH622" s="194"/>
      <c r="AI622" s="194"/>
    </row>
    <row r="623" hidden="1">
      <c r="A623" s="732"/>
      <c r="B623" s="195"/>
      <c r="C623" s="222"/>
      <c r="D623" s="649" t="s">
        <v>529</v>
      </c>
      <c r="E623" s="233"/>
      <c r="F623" s="233"/>
      <c r="G623" s="233"/>
      <c r="H623" s="234"/>
      <c r="I623" s="234"/>
      <c r="J623" s="234"/>
      <c r="K623" s="234"/>
      <c r="L623" s="225"/>
      <c r="M623" s="236"/>
      <c r="N623" s="365"/>
      <c r="O623" s="365"/>
      <c r="P623" s="285"/>
      <c r="Q623" s="270">
        <v>5.4869808E7</v>
      </c>
      <c r="R623" s="270">
        <v>5.4869808E7</v>
      </c>
      <c r="S623" s="270">
        <v>5.4869808E7</v>
      </c>
      <c r="T623" s="230">
        <f t="shared" ref="T623:W623" si="331">S623</f>
        <v>54869808</v>
      </c>
      <c r="U623" s="230">
        <f t="shared" si="331"/>
        <v>54869808</v>
      </c>
      <c r="V623" s="230">
        <f t="shared" si="331"/>
        <v>54869808</v>
      </c>
      <c r="W623" s="230">
        <f t="shared" si="331"/>
        <v>54869808</v>
      </c>
      <c r="X623" s="238"/>
      <c r="Y623" s="238"/>
      <c r="Z623" s="238"/>
      <c r="AA623" s="238"/>
      <c r="AB623" s="238"/>
      <c r="AC623" s="231">
        <f t="shared" si="316"/>
        <v>384088656</v>
      </c>
      <c r="AD623" s="214"/>
      <c r="AE623" s="241"/>
      <c r="AF623" s="194"/>
      <c r="AG623" s="194"/>
      <c r="AH623" s="194"/>
      <c r="AI623" s="194"/>
    </row>
    <row r="624" hidden="1">
      <c r="A624" s="732"/>
      <c r="B624" s="195"/>
      <c r="C624" s="222"/>
      <c r="D624" s="649" t="s">
        <v>785</v>
      </c>
      <c r="E624" s="233"/>
      <c r="F624" s="233"/>
      <c r="G624" s="233"/>
      <c r="H624" s="234"/>
      <c r="I624" s="234"/>
      <c r="J624" s="234"/>
      <c r="K624" s="234"/>
      <c r="L624" s="225"/>
      <c r="M624" s="236"/>
      <c r="N624" s="365"/>
      <c r="O624" s="365"/>
      <c r="P624" s="285"/>
      <c r="Q624" s="270">
        <v>5.5527361E7</v>
      </c>
      <c r="R624" s="270">
        <v>5.5527361E7</v>
      </c>
      <c r="S624" s="270">
        <v>5.5527361E7</v>
      </c>
      <c r="T624" s="230">
        <f t="shared" ref="T624:W624" si="332">S624</f>
        <v>55527361</v>
      </c>
      <c r="U624" s="230">
        <f t="shared" si="332"/>
        <v>55527361</v>
      </c>
      <c r="V624" s="230">
        <f t="shared" si="332"/>
        <v>55527361</v>
      </c>
      <c r="W624" s="230">
        <f t="shared" si="332"/>
        <v>55527361</v>
      </c>
      <c r="X624" s="238"/>
      <c r="Y624" s="238"/>
      <c r="Z624" s="238"/>
      <c r="AA624" s="238"/>
      <c r="AB624" s="238"/>
      <c r="AC624" s="231">
        <f t="shared" si="316"/>
        <v>388691527</v>
      </c>
      <c r="AD624" s="214"/>
      <c r="AE624" s="241"/>
      <c r="AF624" s="194"/>
      <c r="AG624" s="194"/>
      <c r="AH624" s="194"/>
      <c r="AI624" s="194"/>
    </row>
    <row r="625" hidden="1">
      <c r="A625" s="732"/>
      <c r="B625" s="195"/>
      <c r="C625" s="222"/>
      <c r="D625" s="649" t="s">
        <v>786</v>
      </c>
      <c r="E625" s="233"/>
      <c r="F625" s="233"/>
      <c r="G625" s="233"/>
      <c r="H625" s="234"/>
      <c r="I625" s="234"/>
      <c r="J625" s="234"/>
      <c r="K625" s="234"/>
      <c r="L625" s="225"/>
      <c r="M625" s="236"/>
      <c r="N625" s="365"/>
      <c r="O625" s="365"/>
      <c r="P625" s="285"/>
      <c r="Q625" s="270">
        <v>2.2387215E7</v>
      </c>
      <c r="R625" s="270">
        <v>2.2387215E7</v>
      </c>
      <c r="S625" s="270">
        <v>2.2387215E7</v>
      </c>
      <c r="T625" s="230">
        <f t="shared" ref="T625:W625" si="333">S625</f>
        <v>22387215</v>
      </c>
      <c r="U625" s="230">
        <f t="shared" si="333"/>
        <v>22387215</v>
      </c>
      <c r="V625" s="230">
        <f t="shared" si="333"/>
        <v>22387215</v>
      </c>
      <c r="W625" s="230">
        <f t="shared" si="333"/>
        <v>22387215</v>
      </c>
      <c r="X625" s="238"/>
      <c r="Y625" s="238"/>
      <c r="Z625" s="238"/>
      <c r="AA625" s="238"/>
      <c r="AB625" s="238"/>
      <c r="AC625" s="231">
        <f t="shared" si="316"/>
        <v>156710505</v>
      </c>
      <c r="AD625" s="264"/>
      <c r="AE625" s="241"/>
      <c r="AF625" s="194"/>
      <c r="AG625" s="194"/>
      <c r="AH625" s="194"/>
      <c r="AI625" s="194"/>
    </row>
    <row r="626" hidden="1">
      <c r="A626" s="732"/>
      <c r="B626" s="195"/>
      <c r="C626" s="222"/>
      <c r="D626" s="649" t="s">
        <v>787</v>
      </c>
      <c r="E626" s="233"/>
      <c r="F626" s="233"/>
      <c r="G626" s="233"/>
      <c r="H626" s="234"/>
      <c r="I626" s="234"/>
      <c r="J626" s="234"/>
      <c r="K626" s="234"/>
      <c r="L626" s="225"/>
      <c r="M626" s="236"/>
      <c r="N626" s="365"/>
      <c r="O626" s="365"/>
      <c r="P626" s="285"/>
      <c r="Q626" s="270">
        <v>5.17743865E8</v>
      </c>
      <c r="R626" s="270">
        <v>5.17743865E8</v>
      </c>
      <c r="S626" s="270">
        <v>5.17743865E8</v>
      </c>
      <c r="T626" s="230">
        <f t="shared" ref="T626:W626" si="334">S626</f>
        <v>517743865</v>
      </c>
      <c r="U626" s="230">
        <f t="shared" si="334"/>
        <v>517743865</v>
      </c>
      <c r="V626" s="230">
        <f t="shared" si="334"/>
        <v>517743865</v>
      </c>
      <c r="W626" s="230">
        <f t="shared" si="334"/>
        <v>517743865</v>
      </c>
      <c r="X626" s="238"/>
      <c r="Y626" s="238"/>
      <c r="Z626" s="238"/>
      <c r="AA626" s="238"/>
      <c r="AB626" s="238"/>
      <c r="AC626" s="231">
        <f t="shared" si="316"/>
        <v>3624207055</v>
      </c>
      <c r="AD626" s="214"/>
      <c r="AE626" s="241"/>
      <c r="AF626" s="194"/>
      <c r="AG626" s="194"/>
      <c r="AH626" s="194"/>
      <c r="AI626" s="194"/>
    </row>
    <row r="627" hidden="1">
      <c r="A627" s="732"/>
      <c r="B627" s="195"/>
      <c r="C627" s="222"/>
      <c r="D627" s="649" t="s">
        <v>788</v>
      </c>
      <c r="E627" s="233"/>
      <c r="F627" s="233"/>
      <c r="G627" s="233"/>
      <c r="H627" s="234"/>
      <c r="I627" s="234"/>
      <c r="J627" s="234"/>
      <c r="K627" s="234"/>
      <c r="L627" s="225"/>
      <c r="M627" s="236"/>
      <c r="N627" s="365"/>
      <c r="O627" s="365"/>
      <c r="P627" s="285"/>
      <c r="Q627" s="270">
        <v>4.15499382E8</v>
      </c>
      <c r="R627" s="270">
        <v>4.15499382E8</v>
      </c>
      <c r="S627" s="270">
        <v>4.15499382E8</v>
      </c>
      <c r="T627" s="230">
        <f t="shared" ref="T627:W627" si="335">S627</f>
        <v>415499382</v>
      </c>
      <c r="U627" s="230">
        <f t="shared" si="335"/>
        <v>415499382</v>
      </c>
      <c r="V627" s="230">
        <f t="shared" si="335"/>
        <v>415499382</v>
      </c>
      <c r="W627" s="230">
        <f t="shared" si="335"/>
        <v>415499382</v>
      </c>
      <c r="X627" s="238"/>
      <c r="Y627" s="238"/>
      <c r="Z627" s="238"/>
      <c r="AA627" s="238"/>
      <c r="AB627" s="238"/>
      <c r="AC627" s="231">
        <f t="shared" si="316"/>
        <v>2908495674</v>
      </c>
      <c r="AD627" s="214"/>
      <c r="AE627" s="241"/>
      <c r="AF627" s="194"/>
      <c r="AG627" s="194"/>
      <c r="AH627" s="194"/>
      <c r="AI627" s="194"/>
    </row>
    <row r="628" hidden="1">
      <c r="A628" s="732"/>
      <c r="B628" s="195"/>
      <c r="C628" s="222"/>
      <c r="D628" s="649" t="s">
        <v>789</v>
      </c>
      <c r="E628" s="233"/>
      <c r="F628" s="233"/>
      <c r="G628" s="233"/>
      <c r="H628" s="234"/>
      <c r="I628" s="234"/>
      <c r="J628" s="234"/>
      <c r="K628" s="234"/>
      <c r="L628" s="225"/>
      <c r="M628" s="236"/>
      <c r="N628" s="365"/>
      <c r="O628" s="365"/>
      <c r="P628" s="285"/>
      <c r="Q628" s="270">
        <v>1.44007256E8</v>
      </c>
      <c r="R628" s="270">
        <v>1.44007256E8</v>
      </c>
      <c r="S628" s="270">
        <v>1.44007256E8</v>
      </c>
      <c r="T628" s="230">
        <f t="shared" ref="T628:W628" si="336">S628</f>
        <v>144007256</v>
      </c>
      <c r="U628" s="230">
        <f t="shared" si="336"/>
        <v>144007256</v>
      </c>
      <c r="V628" s="230">
        <f t="shared" si="336"/>
        <v>144007256</v>
      </c>
      <c r="W628" s="230">
        <f t="shared" si="336"/>
        <v>144007256</v>
      </c>
      <c r="X628" s="238"/>
      <c r="Y628" s="238"/>
      <c r="Z628" s="238"/>
      <c r="AA628" s="238"/>
      <c r="AB628" s="238"/>
      <c r="AC628" s="231">
        <f t="shared" si="316"/>
        <v>1008050792</v>
      </c>
      <c r="AD628" s="264"/>
      <c r="AE628" s="241"/>
      <c r="AF628" s="194"/>
      <c r="AG628" s="194"/>
      <c r="AH628" s="194"/>
      <c r="AI628" s="194"/>
    </row>
    <row r="629" hidden="1">
      <c r="A629" s="732"/>
      <c r="B629" s="195"/>
      <c r="C629" s="222"/>
      <c r="D629" s="649" t="s">
        <v>790</v>
      </c>
      <c r="E629" s="233"/>
      <c r="F629" s="233"/>
      <c r="G629" s="233"/>
      <c r="H629" s="234"/>
      <c r="I629" s="234"/>
      <c r="J629" s="234"/>
      <c r="K629" s="234"/>
      <c r="L629" s="225"/>
      <c r="M629" s="236"/>
      <c r="N629" s="365"/>
      <c r="O629" s="365"/>
      <c r="P629" s="285"/>
      <c r="Q629" s="270">
        <v>8.52036751E8</v>
      </c>
      <c r="R629" s="270">
        <v>8.52036751E8</v>
      </c>
      <c r="S629" s="270">
        <v>8.52036751E8</v>
      </c>
      <c r="T629" s="230">
        <f t="shared" ref="T629:W629" si="337">S629</f>
        <v>852036751</v>
      </c>
      <c r="U629" s="230">
        <f t="shared" si="337"/>
        <v>852036751</v>
      </c>
      <c r="V629" s="230">
        <f t="shared" si="337"/>
        <v>852036751</v>
      </c>
      <c r="W629" s="230">
        <f t="shared" si="337"/>
        <v>852036751</v>
      </c>
      <c r="X629" s="238"/>
      <c r="Y629" s="238"/>
      <c r="Z629" s="238"/>
      <c r="AA629" s="238"/>
      <c r="AB629" s="238"/>
      <c r="AC629" s="231">
        <f t="shared" si="316"/>
        <v>5964257257</v>
      </c>
      <c r="AD629" s="214"/>
      <c r="AE629" s="241"/>
      <c r="AF629" s="194"/>
      <c r="AG629" s="194"/>
      <c r="AH629" s="194"/>
      <c r="AI629" s="194"/>
    </row>
    <row r="630" hidden="1">
      <c r="A630" s="732"/>
      <c r="B630" s="195"/>
      <c r="C630" s="222"/>
      <c r="D630" s="649" t="s">
        <v>791</v>
      </c>
      <c r="E630" s="233"/>
      <c r="F630" s="233"/>
      <c r="G630" s="233"/>
      <c r="H630" s="234"/>
      <c r="I630" s="234"/>
      <c r="J630" s="234"/>
      <c r="K630" s="234"/>
      <c r="L630" s="225"/>
      <c r="M630" s="236"/>
      <c r="N630" s="365"/>
      <c r="O630" s="365"/>
      <c r="P630" s="285"/>
      <c r="Q630" s="270">
        <v>1.71832595E8</v>
      </c>
      <c r="R630" s="270">
        <v>1.71832595E8</v>
      </c>
      <c r="S630" s="270">
        <v>1.71832595E8</v>
      </c>
      <c r="T630" s="230">
        <f t="shared" ref="T630:W630" si="338">S630</f>
        <v>171832595</v>
      </c>
      <c r="U630" s="230">
        <f t="shared" si="338"/>
        <v>171832595</v>
      </c>
      <c r="V630" s="230">
        <f t="shared" si="338"/>
        <v>171832595</v>
      </c>
      <c r="W630" s="230">
        <f t="shared" si="338"/>
        <v>171832595</v>
      </c>
      <c r="X630" s="238"/>
      <c r="Y630" s="238"/>
      <c r="Z630" s="238"/>
      <c r="AA630" s="238"/>
      <c r="AB630" s="238"/>
      <c r="AC630" s="231">
        <f t="shared" si="316"/>
        <v>1202828165</v>
      </c>
      <c r="AD630" s="214"/>
      <c r="AE630" s="241"/>
      <c r="AF630" s="194"/>
      <c r="AG630" s="194"/>
      <c r="AH630" s="194"/>
      <c r="AI630" s="194"/>
    </row>
    <row r="631" hidden="1">
      <c r="A631" s="732"/>
      <c r="B631" s="195"/>
      <c r="C631" s="222"/>
      <c r="D631" s="649"/>
      <c r="E631" s="233"/>
      <c r="F631" s="233"/>
      <c r="G631" s="233"/>
      <c r="H631" s="234"/>
      <c r="I631" s="234"/>
      <c r="J631" s="234"/>
      <c r="K631" s="234"/>
      <c r="L631" s="225"/>
      <c r="M631" s="236"/>
      <c r="N631" s="365"/>
      <c r="O631" s="365"/>
      <c r="P631" s="285"/>
      <c r="Q631" s="238"/>
      <c r="R631" s="238"/>
      <c r="S631" s="238"/>
      <c r="T631" s="238"/>
      <c r="U631" s="238"/>
      <c r="V631" s="238"/>
      <c r="W631" s="238"/>
      <c r="X631" s="238"/>
      <c r="Y631" s="238"/>
      <c r="Z631" s="238"/>
      <c r="AA631" s="238"/>
      <c r="AB631" s="238"/>
      <c r="AC631" s="231">
        <f t="shared" si="316"/>
        <v>0</v>
      </c>
      <c r="AD631" s="214"/>
      <c r="AE631" s="241"/>
      <c r="AF631" s="194"/>
      <c r="AG631" s="194"/>
      <c r="AH631" s="194"/>
      <c r="AI631" s="194"/>
    </row>
    <row r="632" hidden="1">
      <c r="A632" s="732"/>
      <c r="B632" s="195"/>
      <c r="C632" s="222"/>
      <c r="D632" s="649"/>
      <c r="E632" s="233"/>
      <c r="F632" s="233"/>
      <c r="G632" s="233"/>
      <c r="H632" s="234"/>
      <c r="I632" s="234"/>
      <c r="J632" s="234"/>
      <c r="K632" s="234"/>
      <c r="L632" s="225"/>
      <c r="M632" s="236"/>
      <c r="N632" s="365"/>
      <c r="O632" s="365"/>
      <c r="P632" s="285"/>
      <c r="Q632" s="238"/>
      <c r="R632" s="238"/>
      <c r="S632" s="238"/>
      <c r="T632" s="238"/>
      <c r="U632" s="238"/>
      <c r="V632" s="238"/>
      <c r="W632" s="238"/>
      <c r="X632" s="238"/>
      <c r="Y632" s="238"/>
      <c r="Z632" s="238"/>
      <c r="AA632" s="238"/>
      <c r="AB632" s="238"/>
      <c r="AC632" s="231">
        <f t="shared" si="316"/>
        <v>0</v>
      </c>
      <c r="AD632" s="214"/>
      <c r="AE632" s="241"/>
      <c r="AF632" s="194"/>
      <c r="AG632" s="194"/>
      <c r="AH632" s="194"/>
      <c r="AI632" s="194"/>
    </row>
    <row r="633" hidden="1">
      <c r="A633" s="732"/>
      <c r="B633" s="195"/>
      <c r="C633" s="222"/>
      <c r="D633" s="649"/>
      <c r="E633" s="233"/>
      <c r="F633" s="233"/>
      <c r="G633" s="233"/>
      <c r="H633" s="234"/>
      <c r="I633" s="234"/>
      <c r="J633" s="234"/>
      <c r="K633" s="234"/>
      <c r="L633" s="225"/>
      <c r="M633" s="236"/>
      <c r="N633" s="365"/>
      <c r="O633" s="365"/>
      <c r="P633" s="285"/>
      <c r="Q633" s="238"/>
      <c r="R633" s="238"/>
      <c r="S633" s="238"/>
      <c r="T633" s="238"/>
      <c r="U633" s="238"/>
      <c r="V633" s="238"/>
      <c r="W633" s="238"/>
      <c r="X633" s="238"/>
      <c r="Y633" s="238"/>
      <c r="Z633" s="238"/>
      <c r="AA633" s="238"/>
      <c r="AB633" s="238"/>
      <c r="AC633" s="231">
        <f t="shared" si="316"/>
        <v>0</v>
      </c>
      <c r="AD633" s="264"/>
      <c r="AE633" s="241"/>
      <c r="AF633" s="194"/>
      <c r="AG633" s="194"/>
      <c r="AH633" s="194"/>
      <c r="AI633" s="194"/>
    </row>
    <row r="634" hidden="1">
      <c r="A634" s="732"/>
      <c r="B634" s="195"/>
      <c r="C634" s="196"/>
      <c r="D634" s="250" t="s">
        <v>792</v>
      </c>
      <c r="E634" s="233"/>
      <c r="F634" s="224"/>
      <c r="G634" s="233"/>
      <c r="H634" s="222"/>
      <c r="I634" s="222"/>
      <c r="J634" s="222"/>
      <c r="K634" s="222" t="s">
        <v>735</v>
      </c>
      <c r="L634" s="346"/>
      <c r="M634" s="255"/>
      <c r="N634" s="365"/>
      <c r="O634" s="365"/>
      <c r="P634" s="365"/>
      <c r="Q634" s="238">
        <f t="shared" ref="Q634:T634" si="339">3490689539</f>
        <v>3490689539</v>
      </c>
      <c r="R634" s="238">
        <f t="shared" si="339"/>
        <v>3490689539</v>
      </c>
      <c r="S634" s="238">
        <f t="shared" si="339"/>
        <v>3490689539</v>
      </c>
      <c r="T634" s="238">
        <f t="shared" si="339"/>
        <v>3490689539</v>
      </c>
      <c r="U634" s="238">
        <f>T634</f>
        <v>3490689539</v>
      </c>
      <c r="V634" s="238">
        <f>T634</f>
        <v>3490689539</v>
      </c>
      <c r="W634" s="238"/>
      <c r="X634" s="238"/>
      <c r="Y634" s="238"/>
      <c r="Z634" s="238"/>
      <c r="AA634" s="238"/>
      <c r="AB634" s="238"/>
      <c r="AC634" s="231">
        <f t="shared" si="316"/>
        <v>20944137234</v>
      </c>
      <c r="AD634" s="214"/>
      <c r="AE634" s="241"/>
      <c r="AF634" s="194"/>
      <c r="AG634" s="194"/>
      <c r="AH634" s="194"/>
      <c r="AI634" s="194"/>
    </row>
    <row r="635" hidden="1">
      <c r="A635" s="732"/>
      <c r="B635" s="195"/>
      <c r="C635" s="196"/>
      <c r="D635" s="286" t="s">
        <v>194</v>
      </c>
      <c r="E635" s="233"/>
      <c r="F635" s="233"/>
      <c r="G635" s="233"/>
      <c r="H635" s="234"/>
      <c r="I635" s="234"/>
      <c r="J635" s="222"/>
      <c r="K635" s="222" t="s">
        <v>735</v>
      </c>
      <c r="L635" s="346"/>
      <c r="M635" s="255"/>
      <c r="N635" s="365"/>
      <c r="O635" s="365"/>
      <c r="P635" s="365"/>
      <c r="Q635" s="238"/>
      <c r="R635" s="238"/>
      <c r="S635" s="238"/>
      <c r="T635" s="238"/>
      <c r="U635" s="238"/>
      <c r="V635" s="238"/>
      <c r="W635" s="238"/>
      <c r="X635" s="238"/>
      <c r="Y635" s="238"/>
      <c r="Z635" s="238"/>
      <c r="AA635" s="238"/>
      <c r="AB635" s="238"/>
      <c r="AC635" s="378">
        <f t="shared" si="316"/>
        <v>0</v>
      </c>
      <c r="AD635" s="214"/>
      <c r="AE635" s="241"/>
      <c r="AF635" s="194"/>
      <c r="AG635" s="194"/>
      <c r="AH635" s="194"/>
      <c r="AI635" s="194"/>
    </row>
    <row r="636" hidden="1">
      <c r="A636" s="732"/>
      <c r="B636" s="195"/>
      <c r="C636" s="196"/>
      <c r="D636" s="286" t="s">
        <v>793</v>
      </c>
      <c r="E636" s="233"/>
      <c r="F636" s="233"/>
      <c r="G636" s="233"/>
      <c r="H636" s="234"/>
      <c r="I636" s="234"/>
      <c r="J636" s="222"/>
      <c r="K636" s="222" t="s">
        <v>735</v>
      </c>
      <c r="L636" s="346"/>
      <c r="M636" s="255"/>
      <c r="N636" s="365"/>
      <c r="O636" s="365"/>
      <c r="P636" s="365"/>
      <c r="Q636" s="238"/>
      <c r="R636" s="238"/>
      <c r="S636" s="238"/>
      <c r="T636" s="238"/>
      <c r="U636" s="238"/>
      <c r="V636" s="238"/>
      <c r="W636" s="238"/>
      <c r="X636" s="238"/>
      <c r="Y636" s="238"/>
      <c r="Z636" s="238"/>
      <c r="AA636" s="238"/>
      <c r="AB636" s="238"/>
      <c r="AC636" s="378">
        <f t="shared" si="316"/>
        <v>0</v>
      </c>
      <c r="AD636" s="214"/>
      <c r="AE636" s="241"/>
      <c r="AF636" s="194"/>
      <c r="AG636" s="194"/>
      <c r="AH636" s="194"/>
      <c r="AI636" s="194"/>
    </row>
    <row r="637">
      <c r="A637" s="732" t="s">
        <v>756</v>
      </c>
      <c r="B637" s="195"/>
      <c r="C637" s="196">
        <v>9.0</v>
      </c>
      <c r="D637" s="197" t="s">
        <v>794</v>
      </c>
      <c r="E637" s="198" t="s">
        <v>186</v>
      </c>
      <c r="F637" s="198" t="s">
        <v>88</v>
      </c>
      <c r="G637" s="198" t="s">
        <v>88</v>
      </c>
      <c r="H637" s="198" t="s">
        <v>218</v>
      </c>
      <c r="I637" s="198" t="s">
        <v>253</v>
      </c>
      <c r="J637" s="198" t="s">
        <v>254</v>
      </c>
      <c r="K637" s="199" t="s">
        <v>735</v>
      </c>
      <c r="L637" s="355"/>
      <c r="M637" s="257" t="s">
        <v>795</v>
      </c>
      <c r="N637" s="686"/>
      <c r="O637" s="686"/>
      <c r="P637" s="686"/>
      <c r="Q637" s="204">
        <v>8.48209282E8</v>
      </c>
      <c r="R637" s="204">
        <v>8.48209282E8</v>
      </c>
      <c r="S637" s="204">
        <v>8.48209282E8</v>
      </c>
      <c r="T637" s="204">
        <v>8.48209282E8</v>
      </c>
      <c r="U637" s="204">
        <v>8.48209282E8</v>
      </c>
      <c r="V637" s="204">
        <v>8.48209282E8</v>
      </c>
      <c r="W637" s="204">
        <v>8.48209282E8</v>
      </c>
      <c r="X637" s="204">
        <v>8.48209282E8</v>
      </c>
      <c r="Y637" s="204">
        <v>8.48209282E8</v>
      </c>
      <c r="Z637" s="204">
        <v>8.48209282E8</v>
      </c>
      <c r="AA637" s="204">
        <v>8.48209282E8</v>
      </c>
      <c r="AB637" s="204">
        <v>8.48209282E8</v>
      </c>
      <c r="AC637" s="665">
        <v>1.0178511384E10</v>
      </c>
      <c r="AD637" s="178">
        <f>SUM(Q637:AB637)-AC637</f>
        <v>0</v>
      </c>
      <c r="AE637" s="241"/>
      <c r="AF637" s="725">
        <v>1.0178511384E10</v>
      </c>
      <c r="AG637" s="725"/>
      <c r="AH637" s="194"/>
      <c r="AI637" s="194"/>
    </row>
    <row r="638" hidden="1">
      <c r="A638" s="732"/>
      <c r="B638" s="195"/>
      <c r="C638" s="206"/>
      <c r="D638" s="207"/>
      <c r="E638" s="260"/>
      <c r="F638" s="207"/>
      <c r="G638" s="260"/>
      <c r="H638" s="206"/>
      <c r="I638" s="206"/>
      <c r="J638" s="206"/>
      <c r="K638" s="206" t="s">
        <v>735</v>
      </c>
      <c r="L638" s="217"/>
      <c r="M638" s="209" t="s">
        <v>796</v>
      </c>
      <c r="N638" s="367"/>
      <c r="O638" s="367"/>
      <c r="P638" s="367"/>
      <c r="Q638" s="267"/>
      <c r="R638" s="267"/>
      <c r="S638" s="267"/>
      <c r="T638" s="267"/>
      <c r="U638" s="267"/>
      <c r="V638" s="267"/>
      <c r="W638" s="212"/>
      <c r="X638" s="212"/>
      <c r="Y638" s="212"/>
      <c r="Z638" s="212"/>
      <c r="AA638" s="212"/>
      <c r="AB638" s="212"/>
      <c r="AC638" s="637">
        <f t="shared" ref="AC638:AC643" si="340">SUM(Q638:AB638)</f>
        <v>0</v>
      </c>
      <c r="AD638" s="214"/>
      <c r="AE638" s="192"/>
      <c r="AF638" s="194"/>
      <c r="AG638" s="194"/>
      <c r="AH638" s="194"/>
      <c r="AI638" s="194"/>
    </row>
    <row r="639" hidden="1">
      <c r="A639" s="732"/>
      <c r="B639" s="195"/>
      <c r="C639" s="206"/>
      <c r="D639" s="207"/>
      <c r="E639" s="260"/>
      <c r="F639" s="207"/>
      <c r="G639" s="260"/>
      <c r="H639" s="206"/>
      <c r="I639" s="206"/>
      <c r="J639" s="206"/>
      <c r="K639" s="206" t="s">
        <v>735</v>
      </c>
      <c r="L639" s="217">
        <v>9.30436350204E9</v>
      </c>
      <c r="M639" s="209" t="s">
        <v>797</v>
      </c>
      <c r="N639" s="367"/>
      <c r="O639" s="367">
        <v>45474.0</v>
      </c>
      <c r="P639" s="367">
        <v>45838.0</v>
      </c>
      <c r="Q639" s="267">
        <v>7.7536362517E8</v>
      </c>
      <c r="R639" s="267">
        <v>7.7536362517E8</v>
      </c>
      <c r="S639" s="267">
        <v>7.7536362517E8</v>
      </c>
      <c r="T639" s="267">
        <v>7.7536362517E8</v>
      </c>
      <c r="U639" s="267">
        <v>7.7536362517E8</v>
      </c>
      <c r="V639" s="267">
        <v>7.7536362517E8</v>
      </c>
      <c r="W639" s="212"/>
      <c r="X639" s="212"/>
      <c r="Y639" s="212"/>
      <c r="Z639" s="212"/>
      <c r="AA639" s="212"/>
      <c r="AB639" s="212"/>
      <c r="AC639" s="637">
        <f t="shared" si="340"/>
        <v>4652181751</v>
      </c>
      <c r="AD639" s="214"/>
      <c r="AE639" s="192"/>
      <c r="AF639" s="194"/>
      <c r="AG639" s="194"/>
      <c r="AH639" s="194"/>
      <c r="AI639" s="194"/>
    </row>
    <row r="640" hidden="1">
      <c r="A640" s="732"/>
      <c r="B640" s="195"/>
      <c r="C640" s="206"/>
      <c r="D640" s="215" t="s">
        <v>798</v>
      </c>
      <c r="E640" s="260"/>
      <c r="F640" s="207"/>
      <c r="G640" s="260"/>
      <c r="H640" s="206"/>
      <c r="I640" s="206"/>
      <c r="J640" s="206"/>
      <c r="K640" s="206" t="s">
        <v>735</v>
      </c>
      <c r="L640" s="277"/>
      <c r="M640" s="265" t="s">
        <v>340</v>
      </c>
      <c r="N640" s="283"/>
      <c r="O640" s="283">
        <f>P639+1</f>
        <v>45839</v>
      </c>
      <c r="P640" s="389"/>
      <c r="Q640" s="249"/>
      <c r="R640" s="249"/>
      <c r="S640" s="249"/>
      <c r="T640" s="212"/>
      <c r="U640" s="249"/>
      <c r="V640" s="212"/>
      <c r="W640" s="212"/>
      <c r="X640" s="212"/>
      <c r="Y640" s="212"/>
      <c r="Z640" s="212"/>
      <c r="AA640" s="212"/>
      <c r="AB640" s="212"/>
      <c r="AC640" s="637">
        <f t="shared" si="340"/>
        <v>0</v>
      </c>
      <c r="AD640" s="214"/>
      <c r="AE640" s="192"/>
      <c r="AF640" s="194"/>
      <c r="AG640" s="194"/>
      <c r="AH640" s="194"/>
      <c r="AI640" s="194"/>
    </row>
    <row r="641" hidden="1">
      <c r="A641" s="732"/>
      <c r="B641" s="195"/>
      <c r="C641" s="222"/>
      <c r="D641" s="250" t="s">
        <v>799</v>
      </c>
      <c r="E641" s="233"/>
      <c r="F641" s="224"/>
      <c r="G641" s="233"/>
      <c r="H641" s="222"/>
      <c r="I641" s="222"/>
      <c r="J641" s="222"/>
      <c r="K641" s="222" t="s">
        <v>735</v>
      </c>
      <c r="L641" s="225"/>
      <c r="M641" s="383"/>
      <c r="N641" s="285"/>
      <c r="O641" s="285"/>
      <c r="P641" s="285"/>
      <c r="Q641" s="228">
        <v>7.1608323E8</v>
      </c>
      <c r="R641" s="228">
        <v>7.22105819E8</v>
      </c>
      <c r="S641" s="228">
        <v>7.67119516E8</v>
      </c>
      <c r="T641" s="230">
        <f t="shared" ref="T641:T643" si="341">S641</f>
        <v>767119516</v>
      </c>
      <c r="U641" s="229">
        <v>7.41407953E8</v>
      </c>
      <c r="V641" s="229">
        <v>7.41407953E8</v>
      </c>
      <c r="W641" s="230"/>
      <c r="X641" s="230"/>
      <c r="Y641" s="230"/>
      <c r="Z641" s="230"/>
      <c r="AA641" s="230"/>
      <c r="AB641" s="230"/>
      <c r="AC641" s="231">
        <f t="shared" si="340"/>
        <v>4455243987</v>
      </c>
      <c r="AD641" s="214"/>
      <c r="AE641" s="241"/>
      <c r="AF641" s="194"/>
      <c r="AG641" s="194"/>
      <c r="AH641" s="194"/>
      <c r="AI641" s="194"/>
    </row>
    <row r="642" hidden="1">
      <c r="A642" s="732"/>
      <c r="B642" s="195"/>
      <c r="C642" s="196"/>
      <c r="D642" s="286" t="s">
        <v>194</v>
      </c>
      <c r="E642" s="233"/>
      <c r="F642" s="233"/>
      <c r="G642" s="233"/>
      <c r="H642" s="234"/>
      <c r="I642" s="234"/>
      <c r="J642" s="222"/>
      <c r="K642" s="222" t="s">
        <v>735</v>
      </c>
      <c r="L642" s="715"/>
      <c r="M642" s="255"/>
      <c r="N642" s="365"/>
      <c r="O642" s="365"/>
      <c r="P642" s="365"/>
      <c r="Q642" s="228">
        <v>7.1608323E8</v>
      </c>
      <c r="R642" s="228">
        <v>7.22105819E8</v>
      </c>
      <c r="S642" s="228">
        <v>7.67119516E8</v>
      </c>
      <c r="T642" s="230">
        <f t="shared" si="341"/>
        <v>767119516</v>
      </c>
      <c r="U642" s="238"/>
      <c r="V642" s="238"/>
      <c r="W642" s="238"/>
      <c r="X642" s="238"/>
      <c r="Y642" s="238"/>
      <c r="Z642" s="238"/>
      <c r="AA642" s="238"/>
      <c r="AB642" s="238"/>
      <c r="AC642" s="378">
        <f t="shared" si="340"/>
        <v>2972428081</v>
      </c>
      <c r="AD642" s="214"/>
      <c r="AE642" s="241"/>
      <c r="AF642" s="194"/>
      <c r="AG642" s="194"/>
      <c r="AH642" s="194"/>
      <c r="AI642" s="194"/>
    </row>
    <row r="643" hidden="1">
      <c r="A643" s="732"/>
      <c r="B643" s="195"/>
      <c r="C643" s="196"/>
      <c r="D643" s="286" t="s">
        <v>800</v>
      </c>
      <c r="E643" s="233"/>
      <c r="F643" s="233"/>
      <c r="G643" s="233"/>
      <c r="H643" s="234"/>
      <c r="I643" s="234"/>
      <c r="J643" s="222"/>
      <c r="K643" s="222" t="s">
        <v>735</v>
      </c>
      <c r="L643" s="715"/>
      <c r="M643" s="255"/>
      <c r="N643" s="365"/>
      <c r="O643" s="365"/>
      <c r="P643" s="365"/>
      <c r="Q643" s="228">
        <v>7.1608323E8</v>
      </c>
      <c r="R643" s="228">
        <v>7.22105819E8</v>
      </c>
      <c r="S643" s="228">
        <v>7.67119516E8</v>
      </c>
      <c r="T643" s="230">
        <f t="shared" si="341"/>
        <v>767119516</v>
      </c>
      <c r="U643" s="238"/>
      <c r="V643" s="238"/>
      <c r="W643" s="238"/>
      <c r="X643" s="238"/>
      <c r="Y643" s="238"/>
      <c r="Z643" s="238"/>
      <c r="AA643" s="238"/>
      <c r="AB643" s="238"/>
      <c r="AC643" s="378">
        <f t="shared" si="340"/>
        <v>2972428081</v>
      </c>
      <c r="AD643" s="214"/>
      <c r="AE643" s="241"/>
      <c r="AF643" s="194"/>
      <c r="AG643" s="194"/>
      <c r="AH643" s="194"/>
      <c r="AI643" s="194"/>
    </row>
    <row r="644">
      <c r="A644" s="126"/>
      <c r="B644" s="195"/>
      <c r="C644" s="196">
        <v>10.0</v>
      </c>
      <c r="D644" s="354" t="s">
        <v>801</v>
      </c>
      <c r="E644" s="198" t="s">
        <v>186</v>
      </c>
      <c r="F644" s="198" t="s">
        <v>88</v>
      </c>
      <c r="G644" s="198" t="s">
        <v>88</v>
      </c>
      <c r="H644" s="198" t="s">
        <v>218</v>
      </c>
      <c r="I644" s="198" t="s">
        <v>187</v>
      </c>
      <c r="J644" s="198" t="s">
        <v>188</v>
      </c>
      <c r="K644" s="199" t="s">
        <v>735</v>
      </c>
      <c r="L644" s="347">
        <v>1.49010516502E11</v>
      </c>
      <c r="M644" s="257" t="s">
        <v>802</v>
      </c>
      <c r="N644" s="366"/>
      <c r="O644" s="366">
        <v>45292.0</v>
      </c>
      <c r="P644" s="366">
        <v>45657.0</v>
      </c>
      <c r="Q644" s="204">
        <v>1.1910380209E10</v>
      </c>
      <c r="R644" s="204">
        <v>1.1910380209E10</v>
      </c>
      <c r="S644" s="204">
        <v>1.1910380209E10</v>
      </c>
      <c r="T644" s="204">
        <v>1.1910380209E10</v>
      </c>
      <c r="U644" s="204">
        <v>1.1910380209E10</v>
      </c>
      <c r="V644" s="204">
        <v>1.1910380209E10</v>
      </c>
      <c r="W644" s="204">
        <v>1.1910380209E10</v>
      </c>
      <c r="X644" s="204">
        <v>1.1910380209E10</v>
      </c>
      <c r="Y644" s="204">
        <v>1.1910380209E10</v>
      </c>
      <c r="Z644" s="204">
        <v>1.1910380209E10</v>
      </c>
      <c r="AA644" s="204">
        <v>1.1910380209E10</v>
      </c>
      <c r="AB644" s="204">
        <v>1.1910380209E10</v>
      </c>
      <c r="AC644" s="205">
        <v>1.42924562508E11</v>
      </c>
      <c r="AD644" s="178">
        <f>SUM(Q644:AB644)-AC644</f>
        <v>0</v>
      </c>
      <c r="AE644" s="241"/>
      <c r="AF644" s="725">
        <v>1.42924562508E11</v>
      </c>
      <c r="AG644" s="194"/>
      <c r="AH644" s="194"/>
      <c r="AI644" s="194"/>
    </row>
    <row r="645" hidden="1">
      <c r="A645" s="126"/>
      <c r="B645" s="195"/>
      <c r="C645" s="206"/>
      <c r="D645" s="215"/>
      <c r="E645" s="260"/>
      <c r="F645" s="207"/>
      <c r="G645" s="260"/>
      <c r="H645" s="206"/>
      <c r="I645" s="206"/>
      <c r="J645" s="206"/>
      <c r="K645" s="206" t="s">
        <v>735</v>
      </c>
      <c r="L645" s="217">
        <v>3.8299543973E10</v>
      </c>
      <c r="M645" s="209" t="s">
        <v>803</v>
      </c>
      <c r="N645" s="367"/>
      <c r="O645" s="367">
        <v>45658.0</v>
      </c>
      <c r="P645" s="367">
        <v>45747.0</v>
      </c>
      <c r="Q645" s="267">
        <v>1.27665146576667E10</v>
      </c>
      <c r="R645" s="267">
        <v>1.27665146576667E10</v>
      </c>
      <c r="S645" s="267">
        <v>1.27665146576667E10</v>
      </c>
      <c r="T645" s="267"/>
      <c r="U645" s="267"/>
      <c r="V645" s="267"/>
      <c r="W645" s="212"/>
      <c r="X645" s="212"/>
      <c r="Y645" s="212"/>
      <c r="Z645" s="212"/>
      <c r="AA645" s="212"/>
      <c r="AB645" s="212"/>
      <c r="AC645" s="637">
        <f t="shared" ref="AC645:AC652" si="342">SUM(Q645:AB645)</f>
        <v>38299543973</v>
      </c>
      <c r="AD645" s="264"/>
      <c r="AE645" s="241"/>
      <c r="AF645" s="194"/>
      <c r="AG645" s="194"/>
      <c r="AH645" s="194"/>
      <c r="AI645" s="194"/>
    </row>
    <row r="646" hidden="1">
      <c r="A646" s="126"/>
      <c r="B646" s="195"/>
      <c r="C646" s="206"/>
      <c r="D646" s="207"/>
      <c r="E646" s="260"/>
      <c r="F646" s="207"/>
      <c r="G646" s="260"/>
      <c r="H646" s="206"/>
      <c r="I646" s="206"/>
      <c r="J646" s="206"/>
      <c r="K646" s="206" t="s">
        <v>735</v>
      </c>
      <c r="L646" s="217">
        <v>3.8299543973E10</v>
      </c>
      <c r="M646" s="218" t="s">
        <v>804</v>
      </c>
      <c r="N646" s="389"/>
      <c r="O646" s="389">
        <f>P645+1</f>
        <v>45748</v>
      </c>
      <c r="P646" s="367">
        <v>45838.0</v>
      </c>
      <c r="Q646" s="249"/>
      <c r="R646" s="249"/>
      <c r="S646" s="249"/>
      <c r="T646" s="249">
        <v>1.27665146576667E10</v>
      </c>
      <c r="U646" s="249">
        <v>1.27665146576667E10</v>
      </c>
      <c r="V646" s="249">
        <v>1.27665146576667E10</v>
      </c>
      <c r="W646" s="212"/>
      <c r="X646" s="212"/>
      <c r="Y646" s="212"/>
      <c r="Z646" s="212"/>
      <c r="AA646" s="212"/>
      <c r="AB646" s="212"/>
      <c r="AC646" s="637">
        <f t="shared" si="342"/>
        <v>38299543973</v>
      </c>
      <c r="AD646" s="548"/>
      <c r="AE646" s="241"/>
      <c r="AF646" s="194"/>
      <c r="AG646" s="194"/>
      <c r="AH646" s="194"/>
      <c r="AI646" s="194"/>
    </row>
    <row r="647" hidden="1">
      <c r="A647" s="126"/>
      <c r="B647" s="195"/>
      <c r="C647" s="206"/>
      <c r="D647" s="207"/>
      <c r="E647" s="260"/>
      <c r="F647" s="207"/>
      <c r="G647" s="260"/>
      <c r="H647" s="206"/>
      <c r="I647" s="206"/>
      <c r="J647" s="242"/>
      <c r="K647" s="242" t="s">
        <v>735</v>
      </c>
      <c r="L647" s="245">
        <v>2.5142639098E10</v>
      </c>
      <c r="M647" s="265" t="s">
        <v>297</v>
      </c>
      <c r="N647" s="367"/>
      <c r="O647" s="367">
        <v>45839.0</v>
      </c>
      <c r="P647" s="367">
        <v>45900.0</v>
      </c>
      <c r="Q647" s="249"/>
      <c r="R647" s="249"/>
      <c r="S647" s="249"/>
      <c r="T647" s="212"/>
      <c r="U647" s="212"/>
      <c r="V647" s="212"/>
      <c r="W647" s="212"/>
      <c r="X647" s="212"/>
      <c r="Y647" s="212"/>
      <c r="Z647" s="212"/>
      <c r="AA647" s="212"/>
      <c r="AB647" s="212"/>
      <c r="AC647" s="637">
        <f t="shared" si="342"/>
        <v>0</v>
      </c>
      <c r="AD647" s="214"/>
      <c r="AE647" s="241"/>
      <c r="AF647" s="194"/>
      <c r="AG647" s="194"/>
      <c r="AH647" s="194"/>
      <c r="AI647" s="194"/>
    </row>
    <row r="648" hidden="1">
      <c r="A648" s="391"/>
      <c r="B648" s="392"/>
      <c r="C648" s="206"/>
      <c r="D648" s="215" t="s">
        <v>805</v>
      </c>
      <c r="E648" s="260"/>
      <c r="F648" s="207"/>
      <c r="G648" s="260"/>
      <c r="H648" s="206"/>
      <c r="I648" s="206"/>
      <c r="J648" s="206"/>
      <c r="K648" s="206" t="s">
        <v>735</v>
      </c>
      <c r="L648" s="277"/>
      <c r="M648" s="265" t="s">
        <v>214</v>
      </c>
      <c r="N648" s="368"/>
      <c r="O648" s="368">
        <v>45839.0</v>
      </c>
      <c r="P648" s="368">
        <v>45900.0</v>
      </c>
      <c r="Q648" s="249"/>
      <c r="R648" s="249"/>
      <c r="S648" s="249"/>
      <c r="T648" s="249"/>
      <c r="U648" s="249"/>
      <c r="V648" s="504"/>
      <c r="W648" s="212"/>
      <c r="X648" s="212"/>
      <c r="Y648" s="212"/>
      <c r="Z648" s="212"/>
      <c r="AA648" s="212"/>
      <c r="AB648" s="212"/>
      <c r="AC648" s="637">
        <f t="shared" si="342"/>
        <v>0</v>
      </c>
      <c r="AD648" s="545"/>
      <c r="AE648" s="411"/>
      <c r="AF648" s="412"/>
      <c r="AG648" s="412"/>
      <c r="AH648" s="412"/>
      <c r="AI648" s="412"/>
    </row>
    <row r="649" hidden="1">
      <c r="A649" s="391"/>
      <c r="B649" s="392"/>
      <c r="C649" s="206"/>
      <c r="D649" s="207"/>
      <c r="E649" s="260"/>
      <c r="F649" s="207"/>
      <c r="G649" s="260"/>
      <c r="H649" s="206"/>
      <c r="I649" s="206"/>
      <c r="J649" s="206"/>
      <c r="K649" s="206" t="s">
        <v>735</v>
      </c>
      <c r="L649" s="277"/>
      <c r="M649" s="265"/>
      <c r="N649" s="367"/>
      <c r="O649" s="367"/>
      <c r="P649" s="367"/>
      <c r="Q649" s="249"/>
      <c r="R649" s="249"/>
      <c r="S649" s="249"/>
      <c r="T649" s="249"/>
      <c r="U649" s="249"/>
      <c r="V649" s="504"/>
      <c r="W649" s="212"/>
      <c r="X649" s="212"/>
      <c r="Y649" s="212"/>
      <c r="Z649" s="212"/>
      <c r="AA649" s="212"/>
      <c r="AB649" s="212"/>
      <c r="AC649" s="637">
        <f t="shared" si="342"/>
        <v>0</v>
      </c>
      <c r="AD649" s="545"/>
      <c r="AE649" s="411"/>
      <c r="AF649" s="412"/>
      <c r="AG649" s="412"/>
      <c r="AH649" s="412"/>
      <c r="AI649" s="412"/>
    </row>
    <row r="650" hidden="1">
      <c r="A650" s="126"/>
      <c r="B650" s="195"/>
      <c r="C650" s="222"/>
      <c r="D650" s="250" t="s">
        <v>806</v>
      </c>
      <c r="E650" s="233"/>
      <c r="F650" s="224"/>
      <c r="G650" s="233"/>
      <c r="H650" s="222"/>
      <c r="I650" s="222"/>
      <c r="J650" s="222"/>
      <c r="K650" s="222" t="s">
        <v>735</v>
      </c>
      <c r="L650" s="225"/>
      <c r="M650" s="383"/>
      <c r="N650" s="285"/>
      <c r="O650" s="285"/>
      <c r="P650" s="285"/>
      <c r="Q650" s="228">
        <v>1.1184377879E10</v>
      </c>
      <c r="R650" s="228">
        <v>1.0640868015E10</v>
      </c>
      <c r="S650" s="228">
        <v>1.1391961071E10</v>
      </c>
      <c r="T650" s="228">
        <v>1.2902606524E10</v>
      </c>
      <c r="U650" s="228">
        <v>1.2853414135E10</v>
      </c>
      <c r="V650" s="229">
        <v>1.27665146576667E10</v>
      </c>
      <c r="W650" s="230"/>
      <c r="X650" s="230"/>
      <c r="Y650" s="230"/>
      <c r="Z650" s="230"/>
      <c r="AA650" s="230"/>
      <c r="AB650" s="230"/>
      <c r="AC650" s="231">
        <f t="shared" si="342"/>
        <v>71739742282</v>
      </c>
      <c r="AD650" s="214"/>
      <c r="AE650" s="241"/>
      <c r="AF650" s="194"/>
      <c r="AG650" s="194"/>
      <c r="AH650" s="194"/>
      <c r="AI650" s="194"/>
    </row>
    <row r="651" hidden="1">
      <c r="A651" s="126"/>
      <c r="B651" s="195"/>
      <c r="C651" s="196"/>
      <c r="D651" s="286" t="s">
        <v>194</v>
      </c>
      <c r="E651" s="233"/>
      <c r="F651" s="233"/>
      <c r="G651" s="233"/>
      <c r="H651" s="234"/>
      <c r="I651" s="234"/>
      <c r="J651" s="222"/>
      <c r="K651" s="222" t="s">
        <v>735</v>
      </c>
      <c r="L651" s="225"/>
      <c r="M651" s="255"/>
      <c r="N651" s="285"/>
      <c r="O651" s="285"/>
      <c r="P651" s="285"/>
      <c r="Q651" s="228">
        <v>1.1184377879E10</v>
      </c>
      <c r="R651" s="228">
        <v>1.0640868015E10</v>
      </c>
      <c r="S651" s="228">
        <v>1.1391961071E10</v>
      </c>
      <c r="T651" s="228">
        <v>1.2902606524E10</v>
      </c>
      <c r="U651" s="228">
        <v>1.2853414135E10</v>
      </c>
      <c r="V651" s="238"/>
      <c r="W651" s="238"/>
      <c r="X651" s="238"/>
      <c r="Y651" s="238"/>
      <c r="Z651" s="238"/>
      <c r="AA651" s="238"/>
      <c r="AB651" s="238"/>
      <c r="AC651" s="378">
        <f t="shared" si="342"/>
        <v>58973227624</v>
      </c>
      <c r="AD651" s="214"/>
      <c r="AE651" s="241"/>
      <c r="AF651" s="194"/>
      <c r="AG651" s="194"/>
      <c r="AH651" s="194"/>
      <c r="AI651" s="194"/>
    </row>
    <row r="652" hidden="1">
      <c r="A652" s="126"/>
      <c r="B652" s="195"/>
      <c r="C652" s="196"/>
      <c r="D652" s="286" t="s">
        <v>807</v>
      </c>
      <c r="E652" s="233"/>
      <c r="F652" s="233"/>
      <c r="G652" s="233"/>
      <c r="H652" s="234"/>
      <c r="I652" s="234"/>
      <c r="J652" s="222"/>
      <c r="K652" s="222" t="s">
        <v>735</v>
      </c>
      <c r="L652" s="225"/>
      <c r="M652" s="255"/>
      <c r="N652" s="285"/>
      <c r="O652" s="285"/>
      <c r="P652" s="285"/>
      <c r="Q652" s="228">
        <v>1.1184377879E10</v>
      </c>
      <c r="R652" s="228">
        <v>1.0640868015E10</v>
      </c>
      <c r="S652" s="228">
        <v>1.1391961071E10</v>
      </c>
      <c r="T652" s="228">
        <v>1.2902606524E10</v>
      </c>
      <c r="U652" s="228">
        <v>1.2853414135E10</v>
      </c>
      <c r="V652" s="238"/>
      <c r="W652" s="238"/>
      <c r="X652" s="238"/>
      <c r="Y652" s="238"/>
      <c r="Z652" s="238"/>
      <c r="AA652" s="238"/>
      <c r="AB652" s="238"/>
      <c r="AC652" s="378">
        <f t="shared" si="342"/>
        <v>58973227624</v>
      </c>
      <c r="AD652" s="214"/>
      <c r="AE652" s="241"/>
      <c r="AF652" s="194"/>
      <c r="AG652" s="194"/>
      <c r="AH652" s="194"/>
      <c r="AI652" s="194"/>
    </row>
    <row r="653">
      <c r="A653" s="126"/>
      <c r="B653" s="195"/>
      <c r="C653" s="196">
        <v>11.0</v>
      </c>
      <c r="D653" s="197" t="s">
        <v>808</v>
      </c>
      <c r="E653" s="198" t="s">
        <v>186</v>
      </c>
      <c r="F653" s="198" t="s">
        <v>88</v>
      </c>
      <c r="G653" s="198" t="s">
        <v>88</v>
      </c>
      <c r="H653" s="198" t="s">
        <v>218</v>
      </c>
      <c r="I653" s="198" t="s">
        <v>253</v>
      </c>
      <c r="J653" s="198" t="s">
        <v>254</v>
      </c>
      <c r="K653" s="199" t="s">
        <v>735</v>
      </c>
      <c r="L653" s="436">
        <f>20452757413</f>
        <v>20452757413</v>
      </c>
      <c r="M653" s="201" t="s">
        <v>809</v>
      </c>
      <c r="N653" s="541"/>
      <c r="O653" s="541">
        <v>45505.0</v>
      </c>
      <c r="P653" s="541">
        <v>46112.0</v>
      </c>
      <c r="Q653" s="204">
        <v>8.83370513E8</v>
      </c>
      <c r="R653" s="204">
        <v>8.83370513E8</v>
      </c>
      <c r="S653" s="204">
        <v>8.83370513E8</v>
      </c>
      <c r="T653" s="204">
        <v>8.83370513E8</v>
      </c>
      <c r="U653" s="204">
        <v>8.83370513E8</v>
      </c>
      <c r="V653" s="204">
        <v>8.83370513E8</v>
      </c>
      <c r="W653" s="204">
        <v>8.83370513E8</v>
      </c>
      <c r="X653" s="204">
        <v>8.83370513E8</v>
      </c>
      <c r="Y653" s="204">
        <v>8.83370513E8</v>
      </c>
      <c r="Z653" s="204">
        <v>8.83370513E8</v>
      </c>
      <c r="AA653" s="204">
        <v>8.83370513E8</v>
      </c>
      <c r="AB653" s="204">
        <v>8.83370513E8</v>
      </c>
      <c r="AC653" s="205">
        <v>1.0600446156E10</v>
      </c>
      <c r="AD653" s="178">
        <f>SUM(Q653:AB653)-AC653</f>
        <v>0</v>
      </c>
      <c r="AE653" s="241"/>
      <c r="AF653" s="725">
        <v>1.0600446156E10</v>
      </c>
      <c r="AG653" s="194"/>
      <c r="AH653" s="194"/>
      <c r="AI653" s="194"/>
    </row>
    <row r="654" hidden="1">
      <c r="A654" s="126"/>
      <c r="B654" s="195"/>
      <c r="C654" s="206"/>
      <c r="D654" s="215" t="s">
        <v>810</v>
      </c>
      <c r="E654" s="260"/>
      <c r="F654" s="207"/>
      <c r="G654" s="260"/>
      <c r="H654" s="206"/>
      <c r="I654" s="206"/>
      <c r="J654" s="206"/>
      <c r="K654" s="206" t="s">
        <v>735</v>
      </c>
      <c r="L654" s="217"/>
      <c r="M654" s="265"/>
      <c r="N654" s="367"/>
      <c r="O654" s="367"/>
      <c r="P654" s="367">
        <f>P653</f>
        <v>46112</v>
      </c>
      <c r="Q654" s="267">
        <v>8.521982255416666E8</v>
      </c>
      <c r="R654" s="267">
        <v>8.521982255416666E8</v>
      </c>
      <c r="S654" s="267">
        <v>8.521982255416666E8</v>
      </c>
      <c r="T654" s="267">
        <v>8.521982255416666E8</v>
      </c>
      <c r="U654" s="267">
        <v>8.521982255416666E8</v>
      </c>
      <c r="V654" s="267">
        <v>8.521982255416666E8</v>
      </c>
      <c r="W654" s="267">
        <v>8.521982255416666E8</v>
      </c>
      <c r="X654" s="267">
        <v>8.521982255416666E8</v>
      </c>
      <c r="Y654" s="267">
        <v>8.521982255416666E8</v>
      </c>
      <c r="Z654" s="267">
        <v>8.521982255416666E8</v>
      </c>
      <c r="AA654" s="267">
        <v>8.521982255416666E8</v>
      </c>
      <c r="AB654" s="267">
        <v>8.521982255416666E8</v>
      </c>
      <c r="AC654" s="637">
        <f t="shared" ref="AC654:AC657" si="343">SUM(Q654:AB654)</f>
        <v>10226378707</v>
      </c>
      <c r="AD654" s="214"/>
      <c r="AE654" s="192"/>
      <c r="AF654" s="194"/>
      <c r="AG654" s="194"/>
      <c r="AH654" s="194"/>
      <c r="AI654" s="194"/>
    </row>
    <row r="655" hidden="1">
      <c r="A655" s="126"/>
      <c r="B655" s="195"/>
      <c r="C655" s="222"/>
      <c r="D655" s="250" t="s">
        <v>811</v>
      </c>
      <c r="E655" s="233"/>
      <c r="F655" s="224"/>
      <c r="G655" s="233"/>
      <c r="H655" s="222"/>
      <c r="I655" s="222"/>
      <c r="J655" s="222"/>
      <c r="K655" s="222" t="s">
        <v>735</v>
      </c>
      <c r="L655" s="225"/>
      <c r="M655" s="383"/>
      <c r="N655" s="285"/>
      <c r="O655" s="285"/>
      <c r="P655" s="285"/>
      <c r="Q655" s="228">
        <v>9.07602281E8</v>
      </c>
      <c r="R655" s="228">
        <v>9.21093406E8</v>
      </c>
      <c r="S655" s="228">
        <v>9.76760315E8</v>
      </c>
      <c r="T655" s="228">
        <v>1.015237541E9</v>
      </c>
      <c r="U655" s="229">
        <v>1.066456923E9</v>
      </c>
      <c r="V655" s="229">
        <v>1.055541711E9</v>
      </c>
      <c r="W655" s="230"/>
      <c r="X655" s="230"/>
      <c r="Y655" s="230"/>
      <c r="Z655" s="230"/>
      <c r="AA655" s="230"/>
      <c r="AB655" s="230"/>
      <c r="AC655" s="231">
        <f t="shared" si="343"/>
        <v>5942692177</v>
      </c>
      <c r="AD655" s="214"/>
      <c r="AE655" s="241"/>
      <c r="AF655" s="194"/>
      <c r="AG655" s="194"/>
      <c r="AH655" s="194"/>
      <c r="AI655" s="194"/>
    </row>
    <row r="656" hidden="1">
      <c r="A656" s="126"/>
      <c r="B656" s="195"/>
      <c r="C656" s="196"/>
      <c r="D656" s="286" t="s">
        <v>194</v>
      </c>
      <c r="E656" s="233"/>
      <c r="F656" s="233"/>
      <c r="G656" s="233"/>
      <c r="H656" s="234"/>
      <c r="I656" s="234"/>
      <c r="J656" s="222"/>
      <c r="K656" s="222" t="s">
        <v>735</v>
      </c>
      <c r="L656" s="715"/>
      <c r="M656" s="255"/>
      <c r="N656" s="365"/>
      <c r="O656" s="365"/>
      <c r="P656" s="365"/>
      <c r="Q656" s="228">
        <v>9.07602281E8</v>
      </c>
      <c r="R656" s="228">
        <v>9.21093406E8</v>
      </c>
      <c r="S656" s="228">
        <v>9.76760315E8</v>
      </c>
      <c r="T656" s="228">
        <v>1.015237541E9</v>
      </c>
      <c r="U656" s="238"/>
      <c r="V656" s="238"/>
      <c r="W656" s="238"/>
      <c r="X656" s="238"/>
      <c r="Y656" s="238"/>
      <c r="Z656" s="238"/>
      <c r="AA656" s="238"/>
      <c r="AB656" s="238"/>
      <c r="AC656" s="378">
        <f t="shared" si="343"/>
        <v>3820693543</v>
      </c>
      <c r="AD656" s="214"/>
      <c r="AE656" s="241"/>
      <c r="AF656" s="194"/>
      <c r="AG656" s="194"/>
      <c r="AH656" s="194"/>
      <c r="AI656" s="194"/>
    </row>
    <row r="657" hidden="1">
      <c r="A657" s="126"/>
      <c r="B657" s="195"/>
      <c r="C657" s="196"/>
      <c r="D657" s="286" t="s">
        <v>812</v>
      </c>
      <c r="E657" s="233"/>
      <c r="F657" s="233"/>
      <c r="G657" s="233"/>
      <c r="H657" s="234"/>
      <c r="I657" s="234"/>
      <c r="J657" s="222"/>
      <c r="K657" s="222" t="s">
        <v>735</v>
      </c>
      <c r="L657" s="715"/>
      <c r="M657" s="255"/>
      <c r="N657" s="365"/>
      <c r="O657" s="365"/>
      <c r="P657" s="365"/>
      <c r="Q657" s="228">
        <v>9.07602281E8</v>
      </c>
      <c r="R657" s="228">
        <v>9.21093406E8</v>
      </c>
      <c r="S657" s="228">
        <v>9.76760315E8</v>
      </c>
      <c r="T657" s="228">
        <v>1.015237541E9</v>
      </c>
      <c r="U657" s="238"/>
      <c r="V657" s="238"/>
      <c r="W657" s="238"/>
      <c r="X657" s="238"/>
      <c r="Y657" s="238"/>
      <c r="Z657" s="238"/>
      <c r="AA657" s="238"/>
      <c r="AB657" s="238"/>
      <c r="AC657" s="378">
        <f t="shared" si="343"/>
        <v>3820693543</v>
      </c>
      <c r="AD657" s="214"/>
      <c r="AE657" s="241"/>
      <c r="AF657" s="194"/>
      <c r="AG657" s="194"/>
      <c r="AH657" s="194"/>
      <c r="AI657" s="194"/>
    </row>
    <row r="658">
      <c r="A658" s="126"/>
      <c r="B658" s="195"/>
      <c r="C658" s="196">
        <v>12.0</v>
      </c>
      <c r="D658" s="197" t="s">
        <v>813</v>
      </c>
      <c r="E658" s="198" t="s">
        <v>186</v>
      </c>
      <c r="F658" s="198" t="s">
        <v>88</v>
      </c>
      <c r="G658" s="198" t="s">
        <v>88</v>
      </c>
      <c r="H658" s="198" t="s">
        <v>218</v>
      </c>
      <c r="I658" s="198" t="s">
        <v>253</v>
      </c>
      <c r="J658" s="198" t="s">
        <v>254</v>
      </c>
      <c r="K658" s="199" t="s">
        <v>735</v>
      </c>
      <c r="L658" s="736">
        <v>3.468763704E9</v>
      </c>
      <c r="M658" s="257" t="s">
        <v>814</v>
      </c>
      <c r="N658" s="366"/>
      <c r="O658" s="366">
        <v>44927.0</v>
      </c>
      <c r="P658" s="366">
        <v>46022.0</v>
      </c>
      <c r="Q658" s="204">
        <v>1.55584013E8</v>
      </c>
      <c r="R658" s="204">
        <v>1.55584013E8</v>
      </c>
      <c r="S658" s="204">
        <v>1.55584013E8</v>
      </c>
      <c r="T658" s="204">
        <v>1.55584013E8</v>
      </c>
      <c r="U658" s="204">
        <v>1.55584013E8</v>
      </c>
      <c r="V658" s="204">
        <v>1.55584013E8</v>
      </c>
      <c r="W658" s="204">
        <v>1.55584013E8</v>
      </c>
      <c r="X658" s="204">
        <v>1.55584013E8</v>
      </c>
      <c r="Y658" s="204">
        <v>1.55584013E8</v>
      </c>
      <c r="Z658" s="204">
        <v>1.55584013E8</v>
      </c>
      <c r="AA658" s="204">
        <v>1.55584013E8</v>
      </c>
      <c r="AB658" s="204">
        <v>1.55584013E8</v>
      </c>
      <c r="AC658" s="205">
        <v>1.867008156E9</v>
      </c>
      <c r="AD658" s="178">
        <f>SUM(Q658:AB658)-AC658</f>
        <v>0</v>
      </c>
      <c r="AE658" s="241"/>
      <c r="AF658" s="725">
        <v>1.867008156E9</v>
      </c>
      <c r="AG658" s="194"/>
      <c r="AH658" s="194"/>
      <c r="AI658" s="194"/>
    </row>
    <row r="659" hidden="1">
      <c r="A659" s="126"/>
      <c r="B659" s="195"/>
      <c r="C659" s="206"/>
      <c r="D659" s="207"/>
      <c r="E659" s="260"/>
      <c r="F659" s="207"/>
      <c r="G659" s="260"/>
      <c r="H659" s="206"/>
      <c r="I659" s="206"/>
      <c r="J659" s="206"/>
      <c r="K659" s="206" t="s">
        <v>735</v>
      </c>
      <c r="L659" s="217"/>
      <c r="M659" s="209"/>
      <c r="N659" s="367"/>
      <c r="O659" s="367"/>
      <c r="P659" s="367">
        <v>46022.0</v>
      </c>
      <c r="Q659" s="267">
        <v>1.44531821E8</v>
      </c>
      <c r="R659" s="267">
        <v>1.44531821E8</v>
      </c>
      <c r="S659" s="267">
        <v>1.44531821E8</v>
      </c>
      <c r="T659" s="267">
        <v>1.44531821E8</v>
      </c>
      <c r="U659" s="267">
        <v>1.44531821E8</v>
      </c>
      <c r="V659" s="267">
        <v>1.44531821E8</v>
      </c>
      <c r="W659" s="267">
        <v>1.44531821E8</v>
      </c>
      <c r="X659" s="267">
        <v>1.44531821E8</v>
      </c>
      <c r="Y659" s="267">
        <v>1.44531821E8</v>
      </c>
      <c r="Z659" s="267">
        <v>1.44531821E8</v>
      </c>
      <c r="AA659" s="267">
        <v>1.44531821E8</v>
      </c>
      <c r="AB659" s="267">
        <v>1.44531821E8</v>
      </c>
      <c r="AC659" s="637">
        <f t="shared" ref="AC659:AC662" si="345">SUM(Q659:AB659)</f>
        <v>1734381852</v>
      </c>
      <c r="AD659" s="214"/>
      <c r="AE659" s="192"/>
      <c r="AF659" s="194"/>
      <c r="AG659" s="194"/>
      <c r="AH659" s="194"/>
      <c r="AI659" s="194"/>
    </row>
    <row r="660" hidden="1">
      <c r="A660" s="126"/>
      <c r="B660" s="195"/>
      <c r="C660" s="222"/>
      <c r="D660" s="250" t="s">
        <v>815</v>
      </c>
      <c r="E660" s="233"/>
      <c r="F660" s="224"/>
      <c r="G660" s="233"/>
      <c r="H660" s="222"/>
      <c r="I660" s="222"/>
      <c r="J660" s="222"/>
      <c r="K660" s="222" t="s">
        <v>735</v>
      </c>
      <c r="L660" s="225"/>
      <c r="M660" s="383"/>
      <c r="N660" s="285"/>
      <c r="O660" s="285"/>
      <c r="P660" s="285"/>
      <c r="Q660" s="228">
        <v>1.44531821E8</v>
      </c>
      <c r="R660" s="228">
        <v>1.44531821E8</v>
      </c>
      <c r="S660" s="228">
        <v>1.44531821E8</v>
      </c>
      <c r="T660" s="230">
        <f t="shared" ref="T660:V660" si="344">S660</f>
        <v>144531821</v>
      </c>
      <c r="U660" s="230">
        <f t="shared" si="344"/>
        <v>144531821</v>
      </c>
      <c r="V660" s="238">
        <f t="shared" si="344"/>
        <v>144531821</v>
      </c>
      <c r="W660" s="230"/>
      <c r="X660" s="230"/>
      <c r="Y660" s="230"/>
      <c r="Z660" s="230"/>
      <c r="AA660" s="230"/>
      <c r="AB660" s="230"/>
      <c r="AC660" s="231">
        <f t="shared" si="345"/>
        <v>867190926</v>
      </c>
      <c r="AD660" s="214"/>
      <c r="AE660" s="241"/>
      <c r="AF660" s="194"/>
      <c r="AG660" s="194"/>
      <c r="AH660" s="194"/>
      <c r="AI660" s="194"/>
    </row>
    <row r="661" hidden="1">
      <c r="A661" s="126"/>
      <c r="B661" s="195"/>
      <c r="C661" s="196"/>
      <c r="D661" s="286" t="s">
        <v>194</v>
      </c>
      <c r="E661" s="233"/>
      <c r="F661" s="233"/>
      <c r="G661" s="233"/>
      <c r="H661" s="234"/>
      <c r="I661" s="234"/>
      <c r="J661" s="222"/>
      <c r="K661" s="222" t="s">
        <v>735</v>
      </c>
      <c r="L661" s="225"/>
      <c r="M661" s="255"/>
      <c r="N661" s="365"/>
      <c r="O661" s="365"/>
      <c r="P661" s="365"/>
      <c r="Q661" s="228">
        <v>1.44531821E8</v>
      </c>
      <c r="R661" s="228">
        <v>1.44531821E8</v>
      </c>
      <c r="S661" s="228">
        <v>1.44531821E8</v>
      </c>
      <c r="T661" s="230">
        <f t="shared" ref="T661:U661" si="346">S661</f>
        <v>144531821</v>
      </c>
      <c r="U661" s="230">
        <f t="shared" si="346"/>
        <v>144531821</v>
      </c>
      <c r="V661" s="238"/>
      <c r="W661" s="238"/>
      <c r="X661" s="238"/>
      <c r="Y661" s="238"/>
      <c r="Z661" s="238"/>
      <c r="AA661" s="238"/>
      <c r="AB661" s="238"/>
      <c r="AC661" s="378">
        <f t="shared" si="345"/>
        <v>722659105</v>
      </c>
      <c r="AD661" s="214"/>
      <c r="AE661" s="241"/>
      <c r="AF661" s="194"/>
      <c r="AG661" s="194"/>
      <c r="AH661" s="194"/>
      <c r="AI661" s="194"/>
    </row>
    <row r="662" hidden="1">
      <c r="A662" s="126"/>
      <c r="B662" s="195"/>
      <c r="C662" s="196"/>
      <c r="D662" s="286" t="s">
        <v>816</v>
      </c>
      <c r="E662" s="233"/>
      <c r="F662" s="233"/>
      <c r="G662" s="233"/>
      <c r="H662" s="234"/>
      <c r="I662" s="234"/>
      <c r="J662" s="222"/>
      <c r="K662" s="222" t="s">
        <v>735</v>
      </c>
      <c r="L662" s="225"/>
      <c r="M662" s="255"/>
      <c r="N662" s="365"/>
      <c r="O662" s="365"/>
      <c r="P662" s="365"/>
      <c r="Q662" s="228">
        <v>1.44531821E8</v>
      </c>
      <c r="R662" s="228">
        <v>1.44531821E8</v>
      </c>
      <c r="S662" s="228">
        <v>1.44531821E8</v>
      </c>
      <c r="T662" s="230">
        <f t="shared" ref="T662:U662" si="347">S662</f>
        <v>144531821</v>
      </c>
      <c r="U662" s="230">
        <f t="shared" si="347"/>
        <v>144531821</v>
      </c>
      <c r="V662" s="238"/>
      <c r="W662" s="238"/>
      <c r="X662" s="238"/>
      <c r="Y662" s="238"/>
      <c r="Z662" s="238"/>
      <c r="AA662" s="238"/>
      <c r="AB662" s="238"/>
      <c r="AC662" s="378">
        <f t="shared" si="345"/>
        <v>722659105</v>
      </c>
      <c r="AD662" s="214"/>
      <c r="AE662" s="241"/>
      <c r="AF662" s="194"/>
      <c r="AG662" s="194"/>
      <c r="AH662" s="194"/>
      <c r="AI662" s="194"/>
    </row>
    <row r="663">
      <c r="A663" s="126"/>
      <c r="B663" s="195"/>
      <c r="C663" s="196">
        <v>13.0</v>
      </c>
      <c r="D663" s="354" t="s">
        <v>817</v>
      </c>
      <c r="E663" s="198" t="s">
        <v>186</v>
      </c>
      <c r="F663" s="198" t="s">
        <v>135</v>
      </c>
      <c r="G663" s="198" t="s">
        <v>135</v>
      </c>
      <c r="H663" s="198" t="s">
        <v>203</v>
      </c>
      <c r="I663" s="198" t="s">
        <v>187</v>
      </c>
      <c r="J663" s="198" t="s">
        <v>188</v>
      </c>
      <c r="K663" s="199" t="s">
        <v>735</v>
      </c>
      <c r="L663" s="355">
        <f>2601383452/1.11</f>
        <v>2343588695</v>
      </c>
      <c r="M663" s="257" t="s">
        <v>818</v>
      </c>
      <c r="N663" s="366"/>
      <c r="O663" s="366">
        <v>45292.0</v>
      </c>
      <c r="P663" s="366">
        <v>45657.0</v>
      </c>
      <c r="Q663" s="204">
        <v>1.9164938769586965E8</v>
      </c>
      <c r="R663" s="204">
        <v>1.9164938769586965E8</v>
      </c>
      <c r="S663" s="204">
        <v>1.9164938769586965E8</v>
      </c>
      <c r="T663" s="204">
        <v>1.9164938769586965E8</v>
      </c>
      <c r="U663" s="204">
        <v>1.9164938769586965E8</v>
      </c>
      <c r="V663" s="204">
        <v>1.9164938769586965E8</v>
      </c>
      <c r="W663" s="204">
        <v>1.9164938769586965E8</v>
      </c>
      <c r="X663" s="204">
        <v>1.9164938769586965E8</v>
      </c>
      <c r="Y663" s="204">
        <v>1.9164938769586965E8</v>
      </c>
      <c r="Z663" s="204">
        <v>1.9164938769586965E8</v>
      </c>
      <c r="AA663" s="204">
        <v>1.9164938769586965E8</v>
      </c>
      <c r="AB663" s="204">
        <v>1.9164938769586965E8</v>
      </c>
      <c r="AC663" s="205">
        <v>2.2997926523504357E9</v>
      </c>
      <c r="AD663" s="178">
        <f>SUM(Q663:AB663)-AC663</f>
        <v>0</v>
      </c>
      <c r="AE663" s="241"/>
      <c r="AF663" s="725">
        <v>2.299792652E9</v>
      </c>
      <c r="AG663" s="194"/>
      <c r="AH663" s="194"/>
      <c r="AI663" s="194"/>
    </row>
    <row r="664" hidden="1">
      <c r="A664" s="126"/>
      <c r="B664" s="195"/>
      <c r="C664" s="206"/>
      <c r="D664" s="215" t="s">
        <v>819</v>
      </c>
      <c r="E664" s="260"/>
      <c r="F664" s="207"/>
      <c r="G664" s="260"/>
      <c r="H664" s="206"/>
      <c r="I664" s="206"/>
      <c r="J664" s="206"/>
      <c r="K664" s="206" t="s">
        <v>735</v>
      </c>
      <c r="L664" s="217">
        <v>7.05365433E8</v>
      </c>
      <c r="M664" s="246" t="s">
        <v>820</v>
      </c>
      <c r="N664" s="367"/>
      <c r="O664" s="367">
        <v>45658.0</v>
      </c>
      <c r="P664" s="367">
        <v>45747.0</v>
      </c>
      <c r="Q664" s="267">
        <v>2.35121811E8</v>
      </c>
      <c r="R664" s="267">
        <v>2.35121811E8</v>
      </c>
      <c r="S664" s="267">
        <v>2.35121811E8</v>
      </c>
      <c r="T664" s="212"/>
      <c r="U664" s="212"/>
      <c r="V664" s="212"/>
      <c r="W664" s="212"/>
      <c r="X664" s="212"/>
      <c r="Y664" s="212"/>
      <c r="Z664" s="212"/>
      <c r="AA664" s="212"/>
      <c r="AB664" s="212"/>
      <c r="AC664" s="637">
        <f t="shared" ref="AC664:AC669" si="348">SUM(Q664:AB664)</f>
        <v>705365433</v>
      </c>
      <c r="AD664" s="214"/>
      <c r="AE664" s="192"/>
      <c r="AF664" s="194"/>
      <c r="AG664" s="194"/>
      <c r="AH664" s="194"/>
      <c r="AI664" s="194"/>
    </row>
    <row r="665" hidden="1">
      <c r="A665" s="126"/>
      <c r="B665" s="195"/>
      <c r="C665" s="206"/>
      <c r="D665" s="215" t="s">
        <v>821</v>
      </c>
      <c r="E665" s="260"/>
      <c r="F665" s="207"/>
      <c r="G665" s="260"/>
      <c r="H665" s="206"/>
      <c r="I665" s="206"/>
      <c r="J665" s="206"/>
      <c r="K665" s="206" t="s">
        <v>735</v>
      </c>
      <c r="L665" s="277"/>
      <c r="M665" s="265" t="s">
        <v>264</v>
      </c>
      <c r="N665" s="283"/>
      <c r="O665" s="283">
        <f t="shared" ref="O665:O666" si="349">P664+1</f>
        <v>45748</v>
      </c>
      <c r="P665" s="368">
        <v>45900.0</v>
      </c>
      <c r="Q665" s="212"/>
      <c r="R665" s="212"/>
      <c r="S665" s="212"/>
      <c r="T665" s="212"/>
      <c r="U665" s="212"/>
      <c r="V665" s="212"/>
      <c r="W665" s="212"/>
      <c r="X665" s="212"/>
      <c r="Y665" s="212"/>
      <c r="Z665" s="212"/>
      <c r="AA665" s="212"/>
      <c r="AB665" s="212"/>
      <c r="AC665" s="637">
        <f t="shared" si="348"/>
        <v>0</v>
      </c>
      <c r="AD665" s="214"/>
      <c r="AE665" s="241"/>
      <c r="AF665" s="194"/>
      <c r="AG665" s="194"/>
      <c r="AH665" s="194"/>
      <c r="AI665" s="194"/>
    </row>
    <row r="666" hidden="1">
      <c r="A666" s="391"/>
      <c r="B666" s="392"/>
      <c r="C666" s="206"/>
      <c r="D666" s="215"/>
      <c r="E666" s="260"/>
      <c r="F666" s="207"/>
      <c r="G666" s="260"/>
      <c r="H666" s="206"/>
      <c r="I666" s="206"/>
      <c r="J666" s="242"/>
      <c r="K666" s="242" t="s">
        <v>735</v>
      </c>
      <c r="L666" s="277"/>
      <c r="M666" s="265"/>
      <c r="N666" s="283"/>
      <c r="O666" s="283">
        <f t="shared" si="349"/>
        <v>45901</v>
      </c>
      <c r="P666" s="283"/>
      <c r="Q666" s="269"/>
      <c r="R666" s="504"/>
      <c r="S666" s="504"/>
      <c r="T666" s="212"/>
      <c r="U666" s="212"/>
      <c r="V666" s="212"/>
      <c r="W666" s="212"/>
      <c r="X666" s="212"/>
      <c r="Y666" s="212"/>
      <c r="Z666" s="212"/>
      <c r="AA666" s="212"/>
      <c r="AB666" s="212"/>
      <c r="AC666" s="213">
        <f t="shared" si="348"/>
        <v>0</v>
      </c>
      <c r="AD666" s="737"/>
      <c r="AE666" s="411"/>
      <c r="AF666" s="412"/>
      <c r="AG666" s="412"/>
      <c r="AH666" s="412"/>
      <c r="AI666" s="412"/>
    </row>
    <row r="667" hidden="1">
      <c r="A667" s="126"/>
      <c r="B667" s="195"/>
      <c r="C667" s="222"/>
      <c r="D667" s="250" t="s">
        <v>822</v>
      </c>
      <c r="E667" s="233"/>
      <c r="F667" s="224"/>
      <c r="G667" s="233"/>
      <c r="H667" s="222"/>
      <c r="I667" s="222"/>
      <c r="J667" s="222"/>
      <c r="K667" s="222" t="s">
        <v>735</v>
      </c>
      <c r="L667" s="225"/>
      <c r="M667" s="383"/>
      <c r="N667" s="285"/>
      <c r="O667" s="285"/>
      <c r="P667" s="285"/>
      <c r="Q667" s="238">
        <f>142282135</f>
        <v>142282135</v>
      </c>
      <c r="R667" s="229">
        <v>1.39874434E8</v>
      </c>
      <c r="S667" s="229">
        <v>2.88955608E8</v>
      </c>
      <c r="T667" s="230"/>
      <c r="U667" s="230"/>
      <c r="V667" s="230"/>
      <c r="W667" s="230"/>
      <c r="X667" s="230"/>
      <c r="Y667" s="230"/>
      <c r="Z667" s="230"/>
      <c r="AA667" s="230"/>
      <c r="AB667" s="230"/>
      <c r="AC667" s="231">
        <f t="shared" si="348"/>
        <v>571112177</v>
      </c>
      <c r="AD667" s="264"/>
      <c r="AE667" s="241"/>
      <c r="AF667" s="194"/>
      <c r="AG667" s="194"/>
      <c r="AH667" s="194"/>
      <c r="AI667" s="194"/>
    </row>
    <row r="668" hidden="1">
      <c r="A668" s="126"/>
      <c r="B668" s="195"/>
      <c r="C668" s="196"/>
      <c r="D668" s="286" t="s">
        <v>194</v>
      </c>
      <c r="E668" s="233"/>
      <c r="F668" s="233"/>
      <c r="G668" s="233"/>
      <c r="H668" s="234"/>
      <c r="I668" s="234"/>
      <c r="J668" s="222"/>
      <c r="K668" s="222" t="s">
        <v>735</v>
      </c>
      <c r="L668" s="346"/>
      <c r="M668" s="255"/>
      <c r="N668" s="365"/>
      <c r="O668" s="365"/>
      <c r="P668" s="365"/>
      <c r="Q668" s="238"/>
      <c r="R668" s="238"/>
      <c r="S668" s="238"/>
      <c r="T668" s="238"/>
      <c r="U668" s="238"/>
      <c r="V668" s="238"/>
      <c r="W668" s="238"/>
      <c r="X668" s="238"/>
      <c r="Y668" s="238"/>
      <c r="Z668" s="238"/>
      <c r="AA668" s="238"/>
      <c r="AB668" s="238"/>
      <c r="AC668" s="378">
        <f t="shared" si="348"/>
        <v>0</v>
      </c>
      <c r="AD668" s="214"/>
      <c r="AE668" s="192"/>
      <c r="AF668" s="194"/>
      <c r="AG668" s="194"/>
      <c r="AH668" s="194"/>
      <c r="AI668" s="194"/>
    </row>
    <row r="669" hidden="1">
      <c r="A669" s="126"/>
      <c r="B669" s="195"/>
      <c r="C669" s="196"/>
      <c r="D669" s="286" t="s">
        <v>823</v>
      </c>
      <c r="E669" s="233"/>
      <c r="F669" s="233"/>
      <c r="G669" s="233"/>
      <c r="H669" s="234"/>
      <c r="I669" s="234"/>
      <c r="J669" s="222"/>
      <c r="K669" s="222" t="s">
        <v>735</v>
      </c>
      <c r="L669" s="346"/>
      <c r="M669" s="255"/>
      <c r="N669" s="365"/>
      <c r="O669" s="365"/>
      <c r="P669" s="365"/>
      <c r="Q669" s="238"/>
      <c r="R669" s="238"/>
      <c r="S669" s="238"/>
      <c r="T669" s="238"/>
      <c r="U669" s="238"/>
      <c r="V669" s="238"/>
      <c r="W669" s="238"/>
      <c r="X669" s="238"/>
      <c r="Y669" s="238"/>
      <c r="Z669" s="238"/>
      <c r="AA669" s="238"/>
      <c r="AB669" s="238"/>
      <c r="AC669" s="378">
        <f t="shared" si="348"/>
        <v>0</v>
      </c>
      <c r="AD669" s="214"/>
      <c r="AE669" s="192"/>
      <c r="AF669" s="194"/>
      <c r="AG669" s="194"/>
      <c r="AH669" s="194"/>
      <c r="AI669" s="194"/>
    </row>
    <row r="670">
      <c r="A670" s="126"/>
      <c r="B670" s="195"/>
      <c r="C670" s="196">
        <v>14.0</v>
      </c>
      <c r="D670" s="354" t="s">
        <v>824</v>
      </c>
      <c r="E670" s="198" t="s">
        <v>186</v>
      </c>
      <c r="F670" s="198" t="s">
        <v>135</v>
      </c>
      <c r="G670" s="198" t="s">
        <v>135</v>
      </c>
      <c r="H670" s="198" t="s">
        <v>203</v>
      </c>
      <c r="I670" s="198" t="s">
        <v>187</v>
      </c>
      <c r="J670" s="198" t="s">
        <v>188</v>
      </c>
      <c r="K670" s="199" t="s">
        <v>735</v>
      </c>
      <c r="L670" s="347">
        <v>1.033528633E9</v>
      </c>
      <c r="M670" s="257" t="s">
        <v>825</v>
      </c>
      <c r="N670" s="366"/>
      <c r="O670" s="366">
        <v>45413.0</v>
      </c>
      <c r="P670" s="366">
        <v>45596.0</v>
      </c>
      <c r="Q670" s="204">
        <v>1.8400259311036956E8</v>
      </c>
      <c r="R670" s="204">
        <v>1.8400259311036956E8</v>
      </c>
      <c r="S670" s="204">
        <v>1.8400259311036956E8</v>
      </c>
      <c r="T670" s="204">
        <v>1.8400259311036956E8</v>
      </c>
      <c r="U670" s="204">
        <v>1.8400259311036956E8</v>
      </c>
      <c r="V670" s="204">
        <v>1.8400259311036956E8</v>
      </c>
      <c r="W670" s="204">
        <v>1.8400259311036956E8</v>
      </c>
      <c r="X670" s="204">
        <v>1.8400259311036956E8</v>
      </c>
      <c r="Y670" s="204">
        <v>1.8400259311036956E8</v>
      </c>
      <c r="Z670" s="204">
        <v>1.8400259311036956E8</v>
      </c>
      <c r="AA670" s="204">
        <v>1.8400259311036956E8</v>
      </c>
      <c r="AB670" s="204">
        <v>1.8400259311036956E8</v>
      </c>
      <c r="AC670" s="205">
        <v>2.208031117324435E9</v>
      </c>
      <c r="AD670" s="178">
        <f>SUM(Q670:AB670)-AC670</f>
        <v>0</v>
      </c>
      <c r="AE670" s="192"/>
      <c r="AF670" s="725">
        <v>2.208031117E9</v>
      </c>
      <c r="AG670" s="194"/>
      <c r="AH670" s="194"/>
      <c r="AI670" s="194"/>
    </row>
    <row r="671" hidden="1">
      <c r="A671" s="126"/>
      <c r="B671" s="195"/>
      <c r="C671" s="206"/>
      <c r="D671" s="207"/>
      <c r="E671" s="260"/>
      <c r="F671" s="207"/>
      <c r="G671" s="260"/>
      <c r="H671" s="206"/>
      <c r="I671" s="206"/>
      <c r="J671" s="206"/>
      <c r="K671" s="206" t="s">
        <v>735</v>
      </c>
      <c r="L671" s="217">
        <v>8.6127386E8</v>
      </c>
      <c r="M671" s="265" t="s">
        <v>826</v>
      </c>
      <c r="N671" s="367"/>
      <c r="O671" s="367">
        <v>45597.0</v>
      </c>
      <c r="P671" s="367">
        <v>45747.0</v>
      </c>
      <c r="Q671" s="267">
        <v>1.72254772E8</v>
      </c>
      <c r="R671" s="267">
        <v>1.72254772E8</v>
      </c>
      <c r="S671" s="267">
        <v>1.72254772E8</v>
      </c>
      <c r="T671" s="212"/>
      <c r="U671" s="212"/>
      <c r="V671" s="212"/>
      <c r="W671" s="212"/>
      <c r="X671" s="212"/>
      <c r="Y671" s="212"/>
      <c r="Z671" s="212"/>
      <c r="AA671" s="212"/>
      <c r="AB671" s="212"/>
      <c r="AC671" s="637">
        <f t="shared" ref="AC671:AC676" si="350">SUM(Q671:AB671)</f>
        <v>516764316</v>
      </c>
      <c r="AD671" s="214"/>
      <c r="AE671" s="241"/>
      <c r="AF671" s="194"/>
      <c r="AG671" s="194"/>
      <c r="AH671" s="194"/>
      <c r="AI671" s="194"/>
    </row>
    <row r="672" hidden="1">
      <c r="A672" s="126"/>
      <c r="B672" s="195"/>
      <c r="C672" s="206"/>
      <c r="D672" s="215" t="s">
        <v>827</v>
      </c>
      <c r="E672" s="260"/>
      <c r="F672" s="207"/>
      <c r="G672" s="260"/>
      <c r="H672" s="206"/>
      <c r="I672" s="206"/>
      <c r="J672" s="206"/>
      <c r="K672" s="206" t="s">
        <v>735</v>
      </c>
      <c r="L672" s="277"/>
      <c r="M672" s="265" t="s">
        <v>264</v>
      </c>
      <c r="N672" s="389"/>
      <c r="O672" s="389">
        <f t="shared" ref="O672:O673" si="351">P671+1</f>
        <v>45748</v>
      </c>
      <c r="P672" s="367">
        <v>45838.0</v>
      </c>
      <c r="Q672" s="212"/>
      <c r="R672" s="212"/>
      <c r="S672" s="212"/>
      <c r="T672" s="212"/>
      <c r="U672" s="212"/>
      <c r="V672" s="212"/>
      <c r="W672" s="212"/>
      <c r="X672" s="212"/>
      <c r="Y672" s="212"/>
      <c r="Z672" s="212"/>
      <c r="AA672" s="212"/>
      <c r="AB672" s="212"/>
      <c r="AC672" s="637">
        <f t="shared" si="350"/>
        <v>0</v>
      </c>
      <c r="AD672" s="214"/>
      <c r="AE672" s="241"/>
      <c r="AF672" s="194"/>
      <c r="AG672" s="194"/>
      <c r="AH672" s="194"/>
      <c r="AI672" s="194"/>
    </row>
    <row r="673" hidden="1">
      <c r="A673" s="391"/>
      <c r="B673" s="392"/>
      <c r="C673" s="206"/>
      <c r="D673" s="207"/>
      <c r="E673" s="260"/>
      <c r="F673" s="207"/>
      <c r="G673" s="260"/>
      <c r="H673" s="206"/>
      <c r="I673" s="206"/>
      <c r="J673" s="242"/>
      <c r="K673" s="242" t="s">
        <v>735</v>
      </c>
      <c r="L673" s="277"/>
      <c r="M673" s="265"/>
      <c r="N673" s="389"/>
      <c r="O673" s="389">
        <f t="shared" si="351"/>
        <v>45839</v>
      </c>
      <c r="P673" s="389"/>
      <c r="Q673" s="269"/>
      <c r="R673" s="269"/>
      <c r="S673" s="269"/>
      <c r="T673" s="212"/>
      <c r="U673" s="212"/>
      <c r="V673" s="212"/>
      <c r="W673" s="212"/>
      <c r="X673" s="212"/>
      <c r="Y673" s="212"/>
      <c r="Z673" s="212"/>
      <c r="AA673" s="212"/>
      <c r="AB673" s="212"/>
      <c r="AC673" s="637">
        <f t="shared" si="350"/>
        <v>0</v>
      </c>
      <c r="AD673" s="545"/>
      <c r="AE673" s="726"/>
      <c r="AF673" s="412"/>
      <c r="AG673" s="412"/>
      <c r="AH673" s="412"/>
      <c r="AI673" s="412"/>
    </row>
    <row r="674" hidden="1">
      <c r="A674" s="126"/>
      <c r="B674" s="195"/>
      <c r="C674" s="222"/>
      <c r="D674" s="250" t="s">
        <v>828</v>
      </c>
      <c r="E674" s="233"/>
      <c r="F674" s="224"/>
      <c r="G674" s="233"/>
      <c r="H674" s="222"/>
      <c r="I674" s="222"/>
      <c r="J674" s="222"/>
      <c r="K674" s="222" t="s">
        <v>735</v>
      </c>
      <c r="L674" s="225"/>
      <c r="M674" s="383"/>
      <c r="N674" s="285"/>
      <c r="O674" s="285"/>
      <c r="P674" s="285"/>
      <c r="Q674" s="275">
        <f t="shared" ref="Q674:Q675" si="352">168259791</f>
        <v>168259791</v>
      </c>
      <c r="R674" s="275">
        <f t="shared" ref="R674:R675" si="353">168453375</f>
        <v>168453375</v>
      </c>
      <c r="S674" s="275">
        <f t="shared" ref="S674:S675" si="354">226511970</f>
        <v>226511970</v>
      </c>
      <c r="T674" s="230"/>
      <c r="U674" s="230"/>
      <c r="V674" s="230"/>
      <c r="W674" s="230"/>
      <c r="X674" s="230"/>
      <c r="Y674" s="230"/>
      <c r="Z674" s="230"/>
      <c r="AA674" s="230"/>
      <c r="AB674" s="230"/>
      <c r="AC674" s="231">
        <f t="shared" si="350"/>
        <v>563225136</v>
      </c>
      <c r="AD674" s="214"/>
      <c r="AE674" s="192"/>
      <c r="AF674" s="194"/>
      <c r="AG674" s="194"/>
      <c r="AH674" s="194"/>
      <c r="AI674" s="194"/>
    </row>
    <row r="675" hidden="1">
      <c r="A675" s="126"/>
      <c r="B675" s="195"/>
      <c r="C675" s="196"/>
      <c r="D675" s="286" t="s">
        <v>194</v>
      </c>
      <c r="E675" s="233"/>
      <c r="F675" s="233"/>
      <c r="G675" s="233"/>
      <c r="H675" s="234"/>
      <c r="I675" s="234"/>
      <c r="J675" s="222"/>
      <c r="K675" s="222" t="s">
        <v>735</v>
      </c>
      <c r="L675" s="225"/>
      <c r="M675" s="255"/>
      <c r="N675" s="365"/>
      <c r="O675" s="365"/>
      <c r="P675" s="365"/>
      <c r="Q675" s="238">
        <f t="shared" si="352"/>
        <v>168259791</v>
      </c>
      <c r="R675" s="238">
        <f t="shared" si="353"/>
        <v>168453375</v>
      </c>
      <c r="S675" s="238">
        <f t="shared" si="354"/>
        <v>226511970</v>
      </c>
      <c r="T675" s="238"/>
      <c r="U675" s="238"/>
      <c r="V675" s="238"/>
      <c r="W675" s="238"/>
      <c r="X675" s="238"/>
      <c r="Y675" s="238"/>
      <c r="Z675" s="238"/>
      <c r="AA675" s="238"/>
      <c r="AB675" s="238"/>
      <c r="AC675" s="378">
        <f t="shared" si="350"/>
        <v>563225136</v>
      </c>
      <c r="AD675" s="214"/>
      <c r="AE675" s="192"/>
      <c r="AF675" s="194"/>
      <c r="AG675" s="194"/>
      <c r="AH675" s="194"/>
      <c r="AI675" s="194"/>
    </row>
    <row r="676" hidden="1">
      <c r="A676" s="126"/>
      <c r="B676" s="195"/>
      <c r="C676" s="196"/>
      <c r="D676" s="286" t="s">
        <v>829</v>
      </c>
      <c r="E676" s="233"/>
      <c r="F676" s="233"/>
      <c r="G676" s="233"/>
      <c r="H676" s="234"/>
      <c r="I676" s="234"/>
      <c r="J676" s="222"/>
      <c r="K676" s="222" t="s">
        <v>735</v>
      </c>
      <c r="L676" s="225"/>
      <c r="M676" s="255"/>
      <c r="N676" s="365"/>
      <c r="O676" s="365"/>
      <c r="P676" s="365"/>
      <c r="Q676" s="238"/>
      <c r="R676" s="238"/>
      <c r="S676" s="238"/>
      <c r="T676" s="238"/>
      <c r="U676" s="238"/>
      <c r="V676" s="238"/>
      <c r="W676" s="238"/>
      <c r="X676" s="238"/>
      <c r="Y676" s="238"/>
      <c r="Z676" s="238"/>
      <c r="AA676" s="238"/>
      <c r="AB676" s="238"/>
      <c r="AC676" s="378">
        <f t="shared" si="350"/>
        <v>0</v>
      </c>
      <c r="AD676" s="214"/>
      <c r="AE676" s="192"/>
      <c r="AF676" s="194"/>
      <c r="AG676" s="194"/>
      <c r="AH676" s="194"/>
      <c r="AI676" s="194"/>
    </row>
    <row r="677">
      <c r="A677" s="126"/>
      <c r="B677" s="195"/>
      <c r="C677" s="196">
        <v>15.0</v>
      </c>
      <c r="D677" s="354" t="s">
        <v>830</v>
      </c>
      <c r="E677" s="198" t="s">
        <v>186</v>
      </c>
      <c r="F677" s="198" t="s">
        <v>135</v>
      </c>
      <c r="G677" s="198" t="s">
        <v>135</v>
      </c>
      <c r="H677" s="198" t="s">
        <v>203</v>
      </c>
      <c r="I677" s="198" t="s">
        <v>187</v>
      </c>
      <c r="J677" s="198" t="s">
        <v>188</v>
      </c>
      <c r="K677" s="199" t="s">
        <v>735</v>
      </c>
      <c r="L677" s="355">
        <f>3681069000/1.11</f>
        <v>3316278378</v>
      </c>
      <c r="M677" s="257" t="s">
        <v>831</v>
      </c>
      <c r="N677" s="366"/>
      <c r="O677" s="366">
        <v>45261.0</v>
      </c>
      <c r="P677" s="366">
        <v>45626.0</v>
      </c>
      <c r="Q677" s="204">
        <v>3.0200173213214403E8</v>
      </c>
      <c r="R677" s="204">
        <v>3.0200173213214403E8</v>
      </c>
      <c r="S677" s="204">
        <v>3.0200173213214403E8</v>
      </c>
      <c r="T677" s="204">
        <v>3.0200173213214403E8</v>
      </c>
      <c r="U677" s="204">
        <v>3.0200173213214403E8</v>
      </c>
      <c r="V677" s="204">
        <v>3.0200173213214403E8</v>
      </c>
      <c r="W677" s="204">
        <v>3.0200173213214403E8</v>
      </c>
      <c r="X677" s="204">
        <v>3.0200173213214403E8</v>
      </c>
      <c r="Y677" s="204">
        <v>3.0200173213214403E8</v>
      </c>
      <c r="Z677" s="204">
        <v>3.0200173213214403E8</v>
      </c>
      <c r="AA677" s="204">
        <v>3.0200173213214403E8</v>
      </c>
      <c r="AB677" s="204">
        <v>3.0200173213214403E8</v>
      </c>
      <c r="AC677" s="205">
        <v>3.624020785585728E9</v>
      </c>
      <c r="AD677" s="178">
        <f>SUM(Q677:AB677)-AC677</f>
        <v>0</v>
      </c>
      <c r="AE677" s="241"/>
      <c r="AF677" s="725">
        <v>3.624020786E9</v>
      </c>
      <c r="AG677" s="194"/>
      <c r="AH677" s="194"/>
      <c r="AI677" s="194"/>
    </row>
    <row r="678" hidden="1">
      <c r="A678" s="126"/>
      <c r="B678" s="195"/>
      <c r="C678" s="206"/>
      <c r="D678" s="207"/>
      <c r="E678" s="260"/>
      <c r="F678" s="207"/>
      <c r="G678" s="260"/>
      <c r="H678" s="206"/>
      <c r="I678" s="206"/>
      <c r="J678" s="206"/>
      <c r="K678" s="206" t="s">
        <v>735</v>
      </c>
      <c r="L678" s="217">
        <v>8.29069594594594E8</v>
      </c>
      <c r="M678" s="209" t="s">
        <v>832</v>
      </c>
      <c r="N678" s="367"/>
      <c r="O678" s="367">
        <v>45627.0</v>
      </c>
      <c r="P678" s="367">
        <v>45716.0</v>
      </c>
      <c r="Q678" s="267">
        <v>2.76356531531532E8</v>
      </c>
      <c r="R678" s="267">
        <v>2.76356531531532E8</v>
      </c>
      <c r="S678" s="212"/>
      <c r="T678" s="212"/>
      <c r="U678" s="212"/>
      <c r="V678" s="212"/>
      <c r="W678" s="212"/>
      <c r="X678" s="212"/>
      <c r="Y678" s="212"/>
      <c r="Z678" s="212"/>
      <c r="AA678" s="212"/>
      <c r="AB678" s="212"/>
      <c r="AC678" s="637">
        <f t="shared" ref="AC678:AC683" si="355">SUM(Q678:AB678)</f>
        <v>552713063.1</v>
      </c>
      <c r="AD678" s="214"/>
      <c r="AE678" s="241"/>
      <c r="AF678" s="194"/>
      <c r="AG678" s="194"/>
      <c r="AH678" s="194"/>
      <c r="AI678" s="194"/>
    </row>
    <row r="679" hidden="1">
      <c r="A679" s="126"/>
      <c r="B679" s="195"/>
      <c r="C679" s="206"/>
      <c r="D679" s="207"/>
      <c r="E679" s="260"/>
      <c r="F679" s="207"/>
      <c r="G679" s="260"/>
      <c r="H679" s="206"/>
      <c r="I679" s="206"/>
      <c r="J679" s="206"/>
      <c r="K679" s="206" t="s">
        <v>735</v>
      </c>
      <c r="L679" s="245">
        <v>2.080310896E9</v>
      </c>
      <c r="M679" s="209" t="s">
        <v>833</v>
      </c>
      <c r="N679" s="367"/>
      <c r="O679" s="367">
        <v>45717.0</v>
      </c>
      <c r="P679" s="367">
        <v>45900.0</v>
      </c>
      <c r="Q679" s="269"/>
      <c r="R679" s="269"/>
      <c r="S679" s="268">
        <v>3.1235899339339334E8</v>
      </c>
      <c r="T679" s="268">
        <v>3.1235899339339334E8</v>
      </c>
      <c r="U679" s="268">
        <v>3.1235899339339334E8</v>
      </c>
      <c r="V679" s="268">
        <v>3.1235899339339334E8</v>
      </c>
      <c r="W679" s="268">
        <v>3.1235899339339334E8</v>
      </c>
      <c r="X679" s="268">
        <v>3.1235899339339334E8</v>
      </c>
      <c r="Y679" s="212"/>
      <c r="Z679" s="212"/>
      <c r="AA679" s="212"/>
      <c r="AB679" s="212"/>
      <c r="AC679" s="637">
        <f t="shared" si="355"/>
        <v>1874153960</v>
      </c>
      <c r="AD679" s="214"/>
      <c r="AE679" s="192"/>
      <c r="AF679" s="194"/>
      <c r="AG679" s="194"/>
      <c r="AH679" s="194"/>
      <c r="AI679" s="194"/>
    </row>
    <row r="680" hidden="1">
      <c r="A680" s="126"/>
      <c r="B680" s="195"/>
      <c r="C680" s="242"/>
      <c r="D680" s="215" t="s">
        <v>834</v>
      </c>
      <c r="E680" s="260"/>
      <c r="F680" s="207"/>
      <c r="G680" s="260"/>
      <c r="H680" s="206"/>
      <c r="I680" s="206"/>
      <c r="J680" s="206"/>
      <c r="K680" s="206" t="s">
        <v>735</v>
      </c>
      <c r="L680" s="245"/>
      <c r="M680" s="209"/>
      <c r="N680" s="738"/>
      <c r="O680" s="738">
        <f>P679+1</f>
        <v>45901</v>
      </c>
      <c r="P680" s="738"/>
      <c r="Q680" s="212"/>
      <c r="R680" s="212"/>
      <c r="S680" s="212"/>
      <c r="T680" s="269"/>
      <c r="U680" s="269"/>
      <c r="V680" s="269"/>
      <c r="W680" s="269"/>
      <c r="X680" s="269"/>
      <c r="Y680" s="269"/>
      <c r="Z680" s="269"/>
      <c r="AA680" s="269"/>
      <c r="AB680" s="269"/>
      <c r="AC680" s="637">
        <f t="shared" si="355"/>
        <v>0</v>
      </c>
      <c r="AD680" s="214"/>
      <c r="AE680" s="192"/>
      <c r="AF680" s="194"/>
      <c r="AG680" s="194"/>
      <c r="AH680" s="194"/>
      <c r="AI680" s="194"/>
    </row>
    <row r="681" hidden="1">
      <c r="A681" s="126"/>
      <c r="B681" s="195"/>
      <c r="C681" s="196"/>
      <c r="D681" s="250" t="s">
        <v>835</v>
      </c>
      <c r="E681" s="233"/>
      <c r="F681" s="224"/>
      <c r="G681" s="233"/>
      <c r="H681" s="222"/>
      <c r="I681" s="222"/>
      <c r="J681" s="222"/>
      <c r="K681" s="222" t="s">
        <v>735</v>
      </c>
      <c r="L681" s="346"/>
      <c r="M681" s="255"/>
      <c r="N681" s="739"/>
      <c r="O681" s="739"/>
      <c r="P681" s="739"/>
      <c r="Q681" s="230">
        <v>2.7635653153153133E8</v>
      </c>
      <c r="R681" s="230">
        <v>2.7635653153153133E8</v>
      </c>
      <c r="S681" s="230">
        <f t="shared" ref="S681:T681" si="356">346718483</f>
        <v>346718483</v>
      </c>
      <c r="T681" s="275">
        <f t="shared" si="356"/>
        <v>346718483</v>
      </c>
      <c r="U681" s="270">
        <v>3.46718483E8</v>
      </c>
      <c r="V681" s="229">
        <v>3.46718483E8</v>
      </c>
      <c r="W681" s="238"/>
      <c r="X681" s="238"/>
      <c r="Y681" s="238"/>
      <c r="Z681" s="238"/>
      <c r="AA681" s="238"/>
      <c r="AB681" s="238"/>
      <c r="AC681" s="231">
        <f t="shared" si="355"/>
        <v>1939586995</v>
      </c>
      <c r="AD681" s="214"/>
      <c r="AE681" s="241"/>
      <c r="AF681" s="194"/>
      <c r="AG681" s="194"/>
      <c r="AH681" s="194"/>
      <c r="AI681" s="194"/>
    </row>
    <row r="682" hidden="1">
      <c r="A682" s="126"/>
      <c r="B682" s="195"/>
      <c r="C682" s="196"/>
      <c r="D682" s="286" t="s">
        <v>194</v>
      </c>
      <c r="E682" s="233"/>
      <c r="F682" s="233"/>
      <c r="G682" s="233"/>
      <c r="H682" s="234"/>
      <c r="I682" s="234"/>
      <c r="J682" s="222"/>
      <c r="K682" s="222" t="s">
        <v>735</v>
      </c>
      <c r="L682" s="346"/>
      <c r="M682" s="255"/>
      <c r="N682" s="739"/>
      <c r="O682" s="739"/>
      <c r="P682" s="739"/>
      <c r="Q682" s="230">
        <v>2.7635653153153133E8</v>
      </c>
      <c r="R682" s="230">
        <v>2.7635653153153133E8</v>
      </c>
      <c r="S682" s="230">
        <f t="shared" ref="S682:T682" si="357">346718483</f>
        <v>346718483</v>
      </c>
      <c r="T682" s="275">
        <f t="shared" si="357"/>
        <v>346718483</v>
      </c>
      <c r="U682" s="270">
        <v>3.46718483E8</v>
      </c>
      <c r="V682" s="238"/>
      <c r="W682" s="238"/>
      <c r="X682" s="238"/>
      <c r="Y682" s="238"/>
      <c r="Z682" s="238"/>
      <c r="AA682" s="238"/>
      <c r="AB682" s="238"/>
      <c r="AC682" s="378">
        <f t="shared" si="355"/>
        <v>1592868512</v>
      </c>
      <c r="AD682" s="214"/>
      <c r="AE682" s="241"/>
      <c r="AF682" s="194"/>
      <c r="AG682" s="194"/>
      <c r="AH682" s="194"/>
      <c r="AI682" s="194"/>
    </row>
    <row r="683" hidden="1">
      <c r="A683" s="126"/>
      <c r="B683" s="195"/>
      <c r="C683" s="196"/>
      <c r="D683" s="286" t="s">
        <v>836</v>
      </c>
      <c r="E683" s="233"/>
      <c r="F683" s="233"/>
      <c r="G683" s="233"/>
      <c r="H683" s="234"/>
      <c r="I683" s="234"/>
      <c r="J683" s="222"/>
      <c r="K683" s="222" t="s">
        <v>735</v>
      </c>
      <c r="L683" s="346"/>
      <c r="M683" s="255"/>
      <c r="N683" s="739"/>
      <c r="O683" s="739"/>
      <c r="P683" s="739"/>
      <c r="Q683" s="230">
        <v>2.7635653153153133E8</v>
      </c>
      <c r="R683" s="230">
        <v>2.7635653153153133E8</v>
      </c>
      <c r="S683" s="230">
        <f t="shared" ref="S683:T683" si="358">346718483</f>
        <v>346718483</v>
      </c>
      <c r="T683" s="275">
        <f t="shared" si="358"/>
        <v>346718483</v>
      </c>
      <c r="U683" s="270">
        <v>3.46718483E8</v>
      </c>
      <c r="V683" s="238"/>
      <c r="W683" s="238"/>
      <c r="X683" s="238"/>
      <c r="Y683" s="238"/>
      <c r="Z683" s="238"/>
      <c r="AA683" s="238"/>
      <c r="AB683" s="238"/>
      <c r="AC683" s="378">
        <f t="shared" si="355"/>
        <v>1592868512</v>
      </c>
      <c r="AD683" s="214"/>
      <c r="AE683" s="241"/>
      <c r="AF683" s="194"/>
      <c r="AG683" s="194"/>
      <c r="AH683" s="194"/>
      <c r="AI683" s="194"/>
    </row>
    <row r="684">
      <c r="A684" s="126"/>
      <c r="B684" s="195"/>
      <c r="C684" s="196">
        <v>16.0</v>
      </c>
      <c r="D684" s="354" t="s">
        <v>837</v>
      </c>
      <c r="E684" s="198" t="s">
        <v>186</v>
      </c>
      <c r="F684" s="198" t="s">
        <v>135</v>
      </c>
      <c r="G684" s="198" t="s">
        <v>135</v>
      </c>
      <c r="H684" s="198" t="s">
        <v>203</v>
      </c>
      <c r="I684" s="198" t="s">
        <v>187</v>
      </c>
      <c r="J684" s="198" t="s">
        <v>188</v>
      </c>
      <c r="K684" s="199" t="s">
        <v>735</v>
      </c>
      <c r="L684" s="347">
        <v>3.5313674643E10</v>
      </c>
      <c r="M684" s="257" t="s">
        <v>838</v>
      </c>
      <c r="N684" s="740"/>
      <c r="O684" s="740">
        <v>45200.0</v>
      </c>
      <c r="P684" s="740">
        <v>45565.0</v>
      </c>
      <c r="Q684" s="204">
        <v>2.8439239482149906E9</v>
      </c>
      <c r="R684" s="204">
        <v>2.8439239482149906E9</v>
      </c>
      <c r="S684" s="204">
        <v>2.8439239482149906E9</v>
      </c>
      <c r="T684" s="204">
        <v>2.8439239482149906E9</v>
      </c>
      <c r="U684" s="204">
        <v>2.8439239482149906E9</v>
      </c>
      <c r="V684" s="204">
        <v>2.8439239482149906E9</v>
      </c>
      <c r="W684" s="204">
        <v>2.8439239482149906E9</v>
      </c>
      <c r="X684" s="204">
        <v>2.8439239482149906E9</v>
      </c>
      <c r="Y684" s="204">
        <v>2.8439239482149906E9</v>
      </c>
      <c r="Z684" s="204">
        <v>2.8439239482149906E9</v>
      </c>
      <c r="AA684" s="204">
        <v>2.8439239482149906E9</v>
      </c>
      <c r="AB684" s="204">
        <v>2.8439239482149906E9</v>
      </c>
      <c r="AC684" s="205">
        <v>3.412708737857988E10</v>
      </c>
      <c r="AD684" s="178">
        <f>SUM(Q684:AB684)-AC684</f>
        <v>0</v>
      </c>
      <c r="AE684" s="241"/>
      <c r="AF684" s="725">
        <v>3.4127087379E10</v>
      </c>
      <c r="AG684" s="194"/>
      <c r="AH684" s="194"/>
      <c r="AI684" s="194"/>
    </row>
    <row r="685" hidden="1">
      <c r="A685" s="126"/>
      <c r="B685" s="195"/>
      <c r="C685" s="206"/>
      <c r="D685" s="207"/>
      <c r="E685" s="260"/>
      <c r="F685" s="207"/>
      <c r="G685" s="260"/>
      <c r="H685" s="206"/>
      <c r="I685" s="206"/>
      <c r="J685" s="206"/>
      <c r="K685" s="206" t="s">
        <v>735</v>
      </c>
      <c r="L685" s="277">
        <f>45066093352/1.11</f>
        <v>40600084101</v>
      </c>
      <c r="M685" s="261" t="s">
        <v>839</v>
      </c>
      <c r="N685" s="367"/>
      <c r="O685" s="367">
        <v>45566.0</v>
      </c>
      <c r="P685" s="367">
        <v>45657.0</v>
      </c>
      <c r="Q685" s="212"/>
      <c r="R685" s="212"/>
      <c r="S685" s="212"/>
      <c r="T685" s="212"/>
      <c r="U685" s="212"/>
      <c r="V685" s="212"/>
      <c r="W685" s="212"/>
      <c r="X685" s="212"/>
      <c r="Y685" s="212"/>
      <c r="Z685" s="212"/>
      <c r="AA685" s="212"/>
      <c r="AB685" s="212"/>
      <c r="AC685" s="637">
        <f t="shared" ref="AC685:AC691" si="359">SUM(Q685:AB685)</f>
        <v>0</v>
      </c>
      <c r="AD685" s="214"/>
      <c r="AE685" s="192"/>
      <c r="AF685" s="194"/>
      <c r="AG685" s="194"/>
      <c r="AH685" s="194"/>
      <c r="AI685" s="194"/>
    </row>
    <row r="686" hidden="1">
      <c r="A686" s="126"/>
      <c r="B686" s="195"/>
      <c r="C686" s="206"/>
      <c r="D686" s="207"/>
      <c r="E686" s="260"/>
      <c r="F686" s="207"/>
      <c r="G686" s="260"/>
      <c r="H686" s="206"/>
      <c r="I686" s="206"/>
      <c r="J686" s="206"/>
      <c r="K686" s="206" t="s">
        <v>735</v>
      </c>
      <c r="L686" s="245">
        <v>2.1617385422E10</v>
      </c>
      <c r="M686" s="261" t="s">
        <v>840</v>
      </c>
      <c r="N686" s="367"/>
      <c r="O686" s="367">
        <v>45658.0</v>
      </c>
      <c r="P686" s="367">
        <v>45838.0</v>
      </c>
      <c r="Q686" s="212">
        <f>L686/6</f>
        <v>3602897570</v>
      </c>
      <c r="R686" s="212">
        <v>3.6028975703333335E9</v>
      </c>
      <c r="S686" s="212">
        <v>3.6028975703333335E9</v>
      </c>
      <c r="T686" s="212">
        <v>3.6028975703333335E9</v>
      </c>
      <c r="U686" s="212">
        <v>3.6028975703333335E9</v>
      </c>
      <c r="V686" s="212">
        <v>3.6028975703333335E9</v>
      </c>
      <c r="W686" s="212"/>
      <c r="X686" s="212"/>
      <c r="Y686" s="212"/>
      <c r="Z686" s="212"/>
      <c r="AA686" s="212"/>
      <c r="AB686" s="212"/>
      <c r="AC686" s="637">
        <f t="shared" si="359"/>
        <v>21617385422</v>
      </c>
      <c r="AD686" s="214"/>
      <c r="AE686" s="241"/>
      <c r="AF686" s="194"/>
      <c r="AG686" s="194"/>
      <c r="AH686" s="194"/>
      <c r="AI686" s="194"/>
    </row>
    <row r="687" hidden="1">
      <c r="A687" s="126"/>
      <c r="B687" s="195"/>
      <c r="C687" s="206"/>
      <c r="D687" s="215" t="s">
        <v>841</v>
      </c>
      <c r="E687" s="260"/>
      <c r="F687" s="207"/>
      <c r="G687" s="260"/>
      <c r="H687" s="206"/>
      <c r="I687" s="206"/>
      <c r="J687" s="206"/>
      <c r="K687" s="206" t="s">
        <v>735</v>
      </c>
      <c r="L687" s="277"/>
      <c r="M687" s="265" t="s">
        <v>297</v>
      </c>
      <c r="N687" s="367"/>
      <c r="O687" s="367">
        <v>45839.0</v>
      </c>
      <c r="P687" s="367">
        <v>45930.0</v>
      </c>
      <c r="Q687" s="212"/>
      <c r="R687" s="212"/>
      <c r="S687" s="212"/>
      <c r="T687" s="249"/>
      <c r="U687" s="212"/>
      <c r="V687" s="212"/>
      <c r="W687" s="212"/>
      <c r="X687" s="212"/>
      <c r="Y687" s="212"/>
      <c r="Z687" s="212"/>
      <c r="AA687" s="212"/>
      <c r="AB687" s="212"/>
      <c r="AC687" s="637">
        <f t="shared" si="359"/>
        <v>0</v>
      </c>
      <c r="AD687" s="271"/>
      <c r="AE687" s="241"/>
      <c r="AF687" s="194"/>
      <c r="AG687" s="194"/>
      <c r="AH687" s="194"/>
      <c r="AI687" s="194"/>
    </row>
    <row r="688" hidden="1">
      <c r="A688" s="391"/>
      <c r="B688" s="392"/>
      <c r="C688" s="206"/>
      <c r="D688" s="207"/>
      <c r="E688" s="260"/>
      <c r="F688" s="207"/>
      <c r="G688" s="260"/>
      <c r="H688" s="206"/>
      <c r="I688" s="206"/>
      <c r="J688" s="242"/>
      <c r="K688" s="242" t="s">
        <v>735</v>
      </c>
      <c r="L688" s="277"/>
      <c r="M688" s="265"/>
      <c r="N688" s="389"/>
      <c r="O688" s="389">
        <f>P687+1</f>
        <v>45931</v>
      </c>
      <c r="P688" s="389"/>
      <c r="Q688" s="269"/>
      <c r="R688" s="269"/>
      <c r="S688" s="269"/>
      <c r="T688" s="269"/>
      <c r="U688" s="269"/>
      <c r="V688" s="269"/>
      <c r="W688" s="212"/>
      <c r="X688" s="212"/>
      <c r="Y688" s="212"/>
      <c r="Z688" s="212"/>
      <c r="AA688" s="212"/>
      <c r="AB688" s="212"/>
      <c r="AC688" s="637">
        <f t="shared" si="359"/>
        <v>0</v>
      </c>
      <c r="AD688" s="737"/>
      <c r="AE688" s="411"/>
      <c r="AF688" s="412"/>
      <c r="AG688" s="412"/>
      <c r="AH688" s="412"/>
      <c r="AI688" s="412"/>
    </row>
    <row r="689" hidden="1">
      <c r="A689" s="126"/>
      <c r="B689" s="195"/>
      <c r="C689" s="222"/>
      <c r="D689" s="250" t="s">
        <v>842</v>
      </c>
      <c r="E689" s="233"/>
      <c r="F689" s="224"/>
      <c r="G689" s="233"/>
      <c r="H689" s="222"/>
      <c r="I689" s="222"/>
      <c r="J689" s="222"/>
      <c r="K689" s="222" t="s">
        <v>735</v>
      </c>
      <c r="L689" s="225"/>
      <c r="M689" s="383"/>
      <c r="N689" s="285"/>
      <c r="O689" s="285"/>
      <c r="P689" s="285"/>
      <c r="Q689" s="238">
        <v>3.6028975703333335E9</v>
      </c>
      <c r="R689" s="238">
        <v>3.6028975703333335E9</v>
      </c>
      <c r="S689" s="238">
        <v>3.6028975703333335E9</v>
      </c>
      <c r="T689" s="238">
        <v>3.6028975703333335E9</v>
      </c>
      <c r="U689" s="238">
        <v>3.6028975703333335E9</v>
      </c>
      <c r="V689" s="238">
        <v>3.6028975703333335E9</v>
      </c>
      <c r="W689" s="230"/>
      <c r="X689" s="230"/>
      <c r="Y689" s="230"/>
      <c r="Z689" s="230"/>
      <c r="AA689" s="230"/>
      <c r="AB689" s="230"/>
      <c r="AC689" s="231">
        <f t="shared" si="359"/>
        <v>21617385422</v>
      </c>
      <c r="AD689" s="264"/>
      <c r="AE689" s="241"/>
      <c r="AF689" s="194"/>
      <c r="AG689" s="194"/>
      <c r="AH689" s="194"/>
      <c r="AI689" s="194"/>
    </row>
    <row r="690" hidden="1">
      <c r="A690" s="391"/>
      <c r="B690" s="195"/>
      <c r="C690" s="196"/>
      <c r="D690" s="286" t="s">
        <v>194</v>
      </c>
      <c r="E690" s="233"/>
      <c r="F690" s="233"/>
      <c r="G690" s="233"/>
      <c r="H690" s="234"/>
      <c r="I690" s="234"/>
      <c r="J690" s="222"/>
      <c r="K690" s="222" t="s">
        <v>735</v>
      </c>
      <c r="L690" s="225"/>
      <c r="M690" s="255"/>
      <c r="N690" s="365"/>
      <c r="O690" s="365"/>
      <c r="P690" s="365"/>
      <c r="Q690" s="238"/>
      <c r="R690" s="238"/>
      <c r="S690" s="238"/>
      <c r="T690" s="238"/>
      <c r="U690" s="238"/>
      <c r="V690" s="238"/>
      <c r="W690" s="238"/>
      <c r="X690" s="238"/>
      <c r="Y690" s="238"/>
      <c r="Z690" s="238"/>
      <c r="AA690" s="238"/>
      <c r="AB690" s="238"/>
      <c r="AC690" s="378">
        <f t="shared" si="359"/>
        <v>0</v>
      </c>
      <c r="AD690" s="499"/>
      <c r="AE690" s="192"/>
      <c r="AF690" s="194"/>
      <c r="AG690" s="194"/>
      <c r="AH690" s="194"/>
      <c r="AI690" s="194"/>
    </row>
    <row r="691" hidden="1">
      <c r="A691" s="391"/>
      <c r="B691" s="195"/>
      <c r="C691" s="196"/>
      <c r="D691" s="286" t="s">
        <v>843</v>
      </c>
      <c r="E691" s="233"/>
      <c r="F691" s="233"/>
      <c r="G691" s="233"/>
      <c r="H691" s="234"/>
      <c r="I691" s="234"/>
      <c r="J691" s="222"/>
      <c r="K691" s="222" t="s">
        <v>735</v>
      </c>
      <c r="L691" s="225"/>
      <c r="M691" s="255"/>
      <c r="N691" s="365"/>
      <c r="O691" s="365"/>
      <c r="P691" s="365"/>
      <c r="Q691" s="238"/>
      <c r="R691" s="238"/>
      <c r="S691" s="238"/>
      <c r="T691" s="238"/>
      <c r="U691" s="238"/>
      <c r="V691" s="238"/>
      <c r="W691" s="238"/>
      <c r="X691" s="238"/>
      <c r="Y691" s="238"/>
      <c r="Z691" s="238"/>
      <c r="AA691" s="238"/>
      <c r="AB691" s="238"/>
      <c r="AC691" s="378">
        <f t="shared" si="359"/>
        <v>0</v>
      </c>
      <c r="AD691" s="499"/>
      <c r="AE691" s="192"/>
      <c r="AF691" s="194"/>
      <c r="AG691" s="194"/>
      <c r="AH691" s="194"/>
      <c r="AI691" s="194"/>
    </row>
    <row r="692">
      <c r="A692" s="126"/>
      <c r="B692" s="195"/>
      <c r="C692" s="196">
        <v>17.0</v>
      </c>
      <c r="D692" s="354" t="s">
        <v>844</v>
      </c>
      <c r="E692" s="198" t="s">
        <v>186</v>
      </c>
      <c r="F692" s="198" t="s">
        <v>305</v>
      </c>
      <c r="G692" s="198" t="s">
        <v>92</v>
      </c>
      <c r="H692" s="198" t="s">
        <v>306</v>
      </c>
      <c r="I692" s="198" t="s">
        <v>187</v>
      </c>
      <c r="J692" s="198" t="s">
        <v>188</v>
      </c>
      <c r="K692" s="199" t="s">
        <v>735</v>
      </c>
      <c r="L692" s="436">
        <v>2.52235264414414E9</v>
      </c>
      <c r="M692" s="201" t="s">
        <v>845</v>
      </c>
      <c r="N692" s="541"/>
      <c r="O692" s="541">
        <v>45525.0</v>
      </c>
      <c r="P692" s="541">
        <v>46234.0</v>
      </c>
      <c r="Q692" s="204">
        <v>1.28854546E8</v>
      </c>
      <c r="R692" s="204">
        <v>1.28854546E8</v>
      </c>
      <c r="S692" s="204">
        <v>1.28854546E8</v>
      </c>
      <c r="T692" s="204">
        <v>1.28854546E8</v>
      </c>
      <c r="U692" s="204">
        <v>1.28854546E8</v>
      </c>
      <c r="V692" s="204">
        <v>1.28854546E8</v>
      </c>
      <c r="W692" s="204">
        <v>1.28854546E8</v>
      </c>
      <c r="X692" s="204">
        <v>1.28854546E8</v>
      </c>
      <c r="Y692" s="204">
        <v>1.28854546E8</v>
      </c>
      <c r="Z692" s="204">
        <v>1.28854546E8</v>
      </c>
      <c r="AA692" s="204">
        <v>1.28854546E8</v>
      </c>
      <c r="AB692" s="204">
        <v>1.28854546E8</v>
      </c>
      <c r="AC692" s="205">
        <v>1.546254552E9</v>
      </c>
      <c r="AD692" s="178">
        <f>SUM(Q692:AB692)-AC692</f>
        <v>0</v>
      </c>
      <c r="AE692" s="192"/>
      <c r="AF692" s="725">
        <v>1.546254552E9</v>
      </c>
      <c r="AG692" s="194"/>
      <c r="AH692" s="194"/>
      <c r="AI692" s="194"/>
    </row>
    <row r="693" hidden="1">
      <c r="A693" s="126"/>
      <c r="B693" s="195"/>
      <c r="C693" s="206"/>
      <c r="D693" s="207"/>
      <c r="E693" s="260"/>
      <c r="F693" s="207"/>
      <c r="G693" s="260"/>
      <c r="H693" s="206"/>
      <c r="I693" s="206"/>
      <c r="J693" s="206"/>
      <c r="K693" s="206" t="s">
        <v>735</v>
      </c>
      <c r="L693" s="217"/>
      <c r="M693" s="209"/>
      <c r="N693" s="367"/>
      <c r="O693" s="367"/>
      <c r="P693" s="367">
        <v>46234.0</v>
      </c>
      <c r="Q693" s="267">
        <v>1.05098026E8</v>
      </c>
      <c r="R693" s="267">
        <v>1.05098026E8</v>
      </c>
      <c r="S693" s="267">
        <v>1.05098026E8</v>
      </c>
      <c r="T693" s="267">
        <v>1.05098026E8</v>
      </c>
      <c r="U693" s="267">
        <v>1.05098026E8</v>
      </c>
      <c r="V693" s="267">
        <v>1.05098026E8</v>
      </c>
      <c r="W693" s="267">
        <v>1.05098026E8</v>
      </c>
      <c r="X693" s="267">
        <v>1.05098026E8</v>
      </c>
      <c r="Y693" s="267">
        <v>1.05098026E8</v>
      </c>
      <c r="Z693" s="267">
        <v>1.05098026E8</v>
      </c>
      <c r="AA693" s="267">
        <v>1.05098026E8</v>
      </c>
      <c r="AB693" s="267">
        <v>1.05098026E8</v>
      </c>
      <c r="AC693" s="637">
        <f t="shared" ref="AC693:AC696" si="360">SUM(Q693:AB693)</f>
        <v>1261176312</v>
      </c>
      <c r="AD693" s="214"/>
      <c r="AE693" s="241"/>
      <c r="AF693" s="194"/>
      <c r="AG693" s="194"/>
      <c r="AH693" s="194"/>
      <c r="AI693" s="194"/>
    </row>
    <row r="694" hidden="1">
      <c r="A694" s="126"/>
      <c r="B694" s="195"/>
      <c r="C694" s="222"/>
      <c r="D694" s="250" t="s">
        <v>846</v>
      </c>
      <c r="E694" s="233"/>
      <c r="F694" s="224"/>
      <c r="G694" s="233"/>
      <c r="H694" s="222"/>
      <c r="I694" s="222"/>
      <c r="J694" s="222"/>
      <c r="K694" s="222" t="s">
        <v>735</v>
      </c>
      <c r="L694" s="225"/>
      <c r="M694" s="383"/>
      <c r="N694" s="285"/>
      <c r="O694" s="285"/>
      <c r="P694" s="285"/>
      <c r="Q694" s="228">
        <v>1.0370267E8</v>
      </c>
      <c r="R694" s="228">
        <v>9.8432151E7</v>
      </c>
      <c r="S694" s="230">
        <f t="shared" ref="S694:S696" si="361">102394420</f>
        <v>102394420</v>
      </c>
      <c r="T694" s="228">
        <v>1.03634049E8</v>
      </c>
      <c r="U694" s="229">
        <v>1.15744914E8</v>
      </c>
      <c r="V694" s="230"/>
      <c r="W694" s="230"/>
      <c r="X694" s="230"/>
      <c r="Y694" s="230"/>
      <c r="Z694" s="230"/>
      <c r="AA694" s="230"/>
      <c r="AB694" s="230"/>
      <c r="AC694" s="231">
        <f t="shared" si="360"/>
        <v>523908204</v>
      </c>
      <c r="AD694" s="264"/>
      <c r="AE694" s="241"/>
      <c r="AF694" s="194"/>
      <c r="AG694" s="194"/>
      <c r="AH694" s="194"/>
      <c r="AI694" s="194"/>
    </row>
    <row r="695" hidden="1">
      <c r="A695" s="391"/>
      <c r="B695" s="195"/>
      <c r="C695" s="196"/>
      <c r="D695" s="286" t="s">
        <v>194</v>
      </c>
      <c r="E695" s="233"/>
      <c r="F695" s="233"/>
      <c r="G695" s="233"/>
      <c r="H695" s="234"/>
      <c r="I695" s="234"/>
      <c r="J695" s="222"/>
      <c r="K695" s="222" t="s">
        <v>735</v>
      </c>
      <c r="L695" s="225"/>
      <c r="M695" s="236"/>
      <c r="N695" s="285"/>
      <c r="O695" s="285"/>
      <c r="P695" s="285"/>
      <c r="Q695" s="228">
        <v>1.0370267E8</v>
      </c>
      <c r="R695" s="228">
        <v>9.8432151E7</v>
      </c>
      <c r="S695" s="230">
        <f t="shared" si="361"/>
        <v>102394420</v>
      </c>
      <c r="T695" s="228">
        <v>1.03634049E8</v>
      </c>
      <c r="U695" s="238"/>
      <c r="V695" s="238"/>
      <c r="W695" s="238"/>
      <c r="X695" s="238"/>
      <c r="Y695" s="238"/>
      <c r="Z695" s="238"/>
      <c r="AA695" s="238"/>
      <c r="AB695" s="238"/>
      <c r="AC695" s="378">
        <f t="shared" si="360"/>
        <v>408163290</v>
      </c>
      <c r="AD695" s="214"/>
      <c r="AE695" s="192"/>
      <c r="AF695" s="194"/>
      <c r="AG695" s="194"/>
      <c r="AH695" s="194"/>
      <c r="AI695" s="194"/>
    </row>
    <row r="696" hidden="1">
      <c r="A696" s="391"/>
      <c r="B696" s="195"/>
      <c r="C696" s="196"/>
      <c r="D696" s="286" t="s">
        <v>847</v>
      </c>
      <c r="E696" s="233"/>
      <c r="F696" s="233"/>
      <c r="G696" s="233"/>
      <c r="H696" s="234"/>
      <c r="I696" s="234"/>
      <c r="J696" s="222"/>
      <c r="K696" s="222" t="s">
        <v>735</v>
      </c>
      <c r="L696" s="225"/>
      <c r="M696" s="236"/>
      <c r="N696" s="285"/>
      <c r="O696" s="285"/>
      <c r="P696" s="285"/>
      <c r="Q696" s="228">
        <v>1.0370267E8</v>
      </c>
      <c r="R696" s="228">
        <v>9.8432151E7</v>
      </c>
      <c r="S696" s="230">
        <f t="shared" si="361"/>
        <v>102394420</v>
      </c>
      <c r="T696" s="228">
        <v>1.03634049E8</v>
      </c>
      <c r="U696" s="238"/>
      <c r="V696" s="238"/>
      <c r="W696" s="238"/>
      <c r="X696" s="238"/>
      <c r="Y696" s="238"/>
      <c r="Z696" s="238"/>
      <c r="AA696" s="238"/>
      <c r="AB696" s="238"/>
      <c r="AC696" s="378">
        <f t="shared" si="360"/>
        <v>408163290</v>
      </c>
      <c r="AD696" s="214"/>
      <c r="AE696" s="192"/>
      <c r="AF696" s="194"/>
      <c r="AG696" s="194"/>
      <c r="AH696" s="194"/>
      <c r="AI696" s="194"/>
    </row>
    <row r="697">
      <c r="A697" s="126"/>
      <c r="B697" s="195"/>
      <c r="C697" s="196">
        <v>18.0</v>
      </c>
      <c r="D697" s="354" t="s">
        <v>848</v>
      </c>
      <c r="E697" s="198" t="s">
        <v>186</v>
      </c>
      <c r="F697" s="198" t="s">
        <v>305</v>
      </c>
      <c r="G697" s="198" t="s">
        <v>92</v>
      </c>
      <c r="H697" s="198" t="s">
        <v>306</v>
      </c>
      <c r="I697" s="198" t="s">
        <v>187</v>
      </c>
      <c r="J697" s="198" t="s">
        <v>188</v>
      </c>
      <c r="K697" s="199" t="s">
        <v>735</v>
      </c>
      <c r="L697" s="436">
        <v>4.53274800900901E9</v>
      </c>
      <c r="M697" s="201" t="s">
        <v>849</v>
      </c>
      <c r="N697" s="541"/>
      <c r="O697" s="541">
        <v>45292.0</v>
      </c>
      <c r="P697" s="541">
        <v>46022.0</v>
      </c>
      <c r="Q697" s="204">
        <v>1.724175425E8</v>
      </c>
      <c r="R697" s="204">
        <v>1.724175425E8</v>
      </c>
      <c r="S697" s="204">
        <v>1.724175425E8</v>
      </c>
      <c r="T697" s="204">
        <v>1.724175425E8</v>
      </c>
      <c r="U697" s="204">
        <v>1.724175425E8</v>
      </c>
      <c r="V697" s="204">
        <v>1.724175425E8</v>
      </c>
      <c r="W697" s="204">
        <v>1.724175425E8</v>
      </c>
      <c r="X697" s="204">
        <v>1.724175425E8</v>
      </c>
      <c r="Y697" s="204">
        <v>1.724175425E8</v>
      </c>
      <c r="Z697" s="204">
        <v>1.724175425E8</v>
      </c>
      <c r="AA697" s="204">
        <v>1.724175425E8</v>
      </c>
      <c r="AB697" s="204">
        <v>1.724175425E8</v>
      </c>
      <c r="AC697" s="205">
        <v>2.06901051E9</v>
      </c>
      <c r="AD697" s="178">
        <f>SUM(Q697:AB697)-AC697</f>
        <v>0</v>
      </c>
      <c r="AE697" s="192"/>
      <c r="AF697" s="725">
        <v>2.06901051E9</v>
      </c>
      <c r="AG697" s="194"/>
      <c r="AH697" s="194"/>
      <c r="AI697" s="194"/>
    </row>
    <row r="698" hidden="1">
      <c r="A698" s="126"/>
      <c r="B698" s="195"/>
      <c r="C698" s="206"/>
      <c r="D698" s="207"/>
      <c r="E698" s="260"/>
      <c r="F698" s="207"/>
      <c r="G698" s="260"/>
      <c r="H698" s="206"/>
      <c r="I698" s="206"/>
      <c r="J698" s="206"/>
      <c r="K698" s="206" t="s">
        <v>735</v>
      </c>
      <c r="L698" s="217"/>
      <c r="M698" s="209"/>
      <c r="N698" s="367"/>
      <c r="O698" s="367"/>
      <c r="P698" s="367">
        <v>46022.0</v>
      </c>
      <c r="Q698" s="267">
        <v>1.88864500375375E8</v>
      </c>
      <c r="R698" s="267">
        <v>1.88864500375375E8</v>
      </c>
      <c r="S698" s="267">
        <v>1.88864500375375E8</v>
      </c>
      <c r="T698" s="267">
        <v>1.88864500375375E8</v>
      </c>
      <c r="U698" s="267">
        <v>1.88864500375375E8</v>
      </c>
      <c r="V698" s="267">
        <v>1.88864500375375E8</v>
      </c>
      <c r="W698" s="267">
        <v>1.88864500375375E8</v>
      </c>
      <c r="X698" s="267">
        <v>1.88864500375375E8</v>
      </c>
      <c r="Y698" s="267">
        <v>1.88864500375375E8</v>
      </c>
      <c r="Z698" s="267">
        <v>1.88864500375375E8</v>
      </c>
      <c r="AA698" s="267">
        <v>1.88864500375375E8</v>
      </c>
      <c r="AB698" s="267">
        <v>1.88864500375375E8</v>
      </c>
      <c r="AC698" s="637">
        <f t="shared" ref="AC698:AC701" si="362">SUM(Q698:AB698)</f>
        <v>2266374005</v>
      </c>
      <c r="AD698" s="214"/>
      <c r="AE698" s="241"/>
      <c r="AF698" s="194"/>
      <c r="AG698" s="194"/>
      <c r="AH698" s="194"/>
      <c r="AI698" s="194"/>
    </row>
    <row r="699" hidden="1">
      <c r="A699" s="126"/>
      <c r="B699" s="195"/>
      <c r="C699" s="222"/>
      <c r="D699" s="250" t="s">
        <v>850</v>
      </c>
      <c r="E699" s="233"/>
      <c r="F699" s="224"/>
      <c r="G699" s="233"/>
      <c r="H699" s="222"/>
      <c r="I699" s="222"/>
      <c r="J699" s="222"/>
      <c r="K699" s="222" t="s">
        <v>735</v>
      </c>
      <c r="L699" s="225"/>
      <c r="M699" s="383"/>
      <c r="N699" s="285"/>
      <c r="O699" s="285"/>
      <c r="P699" s="285"/>
      <c r="Q699" s="228">
        <v>1.54641546E8</v>
      </c>
      <c r="R699" s="228">
        <v>1.72559553E8</v>
      </c>
      <c r="S699" s="230">
        <f t="shared" ref="S699:S701" si="363">191154841/1.11</f>
        <v>172211568.5</v>
      </c>
      <c r="T699" s="228">
        <v>1.9162245E8</v>
      </c>
      <c r="U699" s="228">
        <v>1.7263E8</v>
      </c>
      <c r="V699" s="229">
        <v>1.72556721E8</v>
      </c>
      <c r="W699" s="230"/>
      <c r="X699" s="230"/>
      <c r="Y699" s="230"/>
      <c r="Z699" s="230"/>
      <c r="AA699" s="230"/>
      <c r="AB699" s="230"/>
      <c r="AC699" s="231">
        <f t="shared" si="362"/>
        <v>1036221838</v>
      </c>
      <c r="AD699" s="264"/>
      <c r="AE699" s="241"/>
      <c r="AF699" s="194"/>
      <c r="AG699" s="194"/>
      <c r="AH699" s="194"/>
      <c r="AI699" s="194"/>
    </row>
    <row r="700" hidden="1">
      <c r="A700" s="126"/>
      <c r="B700" s="195"/>
      <c r="C700" s="196"/>
      <c r="D700" s="286" t="s">
        <v>194</v>
      </c>
      <c r="E700" s="233"/>
      <c r="F700" s="233"/>
      <c r="G700" s="233"/>
      <c r="H700" s="234"/>
      <c r="I700" s="234"/>
      <c r="J700" s="222"/>
      <c r="K700" s="222" t="s">
        <v>735</v>
      </c>
      <c r="L700" s="741"/>
      <c r="M700" s="742"/>
      <c r="N700" s="743"/>
      <c r="O700" s="743"/>
      <c r="P700" s="743"/>
      <c r="Q700" s="228">
        <v>1.54641546E8</v>
      </c>
      <c r="R700" s="228">
        <v>1.72559553E8</v>
      </c>
      <c r="S700" s="230">
        <f t="shared" si="363"/>
        <v>172211568.5</v>
      </c>
      <c r="T700" s="228">
        <v>1.9162245E8</v>
      </c>
      <c r="U700" s="228">
        <v>1.7263E8</v>
      </c>
      <c r="V700" s="238"/>
      <c r="W700" s="238"/>
      <c r="X700" s="238"/>
      <c r="Y700" s="238"/>
      <c r="Z700" s="238"/>
      <c r="AA700" s="238"/>
      <c r="AB700" s="238"/>
      <c r="AC700" s="378">
        <f t="shared" si="362"/>
        <v>863665117.5</v>
      </c>
      <c r="AD700" s="214"/>
      <c r="AE700" s="192"/>
      <c r="AF700" s="194"/>
      <c r="AG700" s="194"/>
      <c r="AH700" s="194"/>
      <c r="AI700" s="194"/>
    </row>
    <row r="701" hidden="1">
      <c r="A701" s="126"/>
      <c r="B701" s="195"/>
      <c r="C701" s="196"/>
      <c r="D701" s="286" t="s">
        <v>851</v>
      </c>
      <c r="E701" s="233"/>
      <c r="F701" s="233"/>
      <c r="G701" s="233"/>
      <c r="H701" s="234"/>
      <c r="I701" s="234"/>
      <c r="J701" s="222"/>
      <c r="K701" s="222" t="s">
        <v>735</v>
      </c>
      <c r="L701" s="741"/>
      <c r="M701" s="742"/>
      <c r="N701" s="743"/>
      <c r="O701" s="743"/>
      <c r="P701" s="743"/>
      <c r="Q701" s="228">
        <v>1.54641546E8</v>
      </c>
      <c r="R701" s="228">
        <v>1.72559553E8</v>
      </c>
      <c r="S701" s="230">
        <f t="shared" si="363"/>
        <v>172211568.5</v>
      </c>
      <c r="T701" s="228">
        <v>1.9162245E8</v>
      </c>
      <c r="U701" s="228">
        <v>1.7263E8</v>
      </c>
      <c r="V701" s="238"/>
      <c r="W701" s="238"/>
      <c r="X701" s="238"/>
      <c r="Y701" s="238"/>
      <c r="Z701" s="238"/>
      <c r="AA701" s="238"/>
      <c r="AB701" s="238"/>
      <c r="AC701" s="378">
        <f t="shared" si="362"/>
        <v>863665117.5</v>
      </c>
      <c r="AD701" s="214"/>
      <c r="AE701" s="192"/>
      <c r="AF701" s="194"/>
      <c r="AG701" s="194"/>
      <c r="AH701" s="194"/>
      <c r="AI701" s="194"/>
    </row>
    <row r="702">
      <c r="A702" s="379"/>
      <c r="B702" s="195"/>
      <c r="C702" s="196">
        <v>19.0</v>
      </c>
      <c r="D702" s="744" t="s">
        <v>852</v>
      </c>
      <c r="E702" s="198" t="s">
        <v>186</v>
      </c>
      <c r="F702" s="198" t="s">
        <v>305</v>
      </c>
      <c r="G702" s="198" t="s">
        <v>92</v>
      </c>
      <c r="H702" s="198" t="s">
        <v>306</v>
      </c>
      <c r="I702" s="198" t="s">
        <v>187</v>
      </c>
      <c r="J702" s="198" t="s">
        <v>188</v>
      </c>
      <c r="K702" s="199" t="s">
        <v>735</v>
      </c>
      <c r="L702" s="745">
        <v>3.573373E9</v>
      </c>
      <c r="M702" s="746" t="s">
        <v>853</v>
      </c>
      <c r="N702" s="747"/>
      <c r="O702" s="747">
        <v>45292.0</v>
      </c>
      <c r="P702" s="747">
        <v>45657.0</v>
      </c>
      <c r="Q702" s="204">
        <v>3.3038485157285726E8</v>
      </c>
      <c r="R702" s="204">
        <v>3.3038485157285726E8</v>
      </c>
      <c r="S702" s="204">
        <v>3.3038485157285726E8</v>
      </c>
      <c r="T702" s="204">
        <v>3.3038485157285726E8</v>
      </c>
      <c r="U702" s="204">
        <v>3.3038485157285726E8</v>
      </c>
      <c r="V702" s="204">
        <v>3.3038485157285726E8</v>
      </c>
      <c r="W702" s="204">
        <v>3.3038485157285726E8</v>
      </c>
      <c r="X702" s="204">
        <v>3.3038485157285726E8</v>
      </c>
      <c r="Y702" s="204">
        <v>3.3038485157285726E8</v>
      </c>
      <c r="Z702" s="204">
        <v>3.3038485157285726E8</v>
      </c>
      <c r="AA702" s="204">
        <v>3.3038485157285726E8</v>
      </c>
      <c r="AB702" s="204">
        <v>3.3038485157285726E8</v>
      </c>
      <c r="AC702" s="205">
        <v>3.964618218874288E9</v>
      </c>
      <c r="AD702" s="214"/>
      <c r="AE702" s="192"/>
      <c r="AF702" s="725">
        <v>3.964618219E9</v>
      </c>
      <c r="AG702" s="194"/>
      <c r="AH702" s="194"/>
      <c r="AI702" s="194"/>
    </row>
    <row r="703" hidden="1">
      <c r="A703" s="126"/>
      <c r="B703" s="195"/>
      <c r="C703" s="206"/>
      <c r="D703" s="220" t="s">
        <v>854</v>
      </c>
      <c r="E703" s="260"/>
      <c r="F703" s="207"/>
      <c r="G703" s="260"/>
      <c r="H703" s="206"/>
      <c r="I703" s="206"/>
      <c r="J703" s="206"/>
      <c r="K703" s="206" t="s">
        <v>735</v>
      </c>
      <c r="L703" s="277"/>
      <c r="M703" s="244"/>
      <c r="N703" s="389"/>
      <c r="O703" s="389"/>
      <c r="P703" s="389"/>
      <c r="Q703" s="212"/>
      <c r="R703" s="212"/>
      <c r="S703" s="212"/>
      <c r="T703" s="212"/>
      <c r="U703" s="212"/>
      <c r="V703" s="212"/>
      <c r="W703" s="212"/>
      <c r="X703" s="212"/>
      <c r="Y703" s="212"/>
      <c r="Z703" s="212"/>
      <c r="AA703" s="212"/>
      <c r="AB703" s="212"/>
      <c r="AC703" s="637">
        <f t="shared" ref="AC703:AC706" si="364">SUM(Q703:AB703)</f>
        <v>0</v>
      </c>
      <c r="AD703" s="214"/>
      <c r="AE703" s="192"/>
      <c r="AF703" s="194"/>
      <c r="AG703" s="194"/>
      <c r="AH703" s="194"/>
      <c r="AI703" s="194"/>
    </row>
    <row r="704" hidden="1">
      <c r="A704" s="126"/>
      <c r="B704" s="195"/>
      <c r="C704" s="222"/>
      <c r="D704" s="250" t="s">
        <v>855</v>
      </c>
      <c r="E704" s="233"/>
      <c r="F704" s="224"/>
      <c r="G704" s="233"/>
      <c r="H704" s="222"/>
      <c r="I704" s="222"/>
      <c r="J704" s="222"/>
      <c r="K704" s="222" t="s">
        <v>735</v>
      </c>
      <c r="L704" s="225"/>
      <c r="M704" s="383"/>
      <c r="N704" s="285"/>
      <c r="O704" s="285"/>
      <c r="P704" s="285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  <c r="AA704" s="230"/>
      <c r="AB704" s="230"/>
      <c r="AC704" s="231">
        <f t="shared" si="364"/>
        <v>0</v>
      </c>
      <c r="AD704" s="214"/>
      <c r="AE704" s="241"/>
      <c r="AF704" s="194"/>
      <c r="AG704" s="194"/>
      <c r="AH704" s="194"/>
      <c r="AI704" s="194"/>
    </row>
    <row r="705" hidden="1">
      <c r="A705" s="126"/>
      <c r="B705" s="195"/>
      <c r="C705" s="196"/>
      <c r="D705" s="286" t="s">
        <v>194</v>
      </c>
      <c r="E705" s="233"/>
      <c r="F705" s="233"/>
      <c r="G705" s="233"/>
      <c r="H705" s="234"/>
      <c r="I705" s="234"/>
      <c r="J705" s="222"/>
      <c r="K705" s="222" t="s">
        <v>735</v>
      </c>
      <c r="L705" s="741"/>
      <c r="M705" s="742"/>
      <c r="N705" s="743"/>
      <c r="O705" s="743"/>
      <c r="P705" s="743"/>
      <c r="Q705" s="238"/>
      <c r="R705" s="238"/>
      <c r="S705" s="238"/>
      <c r="T705" s="238"/>
      <c r="U705" s="238"/>
      <c r="V705" s="238"/>
      <c r="W705" s="238"/>
      <c r="X705" s="238"/>
      <c r="Y705" s="238"/>
      <c r="Z705" s="238"/>
      <c r="AA705" s="238"/>
      <c r="AB705" s="238"/>
      <c r="AC705" s="378">
        <f t="shared" si="364"/>
        <v>0</v>
      </c>
      <c r="AD705" s="214"/>
      <c r="AE705" s="241"/>
      <c r="AF705" s="194"/>
      <c r="AG705" s="194"/>
      <c r="AH705" s="194"/>
      <c r="AI705" s="194"/>
    </row>
    <row r="706" hidden="1">
      <c r="A706" s="126"/>
      <c r="B706" s="195"/>
      <c r="C706" s="196"/>
      <c r="D706" s="286" t="s">
        <v>856</v>
      </c>
      <c r="E706" s="233"/>
      <c r="F706" s="233"/>
      <c r="G706" s="233"/>
      <c r="H706" s="234"/>
      <c r="I706" s="234"/>
      <c r="J706" s="222"/>
      <c r="K706" s="222" t="s">
        <v>735</v>
      </c>
      <c r="L706" s="741"/>
      <c r="M706" s="742"/>
      <c r="N706" s="743"/>
      <c r="O706" s="743"/>
      <c r="P706" s="743"/>
      <c r="Q706" s="238"/>
      <c r="R706" s="238"/>
      <c r="S706" s="238"/>
      <c r="T706" s="238"/>
      <c r="U706" s="238"/>
      <c r="V706" s="238"/>
      <c r="W706" s="238"/>
      <c r="X706" s="238"/>
      <c r="Y706" s="238"/>
      <c r="Z706" s="238"/>
      <c r="AA706" s="238"/>
      <c r="AB706" s="238"/>
      <c r="AC706" s="378">
        <f t="shared" si="364"/>
        <v>0</v>
      </c>
      <c r="AD706" s="214"/>
      <c r="AE706" s="241"/>
      <c r="AF706" s="194"/>
      <c r="AG706" s="194"/>
      <c r="AH706" s="194"/>
      <c r="AI706" s="194"/>
    </row>
    <row r="707">
      <c r="A707" s="379"/>
      <c r="B707" s="195"/>
      <c r="C707" s="196">
        <v>20.0</v>
      </c>
      <c r="D707" s="744" t="s">
        <v>857</v>
      </c>
      <c r="E707" s="198" t="s">
        <v>186</v>
      </c>
      <c r="F707" s="198" t="s">
        <v>305</v>
      </c>
      <c r="G707" s="198" t="s">
        <v>92</v>
      </c>
      <c r="H707" s="198" t="s">
        <v>306</v>
      </c>
      <c r="I707" s="198" t="s">
        <v>187</v>
      </c>
      <c r="J707" s="198" t="s">
        <v>188</v>
      </c>
      <c r="K707" s="199" t="s">
        <v>735</v>
      </c>
      <c r="L707" s="745">
        <v>2.717E10</v>
      </c>
      <c r="M707" s="746" t="s">
        <v>858</v>
      </c>
      <c r="N707" s="747"/>
      <c r="O707" s="747">
        <v>45292.0</v>
      </c>
      <c r="P707" s="747">
        <v>45657.0</v>
      </c>
      <c r="Q707" s="204">
        <v>2.164983701168334E9</v>
      </c>
      <c r="R707" s="204">
        <v>2.164983701168334E9</v>
      </c>
      <c r="S707" s="204">
        <v>2.164983701168334E9</v>
      </c>
      <c r="T707" s="204">
        <v>2.164983701168334E9</v>
      </c>
      <c r="U707" s="204">
        <v>2.164983701168334E9</v>
      </c>
      <c r="V707" s="204">
        <v>2.164983701168334E9</v>
      </c>
      <c r="W707" s="204">
        <v>2.164983701168334E9</v>
      </c>
      <c r="X707" s="204">
        <v>2.164983701168334E9</v>
      </c>
      <c r="Y707" s="204">
        <v>2.164983701168334E9</v>
      </c>
      <c r="Z707" s="204">
        <v>2.164983701168334E9</v>
      </c>
      <c r="AA707" s="204">
        <v>2.164983701168334E9</v>
      </c>
      <c r="AB707" s="204">
        <v>2.164983701168334E9</v>
      </c>
      <c r="AC707" s="205">
        <v>2.5979804414020016E10</v>
      </c>
      <c r="AD707" s="178">
        <f>SUM(Q707:AB707)-AC707</f>
        <v>0</v>
      </c>
      <c r="AE707" s="241"/>
      <c r="AF707" s="725">
        <v>2.5979804414E10</v>
      </c>
      <c r="AG707" s="194"/>
      <c r="AH707" s="194"/>
      <c r="AI707" s="194"/>
    </row>
    <row r="708" hidden="1">
      <c r="A708" s="126"/>
      <c r="B708" s="195"/>
      <c r="C708" s="206"/>
      <c r="D708" s="220" t="s">
        <v>854</v>
      </c>
      <c r="E708" s="260"/>
      <c r="F708" s="207"/>
      <c r="G708" s="260"/>
      <c r="H708" s="206"/>
      <c r="I708" s="206"/>
      <c r="J708" s="206"/>
      <c r="K708" s="206" t="s">
        <v>735</v>
      </c>
      <c r="L708" s="277"/>
      <c r="M708" s="244"/>
      <c r="N708" s="389"/>
      <c r="O708" s="389"/>
      <c r="P708" s="389"/>
      <c r="Q708" s="212"/>
      <c r="R708" s="212"/>
      <c r="S708" s="212"/>
      <c r="T708" s="212"/>
      <c r="U708" s="212"/>
      <c r="V708" s="212"/>
      <c r="W708" s="212"/>
      <c r="X708" s="212"/>
      <c r="Y708" s="212"/>
      <c r="Z708" s="212"/>
      <c r="AA708" s="212"/>
      <c r="AB708" s="212"/>
      <c r="AC708" s="637">
        <f t="shared" ref="AC708:AC711" si="365">SUM(Q708:AB708)</f>
        <v>0</v>
      </c>
      <c r="AD708" s="214"/>
      <c r="AE708" s="192"/>
      <c r="AF708" s="194"/>
      <c r="AG708" s="194"/>
      <c r="AH708" s="194"/>
      <c r="AI708" s="194"/>
    </row>
    <row r="709" hidden="1">
      <c r="A709" s="126"/>
      <c r="B709" s="195"/>
      <c r="C709" s="222"/>
      <c r="D709" s="250" t="s">
        <v>859</v>
      </c>
      <c r="E709" s="233"/>
      <c r="F709" s="224"/>
      <c r="G709" s="233"/>
      <c r="H709" s="222"/>
      <c r="I709" s="222"/>
      <c r="J709" s="222"/>
      <c r="K709" s="222" t="s">
        <v>735</v>
      </c>
      <c r="L709" s="225"/>
      <c r="M709" s="383"/>
      <c r="N709" s="285"/>
      <c r="O709" s="285"/>
      <c r="P709" s="285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  <c r="AA709" s="230"/>
      <c r="AB709" s="230"/>
      <c r="AC709" s="231">
        <f t="shared" si="365"/>
        <v>0</v>
      </c>
      <c r="AD709" s="214"/>
      <c r="AE709" s="241"/>
      <c r="AF709" s="194"/>
      <c r="AG709" s="194"/>
      <c r="AH709" s="194"/>
      <c r="AI709" s="194"/>
    </row>
    <row r="710" hidden="1">
      <c r="A710" s="126"/>
      <c r="B710" s="195"/>
      <c r="C710" s="196"/>
      <c r="D710" s="286" t="s">
        <v>194</v>
      </c>
      <c r="E710" s="233"/>
      <c r="F710" s="233"/>
      <c r="G710" s="233"/>
      <c r="H710" s="234"/>
      <c r="I710" s="234"/>
      <c r="J710" s="222"/>
      <c r="K710" s="222" t="s">
        <v>735</v>
      </c>
      <c r="L710" s="715"/>
      <c r="M710" s="255"/>
      <c r="N710" s="365"/>
      <c r="O710" s="365"/>
      <c r="P710" s="365"/>
      <c r="Q710" s="238"/>
      <c r="R710" s="238"/>
      <c r="S710" s="238"/>
      <c r="T710" s="238"/>
      <c r="U710" s="238"/>
      <c r="V710" s="238"/>
      <c r="W710" s="238"/>
      <c r="X710" s="238"/>
      <c r="Y710" s="238"/>
      <c r="Z710" s="238"/>
      <c r="AA710" s="238"/>
      <c r="AB710" s="238"/>
      <c r="AC710" s="378">
        <f t="shared" si="365"/>
        <v>0</v>
      </c>
      <c r="AD710" s="214"/>
      <c r="AE710" s="241"/>
      <c r="AF710" s="194"/>
      <c r="AG710" s="194"/>
      <c r="AH710" s="194"/>
      <c r="AI710" s="194"/>
    </row>
    <row r="711" hidden="1">
      <c r="A711" s="126"/>
      <c r="B711" s="195"/>
      <c r="C711" s="196"/>
      <c r="D711" s="286" t="s">
        <v>860</v>
      </c>
      <c r="E711" s="233"/>
      <c r="F711" s="233"/>
      <c r="G711" s="233"/>
      <c r="H711" s="234"/>
      <c r="I711" s="234"/>
      <c r="J711" s="222"/>
      <c r="K711" s="222" t="s">
        <v>735</v>
      </c>
      <c r="L711" s="715"/>
      <c r="M711" s="255"/>
      <c r="N711" s="365"/>
      <c r="O711" s="365"/>
      <c r="P711" s="365"/>
      <c r="Q711" s="238"/>
      <c r="R711" s="238"/>
      <c r="S711" s="238"/>
      <c r="T711" s="238"/>
      <c r="U711" s="238"/>
      <c r="V711" s="238"/>
      <c r="W711" s="238"/>
      <c r="X711" s="238"/>
      <c r="Y711" s="238"/>
      <c r="Z711" s="238"/>
      <c r="AA711" s="238"/>
      <c r="AB711" s="238"/>
      <c r="AC711" s="378">
        <f t="shared" si="365"/>
        <v>0</v>
      </c>
      <c r="AD711" s="214"/>
      <c r="AE711" s="241"/>
      <c r="AF711" s="194"/>
      <c r="AG711" s="194"/>
      <c r="AH711" s="194"/>
      <c r="AI711" s="194"/>
    </row>
    <row r="712">
      <c r="A712" s="379"/>
      <c r="B712" s="195"/>
      <c r="C712" s="196">
        <v>21.0</v>
      </c>
      <c r="D712" s="744" t="s">
        <v>861</v>
      </c>
      <c r="E712" s="198" t="s">
        <v>186</v>
      </c>
      <c r="F712" s="198" t="s">
        <v>305</v>
      </c>
      <c r="G712" s="198" t="s">
        <v>92</v>
      </c>
      <c r="H712" s="198" t="s">
        <v>306</v>
      </c>
      <c r="I712" s="198" t="s">
        <v>187</v>
      </c>
      <c r="J712" s="198" t="s">
        <v>188</v>
      </c>
      <c r="K712" s="199" t="s">
        <v>735</v>
      </c>
      <c r="L712" s="347">
        <v>7.6481067568E10</v>
      </c>
      <c r="M712" s="746" t="s">
        <v>862</v>
      </c>
      <c r="N712" s="747"/>
      <c r="O712" s="747">
        <v>45323.0</v>
      </c>
      <c r="P712" s="747">
        <v>45688.0</v>
      </c>
      <c r="Q712" s="204">
        <v>6.247247245766667E9</v>
      </c>
      <c r="R712" s="204">
        <v>6.247247245766667E9</v>
      </c>
      <c r="S712" s="204">
        <v>6.247247245766667E9</v>
      </c>
      <c r="T712" s="204">
        <v>6.247247245766667E9</v>
      </c>
      <c r="U712" s="204">
        <v>6.247247245766667E9</v>
      </c>
      <c r="V712" s="204">
        <v>6.247247245766667E9</v>
      </c>
      <c r="W712" s="204">
        <v>6.247247245766667E9</v>
      </c>
      <c r="X712" s="204">
        <v>6.247247245766667E9</v>
      </c>
      <c r="Y712" s="204">
        <v>6.247247245766667E9</v>
      </c>
      <c r="Z712" s="204">
        <v>6.247247245766667E9</v>
      </c>
      <c r="AA712" s="204">
        <v>6.247247245766667E9</v>
      </c>
      <c r="AB712" s="204">
        <v>6.247247245766667E9</v>
      </c>
      <c r="AC712" s="205">
        <v>7.496696694920001E10</v>
      </c>
      <c r="AD712" s="178">
        <f>SUM(Q712:AB712)-AC712</f>
        <v>0</v>
      </c>
      <c r="AE712" s="241"/>
      <c r="AF712" s="725">
        <v>7.4966966949E10</v>
      </c>
      <c r="AG712" s="194"/>
      <c r="AH712" s="194"/>
      <c r="AI712" s="194"/>
    </row>
    <row r="713" hidden="1">
      <c r="A713" s="126"/>
      <c r="B713" s="195"/>
      <c r="C713" s="206"/>
      <c r="D713" s="220" t="s">
        <v>854</v>
      </c>
      <c r="E713" s="260"/>
      <c r="F713" s="207"/>
      <c r="G713" s="260"/>
      <c r="H713" s="206"/>
      <c r="I713" s="206"/>
      <c r="J713" s="206"/>
      <c r="K713" s="206" t="s">
        <v>735</v>
      </c>
      <c r="L713" s="277"/>
      <c r="M713" s="244"/>
      <c r="N713" s="389"/>
      <c r="O713" s="389"/>
      <c r="P713" s="389">
        <f>P712</f>
        <v>45688</v>
      </c>
      <c r="Q713" s="748">
        <v>1.2172520488E10</v>
      </c>
      <c r="R713" s="749"/>
      <c r="S713" s="749"/>
      <c r="T713" s="749"/>
      <c r="U713" s="749"/>
      <c r="V713" s="749"/>
      <c r="W713" s="749"/>
      <c r="X713" s="749"/>
      <c r="Y713" s="749"/>
      <c r="Z713" s="749"/>
      <c r="AA713" s="749"/>
      <c r="AB713" s="749"/>
      <c r="AC713" s="637">
        <f t="shared" ref="AC713:AC721" si="366">SUM(Q713:AB713)</f>
        <v>12172520488</v>
      </c>
      <c r="AD713" s="214"/>
      <c r="AE713" s="192"/>
      <c r="AF713" s="194"/>
      <c r="AG713" s="194"/>
      <c r="AH713" s="194"/>
      <c r="AI713" s="194"/>
    </row>
    <row r="714" hidden="1">
      <c r="A714" s="126"/>
      <c r="B714" s="195"/>
      <c r="C714" s="222"/>
      <c r="D714" s="250" t="s">
        <v>863</v>
      </c>
      <c r="E714" s="233"/>
      <c r="F714" s="224"/>
      <c r="G714" s="233"/>
      <c r="H714" s="222"/>
      <c r="I714" s="222"/>
      <c r="J714" s="222"/>
      <c r="K714" s="222" t="s">
        <v>735</v>
      </c>
      <c r="L714" s="225"/>
      <c r="M714" s="383"/>
      <c r="N714" s="285"/>
      <c r="O714" s="285"/>
      <c r="P714" s="285"/>
      <c r="Q714" s="750">
        <v>1.2100634552E10</v>
      </c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231">
        <f t="shared" si="366"/>
        <v>12100634552</v>
      </c>
      <c r="AD714" s="214"/>
      <c r="AE714" s="241"/>
      <c r="AF714" s="194"/>
      <c r="AG714" s="194"/>
      <c r="AH714" s="194"/>
      <c r="AI714" s="194"/>
    </row>
    <row r="715" hidden="1">
      <c r="A715" s="126"/>
      <c r="B715" s="392"/>
      <c r="C715" s="196"/>
      <c r="D715" s="286" t="s">
        <v>194</v>
      </c>
      <c r="E715" s="527"/>
      <c r="F715" s="527"/>
      <c r="G715" s="527"/>
      <c r="H715" s="510"/>
      <c r="I715" s="510"/>
      <c r="J715" s="511"/>
      <c r="K715" s="222" t="s">
        <v>735</v>
      </c>
      <c r="L715" s="457"/>
      <c r="M715" s="751"/>
      <c r="N715" s="752"/>
      <c r="O715" s="752"/>
      <c r="P715" s="752"/>
      <c r="Q715" s="750">
        <v>1.2100634552E10</v>
      </c>
      <c r="R715" s="452"/>
      <c r="S715" s="452"/>
      <c r="T715" s="452"/>
      <c r="U715" s="452"/>
      <c r="V715" s="452"/>
      <c r="W715" s="452"/>
      <c r="X715" s="452"/>
      <c r="Y715" s="452"/>
      <c r="Z715" s="452"/>
      <c r="AA715" s="452"/>
      <c r="AB715" s="452"/>
      <c r="AC715" s="378">
        <f t="shared" si="366"/>
        <v>12100634552</v>
      </c>
      <c r="AD715" s="271"/>
      <c r="AE715" s="241"/>
      <c r="AF715" s="194"/>
      <c r="AG715" s="194"/>
      <c r="AH715" s="194"/>
      <c r="AI715" s="194"/>
    </row>
    <row r="716" hidden="1">
      <c r="A716" s="126"/>
      <c r="B716" s="392"/>
      <c r="C716" s="196"/>
      <c r="D716" s="286" t="s">
        <v>864</v>
      </c>
      <c r="E716" s="527"/>
      <c r="F716" s="527"/>
      <c r="G716" s="527"/>
      <c r="H716" s="510"/>
      <c r="I716" s="510"/>
      <c r="J716" s="511"/>
      <c r="K716" s="222" t="s">
        <v>735</v>
      </c>
      <c r="L716" s="457"/>
      <c r="M716" s="751"/>
      <c r="N716" s="752"/>
      <c r="O716" s="752"/>
      <c r="P716" s="752"/>
      <c r="Q716" s="750">
        <v>1.2100634552E10</v>
      </c>
      <c r="R716" s="452"/>
      <c r="S716" s="452"/>
      <c r="T716" s="452"/>
      <c r="U716" s="452"/>
      <c r="V716" s="452"/>
      <c r="W716" s="452"/>
      <c r="X716" s="452"/>
      <c r="Y716" s="452"/>
      <c r="Z716" s="452"/>
      <c r="AA716" s="452"/>
      <c r="AB716" s="452"/>
      <c r="AC716" s="378">
        <f t="shared" si="366"/>
        <v>12100634552</v>
      </c>
      <c r="AD716" s="271"/>
      <c r="AE716" s="241"/>
      <c r="AF716" s="194"/>
      <c r="AG716" s="194"/>
      <c r="AH716" s="194"/>
      <c r="AI716" s="194"/>
    </row>
    <row r="717">
      <c r="A717" s="126"/>
      <c r="B717" s="591"/>
      <c r="C717" s="394">
        <v>22.0</v>
      </c>
      <c r="D717" s="753" t="s">
        <v>865</v>
      </c>
      <c r="E717" s="198" t="s">
        <v>186</v>
      </c>
      <c r="F717" s="198" t="s">
        <v>305</v>
      </c>
      <c r="G717" s="198" t="s">
        <v>92</v>
      </c>
      <c r="H717" s="198" t="s">
        <v>306</v>
      </c>
      <c r="I717" s="198" t="s">
        <v>187</v>
      </c>
      <c r="J717" s="198" t="s">
        <v>188</v>
      </c>
      <c r="K717" s="529" t="s">
        <v>735</v>
      </c>
      <c r="L717" s="436">
        <v>4.71E10</v>
      </c>
      <c r="M717" s="479" t="s">
        <v>866</v>
      </c>
      <c r="N717" s="438"/>
      <c r="O717" s="438">
        <v>45658.0</v>
      </c>
      <c r="P717" s="438">
        <v>46022.0</v>
      </c>
      <c r="Q717" s="710"/>
      <c r="R717" s="710"/>
      <c r="S717" s="710"/>
      <c r="T717" s="710"/>
      <c r="U717" s="710"/>
      <c r="V717" s="710"/>
      <c r="W717" s="710"/>
      <c r="X717" s="710"/>
      <c r="Y717" s="710"/>
      <c r="Z717" s="710"/>
      <c r="AA717" s="710"/>
      <c r="AB717" s="710"/>
      <c r="AC717" s="440">
        <f t="shared" si="366"/>
        <v>0</v>
      </c>
      <c r="AD717" s="420"/>
      <c r="AE717" s="241"/>
      <c r="AF717" s="754"/>
      <c r="AG717" s="194"/>
      <c r="AH717" s="194"/>
      <c r="AI717" s="194"/>
    </row>
    <row r="718" hidden="1">
      <c r="A718" s="126"/>
      <c r="B718" s="591"/>
      <c r="C718" s="755"/>
      <c r="D718" s="756" t="s">
        <v>867</v>
      </c>
      <c r="E718" s="757"/>
      <c r="F718" s="758"/>
      <c r="G718" s="757"/>
      <c r="H718" s="759"/>
      <c r="I718" s="759"/>
      <c r="J718" s="760"/>
      <c r="K718" s="761" t="s">
        <v>735</v>
      </c>
      <c r="L718" s="762"/>
      <c r="M718" s="763"/>
      <c r="N718" s="764"/>
      <c r="O718" s="764"/>
      <c r="P718" s="764">
        <f>P717</f>
        <v>46022</v>
      </c>
      <c r="Q718" s="448">
        <v>3.925E9</v>
      </c>
      <c r="R718" s="448">
        <v>3.925E9</v>
      </c>
      <c r="S718" s="448">
        <v>3.925E9</v>
      </c>
      <c r="T718" s="448">
        <v>3.925E9</v>
      </c>
      <c r="U718" s="448">
        <v>3.925E9</v>
      </c>
      <c r="V718" s="448">
        <v>3.925E9</v>
      </c>
      <c r="W718" s="448">
        <v>3.925E9</v>
      </c>
      <c r="X718" s="448">
        <v>3.925E9</v>
      </c>
      <c r="Y718" s="448">
        <v>3.925E9</v>
      </c>
      <c r="Z718" s="448">
        <v>3.925E9</v>
      </c>
      <c r="AA718" s="448">
        <v>3.925E9</v>
      </c>
      <c r="AB718" s="448">
        <v>3.925E9</v>
      </c>
      <c r="AC718" s="449">
        <f t="shared" si="366"/>
        <v>47100000000</v>
      </c>
      <c r="AD718" s="420"/>
      <c r="AE718" s="241"/>
      <c r="AF718" s="194"/>
      <c r="AG718" s="194"/>
      <c r="AH718" s="194"/>
      <c r="AI718" s="194"/>
    </row>
    <row r="719" hidden="1">
      <c r="A719" s="126"/>
      <c r="B719" s="591"/>
      <c r="C719" s="765"/>
      <c r="D719" s="250" t="s">
        <v>868</v>
      </c>
      <c r="E719" s="766"/>
      <c r="F719" s="767"/>
      <c r="G719" s="766"/>
      <c r="H719" s="768"/>
      <c r="I719" s="768"/>
      <c r="J719" s="416"/>
      <c r="K719" s="222" t="s">
        <v>735</v>
      </c>
      <c r="L719" s="769"/>
      <c r="M719" s="770"/>
      <c r="N719" s="771"/>
      <c r="O719" s="771"/>
      <c r="P719" s="771"/>
      <c r="Q719" s="600">
        <v>2.338964322E9</v>
      </c>
      <c r="R719" s="600">
        <v>3.138964994E9</v>
      </c>
      <c r="S719" s="600">
        <v>4.058407952E9</v>
      </c>
      <c r="T719" s="600">
        <v>3.9803006E9</v>
      </c>
      <c r="U719" s="229">
        <v>3.292104E9</v>
      </c>
      <c r="V719" s="229">
        <v>4.2E9</v>
      </c>
      <c r="W719" s="600"/>
      <c r="X719" s="600"/>
      <c r="Y719" s="600"/>
      <c r="Z719" s="600"/>
      <c r="AA719" s="772"/>
      <c r="AB719" s="772"/>
      <c r="AC719" s="538">
        <f t="shared" si="366"/>
        <v>21008741868</v>
      </c>
      <c r="AD719" s="420"/>
      <c r="AE719" s="241"/>
      <c r="AF719" s="194"/>
      <c r="AG719" s="194"/>
      <c r="AH719" s="194"/>
      <c r="AI719" s="194"/>
    </row>
    <row r="720" hidden="1">
      <c r="A720" s="126"/>
      <c r="B720" s="591"/>
      <c r="C720" s="394"/>
      <c r="D720" s="286" t="s">
        <v>194</v>
      </c>
      <c r="E720" s="773"/>
      <c r="F720" s="767"/>
      <c r="G720" s="773"/>
      <c r="H720" s="774"/>
      <c r="I720" s="774"/>
      <c r="J720" s="416"/>
      <c r="K720" s="222" t="s">
        <v>735</v>
      </c>
      <c r="L720" s="457"/>
      <c r="M720" s="473"/>
      <c r="N720" s="459"/>
      <c r="O720" s="459"/>
      <c r="P720" s="459"/>
      <c r="Q720" s="600">
        <v>2.338964322E9</v>
      </c>
      <c r="R720" s="600">
        <v>3.138964994E9</v>
      </c>
      <c r="S720" s="600">
        <v>4.058407952E9</v>
      </c>
      <c r="T720" s="600">
        <v>3.9803006E9</v>
      </c>
      <c r="U720" s="600"/>
      <c r="V720" s="600"/>
      <c r="W720" s="600"/>
      <c r="X720" s="600"/>
      <c r="Y720" s="600"/>
      <c r="Z720" s="600"/>
      <c r="AA720" s="772"/>
      <c r="AB720" s="772"/>
      <c r="AC720" s="378">
        <f t="shared" si="366"/>
        <v>13516637868</v>
      </c>
      <c r="AD720" s="420"/>
      <c r="AE720" s="241"/>
      <c r="AF720" s="194"/>
      <c r="AG720" s="194"/>
      <c r="AH720" s="194"/>
      <c r="AI720" s="194"/>
    </row>
    <row r="721" hidden="1">
      <c r="A721" s="126"/>
      <c r="B721" s="591"/>
      <c r="C721" s="394"/>
      <c r="D721" s="286" t="s">
        <v>869</v>
      </c>
      <c r="E721" s="773"/>
      <c r="F721" s="767"/>
      <c r="G721" s="773"/>
      <c r="H721" s="774"/>
      <c r="I721" s="774"/>
      <c r="J721" s="416"/>
      <c r="K721" s="222" t="s">
        <v>735</v>
      </c>
      <c r="L721" s="457"/>
      <c r="M721" s="473"/>
      <c r="N721" s="459"/>
      <c r="O721" s="459"/>
      <c r="P721" s="459"/>
      <c r="Q721" s="600">
        <v>2.338964322E9</v>
      </c>
      <c r="R721" s="600">
        <v>3.138964994E9</v>
      </c>
      <c r="S721" s="600">
        <v>4.058407952E9</v>
      </c>
      <c r="T721" s="600">
        <v>3.9803006E9</v>
      </c>
      <c r="U721" s="600"/>
      <c r="V721" s="600"/>
      <c r="W721" s="600"/>
      <c r="X721" s="600"/>
      <c r="Y721" s="600"/>
      <c r="Z721" s="600"/>
      <c r="AA721" s="772"/>
      <c r="AB721" s="772"/>
      <c r="AC721" s="378">
        <f t="shared" si="366"/>
        <v>13516637868</v>
      </c>
      <c r="AD721" s="420"/>
      <c r="AE721" s="241"/>
      <c r="AF721" s="194"/>
      <c r="AG721" s="194"/>
      <c r="AH721" s="194"/>
      <c r="AI721" s="194"/>
    </row>
    <row r="722">
      <c r="A722" s="126"/>
      <c r="B722" s="195"/>
      <c r="C722" s="196">
        <v>23.0</v>
      </c>
      <c r="D722" s="354" t="s">
        <v>870</v>
      </c>
      <c r="E722" s="198" t="s">
        <v>186</v>
      </c>
      <c r="F722" s="198" t="s">
        <v>305</v>
      </c>
      <c r="G722" s="198" t="s">
        <v>92</v>
      </c>
      <c r="H722" s="198" t="s">
        <v>306</v>
      </c>
      <c r="I722" s="198" t="s">
        <v>187</v>
      </c>
      <c r="J722" s="198" t="s">
        <v>188</v>
      </c>
      <c r="K722" s="199" t="s">
        <v>735</v>
      </c>
      <c r="L722" s="436">
        <v>7.04818E9</v>
      </c>
      <c r="M722" s="201" t="s">
        <v>871</v>
      </c>
      <c r="N722" s="541"/>
      <c r="O722" s="541">
        <v>45566.0</v>
      </c>
      <c r="P722" s="541">
        <v>45930.0</v>
      </c>
      <c r="Q722" s="204">
        <v>5.361845774020001E8</v>
      </c>
      <c r="R722" s="204">
        <v>5.361845774020001E8</v>
      </c>
      <c r="S722" s="204">
        <v>5.361845774020001E8</v>
      </c>
      <c r="T722" s="204">
        <v>5.361845774020001E8</v>
      </c>
      <c r="U722" s="204">
        <v>5.361845774020001E8</v>
      </c>
      <c r="V722" s="204">
        <v>5.361845774020001E8</v>
      </c>
      <c r="W722" s="204">
        <v>5.361845774020001E8</v>
      </c>
      <c r="X722" s="204">
        <v>5.361845774020001E8</v>
      </c>
      <c r="Y722" s="204">
        <v>5.361845774020001E8</v>
      </c>
      <c r="Z722" s="204">
        <v>5.361845774020001E8</v>
      </c>
      <c r="AA722" s="204">
        <v>5.361845774020001E8</v>
      </c>
      <c r="AB722" s="204">
        <v>5.361845774020001E8</v>
      </c>
      <c r="AC722" s="205">
        <v>6.434214928824002E9</v>
      </c>
      <c r="AD722" s="178">
        <f>SUM(Q722:AB722)-AC722</f>
        <v>0</v>
      </c>
      <c r="AE722" s="241"/>
      <c r="AF722" s="725">
        <v>6.434214929E9</v>
      </c>
      <c r="AG722" s="194"/>
      <c r="AH722" s="194"/>
      <c r="AI722" s="194"/>
    </row>
    <row r="723" hidden="1">
      <c r="A723" s="126"/>
      <c r="B723" s="195"/>
      <c r="C723" s="206"/>
      <c r="D723" s="207"/>
      <c r="E723" s="260"/>
      <c r="F723" s="207"/>
      <c r="G723" s="260"/>
      <c r="H723" s="206"/>
      <c r="I723" s="206"/>
      <c r="J723" s="206"/>
      <c r="K723" s="206" t="s">
        <v>735</v>
      </c>
      <c r="L723" s="217"/>
      <c r="M723" s="209"/>
      <c r="N723" s="367"/>
      <c r="O723" s="367"/>
      <c r="P723" s="367">
        <v>45930.0</v>
      </c>
      <c r="Q723" s="267">
        <v>5.06666666666667E8</v>
      </c>
      <c r="R723" s="267">
        <v>5.06666666666667E8</v>
      </c>
      <c r="S723" s="267">
        <v>5.06666666666667E8</v>
      </c>
      <c r="T723" s="267">
        <v>5.06666666666667E8</v>
      </c>
      <c r="U723" s="267">
        <v>5.06666666666667E8</v>
      </c>
      <c r="V723" s="267">
        <v>5.06666666666667E8</v>
      </c>
      <c r="W723" s="267">
        <v>5.06666666666667E8</v>
      </c>
      <c r="X723" s="267">
        <v>5.06666666666667E8</v>
      </c>
      <c r="Y723" s="267">
        <v>5.06666666666667E8</v>
      </c>
      <c r="Z723" s="212"/>
      <c r="AA723" s="212"/>
      <c r="AB723" s="212"/>
      <c r="AC723" s="637">
        <f t="shared" ref="AC723:AC727" si="367">SUM(Q723:AB723)</f>
        <v>4560000000</v>
      </c>
      <c r="AD723" s="214"/>
      <c r="AE723" s="192"/>
      <c r="AF723" s="194"/>
      <c r="AG723" s="194"/>
      <c r="AH723" s="194"/>
      <c r="AI723" s="194"/>
    </row>
    <row r="724" hidden="1">
      <c r="A724" s="126"/>
      <c r="B724" s="195"/>
      <c r="C724" s="206"/>
      <c r="D724" s="207"/>
      <c r="E724" s="260"/>
      <c r="F724" s="207"/>
      <c r="G724" s="260"/>
      <c r="H724" s="206"/>
      <c r="I724" s="206"/>
      <c r="J724" s="206"/>
      <c r="K724" s="206" t="s">
        <v>735</v>
      </c>
      <c r="L724" s="277"/>
      <c r="M724" s="265"/>
      <c r="N724" s="389"/>
      <c r="O724" s="389">
        <f>P723+1</f>
        <v>45931</v>
      </c>
      <c r="P724" s="389"/>
      <c r="Q724" s="249"/>
      <c r="R724" s="212"/>
      <c r="S724" s="212"/>
      <c r="T724" s="249"/>
      <c r="U724" s="249"/>
      <c r="V724" s="212"/>
      <c r="W724" s="212"/>
      <c r="X724" s="212"/>
      <c r="Y724" s="212"/>
      <c r="Z724" s="212"/>
      <c r="AA724" s="212"/>
      <c r="AB724" s="212"/>
      <c r="AC724" s="637">
        <f t="shared" si="367"/>
        <v>0</v>
      </c>
      <c r="AD724" s="214"/>
      <c r="AE724" s="192"/>
      <c r="AF724" s="194"/>
      <c r="AG724" s="194"/>
      <c r="AH724" s="194"/>
      <c r="AI724" s="194"/>
    </row>
    <row r="725" hidden="1">
      <c r="A725" s="126"/>
      <c r="B725" s="195"/>
      <c r="C725" s="222"/>
      <c r="D725" s="250" t="s">
        <v>872</v>
      </c>
      <c r="E725" s="233"/>
      <c r="F725" s="224"/>
      <c r="G725" s="233"/>
      <c r="H725" s="222"/>
      <c r="I725" s="222"/>
      <c r="J725" s="222"/>
      <c r="K725" s="222" t="s">
        <v>735</v>
      </c>
      <c r="L725" s="225"/>
      <c r="M725" s="383"/>
      <c r="N725" s="285"/>
      <c r="O725" s="285"/>
      <c r="P725" s="285"/>
      <c r="Q725" s="228">
        <v>6.69797415E8</v>
      </c>
      <c r="R725" s="228">
        <v>4.84155245E8</v>
      </c>
      <c r="S725" s="228">
        <v>4.84242395E8</v>
      </c>
      <c r="T725" s="228">
        <v>4.8431295E8</v>
      </c>
      <c r="U725" s="270">
        <v>4.84299756E8</v>
      </c>
      <c r="V725" s="229">
        <v>4.84309303E8</v>
      </c>
      <c r="W725" s="230"/>
      <c r="X725" s="230"/>
      <c r="Y725" s="230"/>
      <c r="Z725" s="230"/>
      <c r="AA725" s="230"/>
      <c r="AB725" s="230"/>
      <c r="AC725" s="231">
        <f t="shared" si="367"/>
        <v>3091117064</v>
      </c>
      <c r="AD725" s="214"/>
      <c r="AE725" s="241"/>
      <c r="AF725" s="194"/>
      <c r="AG725" s="194"/>
      <c r="AH725" s="194"/>
      <c r="AI725" s="194"/>
    </row>
    <row r="726" hidden="1">
      <c r="A726" s="126"/>
      <c r="B726" s="195"/>
      <c r="C726" s="196"/>
      <c r="D726" s="286" t="s">
        <v>194</v>
      </c>
      <c r="E726" s="233"/>
      <c r="F726" s="233"/>
      <c r="G726" s="233"/>
      <c r="H726" s="234"/>
      <c r="I726" s="234"/>
      <c r="J726" s="222"/>
      <c r="K726" s="222" t="s">
        <v>735</v>
      </c>
      <c r="L726" s="715"/>
      <c r="M726" s="255"/>
      <c r="N726" s="365"/>
      <c r="O726" s="365"/>
      <c r="P726" s="365"/>
      <c r="Q726" s="228">
        <v>6.69797415E8</v>
      </c>
      <c r="R726" s="228">
        <v>4.84155245E8</v>
      </c>
      <c r="S726" s="228">
        <v>4.84242395E8</v>
      </c>
      <c r="T726" s="228">
        <v>4.8431295E8</v>
      </c>
      <c r="U726" s="229">
        <v>4.84299756E8</v>
      </c>
      <c r="V726" s="238"/>
      <c r="W726" s="238"/>
      <c r="X726" s="238"/>
      <c r="Y726" s="238"/>
      <c r="Z726" s="238"/>
      <c r="AA726" s="238"/>
      <c r="AB726" s="238"/>
      <c r="AC726" s="378">
        <f t="shared" si="367"/>
        <v>2606807761</v>
      </c>
      <c r="AD726" s="214"/>
      <c r="AE726" s="241"/>
      <c r="AF726" s="194"/>
      <c r="AG726" s="194"/>
      <c r="AH726" s="194"/>
      <c r="AI726" s="194"/>
    </row>
    <row r="727" hidden="1">
      <c r="A727" s="126"/>
      <c r="B727" s="195"/>
      <c r="C727" s="196"/>
      <c r="D727" s="286" t="s">
        <v>873</v>
      </c>
      <c r="E727" s="233"/>
      <c r="F727" s="233"/>
      <c r="G727" s="233"/>
      <c r="H727" s="234"/>
      <c r="I727" s="234"/>
      <c r="J727" s="222"/>
      <c r="K727" s="222" t="s">
        <v>735</v>
      </c>
      <c r="L727" s="715"/>
      <c r="M727" s="255"/>
      <c r="N727" s="365"/>
      <c r="O727" s="365"/>
      <c r="P727" s="365"/>
      <c r="Q727" s="228">
        <v>6.69797415E8</v>
      </c>
      <c r="R727" s="228">
        <v>4.84155245E8</v>
      </c>
      <c r="S727" s="228">
        <v>4.84242395E8</v>
      </c>
      <c r="T727" s="228">
        <v>4.8431295E8</v>
      </c>
      <c r="U727" s="238"/>
      <c r="V727" s="238"/>
      <c r="W727" s="238"/>
      <c r="X727" s="238"/>
      <c r="Y727" s="238"/>
      <c r="Z727" s="238"/>
      <c r="AA727" s="238"/>
      <c r="AB727" s="238"/>
      <c r="AC727" s="378">
        <f t="shared" si="367"/>
        <v>2122508005</v>
      </c>
      <c r="AD727" s="214"/>
      <c r="AE727" s="241"/>
      <c r="AF727" s="194"/>
      <c r="AG727" s="194"/>
      <c r="AH727" s="194"/>
      <c r="AI727" s="194"/>
    </row>
    <row r="728">
      <c r="A728" s="126"/>
      <c r="B728" s="195"/>
      <c r="C728" s="196">
        <v>24.0</v>
      </c>
      <c r="D728" s="354" t="s">
        <v>874</v>
      </c>
      <c r="E728" s="198" t="s">
        <v>186</v>
      </c>
      <c r="F728" s="198" t="s">
        <v>305</v>
      </c>
      <c r="G728" s="198" t="s">
        <v>92</v>
      </c>
      <c r="H728" s="198" t="s">
        <v>306</v>
      </c>
      <c r="I728" s="198" t="s">
        <v>187</v>
      </c>
      <c r="J728" s="198" t="s">
        <v>188</v>
      </c>
      <c r="K728" s="199" t="s">
        <v>735</v>
      </c>
      <c r="L728" s="436">
        <v>3.005E9</v>
      </c>
      <c r="M728" s="201" t="s">
        <v>875</v>
      </c>
      <c r="N728" s="541"/>
      <c r="O728" s="541">
        <v>45505.0</v>
      </c>
      <c r="P728" s="541">
        <v>45869.0</v>
      </c>
      <c r="Q728" s="204">
        <v>2.4807824001000008E8</v>
      </c>
      <c r="R728" s="204">
        <v>2.4807824001000008E8</v>
      </c>
      <c r="S728" s="204">
        <v>2.4807824001000008E8</v>
      </c>
      <c r="T728" s="204">
        <v>2.4807824001000008E8</v>
      </c>
      <c r="U728" s="204">
        <v>2.4807824001000008E8</v>
      </c>
      <c r="V728" s="204">
        <v>2.4807824001000008E8</v>
      </c>
      <c r="W728" s="204">
        <v>2.4807824001000008E8</v>
      </c>
      <c r="X728" s="204">
        <v>2.4807824001000008E8</v>
      </c>
      <c r="Y728" s="204">
        <v>2.4807824001000008E8</v>
      </c>
      <c r="Z728" s="204">
        <v>2.4807824001000008E8</v>
      </c>
      <c r="AA728" s="204">
        <v>2.4807824001000008E8</v>
      </c>
      <c r="AB728" s="204">
        <v>2.4807824001000008E8</v>
      </c>
      <c r="AC728" s="205">
        <v>2.9769388801200013E9</v>
      </c>
      <c r="AD728" s="178">
        <f>SUM(Q728:AB728)-AC728</f>
        <v>0</v>
      </c>
      <c r="AE728" s="241"/>
      <c r="AF728" s="725">
        <v>2.97693888E9</v>
      </c>
      <c r="AG728" s="194"/>
      <c r="AH728" s="194"/>
      <c r="AI728" s="194"/>
    </row>
    <row r="729" hidden="1">
      <c r="A729" s="126"/>
      <c r="B729" s="195"/>
      <c r="C729" s="206"/>
      <c r="D729" s="207"/>
      <c r="E729" s="260"/>
      <c r="F729" s="207"/>
      <c r="G729" s="260"/>
      <c r="H729" s="206"/>
      <c r="I729" s="206"/>
      <c r="J729" s="206"/>
      <c r="K729" s="206" t="s">
        <v>735</v>
      </c>
      <c r="L729" s="217"/>
      <c r="M729" s="209"/>
      <c r="N729" s="367"/>
      <c r="O729" s="367"/>
      <c r="P729" s="367">
        <v>45869.0</v>
      </c>
      <c r="Q729" s="267">
        <v>2.50416666E8</v>
      </c>
      <c r="R729" s="267">
        <v>2.50416666E8</v>
      </c>
      <c r="S729" s="267">
        <v>2.50416666E8</v>
      </c>
      <c r="T729" s="267">
        <v>2.50416666E8</v>
      </c>
      <c r="U729" s="267">
        <v>2.50416666E8</v>
      </c>
      <c r="V729" s="267">
        <v>2.50416666E8</v>
      </c>
      <c r="W729" s="267">
        <v>2.50416666E8</v>
      </c>
      <c r="X729" s="212"/>
      <c r="Y729" s="212"/>
      <c r="Z729" s="212"/>
      <c r="AA729" s="212"/>
      <c r="AB729" s="212"/>
      <c r="AC729" s="637">
        <f t="shared" ref="AC729:AC733" si="368">SUM(Q729:AB729)</f>
        <v>1752916662</v>
      </c>
      <c r="AD729" s="214"/>
      <c r="AE729" s="192"/>
      <c r="AF729" s="194"/>
      <c r="AG729" s="194"/>
      <c r="AH729" s="194"/>
      <c r="AI729" s="194"/>
    </row>
    <row r="730" hidden="1">
      <c r="A730" s="126"/>
      <c r="B730" s="195"/>
      <c r="C730" s="206"/>
      <c r="D730" s="220" t="s">
        <v>876</v>
      </c>
      <c r="E730" s="260"/>
      <c r="F730" s="207"/>
      <c r="G730" s="260"/>
      <c r="H730" s="206"/>
      <c r="I730" s="206"/>
      <c r="J730" s="206"/>
      <c r="K730" s="206" t="s">
        <v>735</v>
      </c>
      <c r="L730" s="775"/>
      <c r="M730" s="265"/>
      <c r="N730" s="210"/>
      <c r="O730" s="210">
        <f>P729+1</f>
        <v>45870</v>
      </c>
      <c r="P730" s="210"/>
      <c r="Q730" s="776"/>
      <c r="R730" s="776"/>
      <c r="S730" s="777"/>
      <c r="T730" s="776"/>
      <c r="U730" s="776"/>
      <c r="V730" s="777"/>
      <c r="W730" s="777"/>
      <c r="X730" s="777"/>
      <c r="Y730" s="777"/>
      <c r="Z730" s="777"/>
      <c r="AA730" s="777"/>
      <c r="AB730" s="777"/>
      <c r="AC730" s="637">
        <f t="shared" si="368"/>
        <v>0</v>
      </c>
      <c r="AD730" s="214"/>
      <c r="AE730" s="192"/>
      <c r="AF730" s="194"/>
      <c r="AG730" s="194"/>
      <c r="AH730" s="194"/>
      <c r="AI730" s="194"/>
    </row>
    <row r="731" hidden="1">
      <c r="A731" s="126"/>
      <c r="B731" s="195"/>
      <c r="C731" s="222"/>
      <c r="D731" s="250" t="s">
        <v>877</v>
      </c>
      <c r="E731" s="233"/>
      <c r="F731" s="224"/>
      <c r="G731" s="233"/>
      <c r="H731" s="222"/>
      <c r="I731" s="222"/>
      <c r="J731" s="222"/>
      <c r="K731" s="222" t="s">
        <v>735</v>
      </c>
      <c r="L731" s="225"/>
      <c r="M731" s="383"/>
      <c r="N731" s="285"/>
      <c r="O731" s="285"/>
      <c r="P731" s="285"/>
      <c r="Q731" s="228">
        <v>2.41711809E8</v>
      </c>
      <c r="R731" s="228">
        <v>2.41711709E8</v>
      </c>
      <c r="S731" s="228">
        <v>1.69294909E8</v>
      </c>
      <c r="T731" s="228">
        <v>1.69294909E8</v>
      </c>
      <c r="U731" s="228">
        <v>1.69294909E8</v>
      </c>
      <c r="V731" s="229">
        <v>1.69294909E8</v>
      </c>
      <c r="W731" s="230"/>
      <c r="X731" s="230"/>
      <c r="Y731" s="230"/>
      <c r="Z731" s="230"/>
      <c r="AA731" s="230"/>
      <c r="AB731" s="230"/>
      <c r="AC731" s="231">
        <f t="shared" si="368"/>
        <v>1160603154</v>
      </c>
      <c r="AD731" s="214"/>
      <c r="AE731" s="241"/>
      <c r="AF731" s="194"/>
      <c r="AG731" s="194"/>
      <c r="AH731" s="194"/>
      <c r="AI731" s="194"/>
    </row>
    <row r="732" hidden="1">
      <c r="A732" s="126"/>
      <c r="B732" s="195"/>
      <c r="C732" s="196"/>
      <c r="D732" s="286" t="s">
        <v>194</v>
      </c>
      <c r="E732" s="233"/>
      <c r="F732" s="233"/>
      <c r="G732" s="233"/>
      <c r="H732" s="234"/>
      <c r="I732" s="234"/>
      <c r="J732" s="222"/>
      <c r="K732" s="222" t="s">
        <v>735</v>
      </c>
      <c r="L732" s="346"/>
      <c r="M732" s="742"/>
      <c r="N732" s="743"/>
      <c r="O732" s="743"/>
      <c r="P732" s="743"/>
      <c r="Q732" s="228">
        <v>2.41711809E8</v>
      </c>
      <c r="R732" s="228">
        <v>2.41711709E8</v>
      </c>
      <c r="S732" s="228">
        <v>1.69294909E8</v>
      </c>
      <c r="T732" s="228">
        <v>1.69294909E8</v>
      </c>
      <c r="U732" s="228">
        <v>1.69294909E8</v>
      </c>
      <c r="V732" s="238"/>
      <c r="W732" s="238"/>
      <c r="X732" s="238"/>
      <c r="Y732" s="238"/>
      <c r="Z732" s="238"/>
      <c r="AA732" s="238"/>
      <c r="AB732" s="238"/>
      <c r="AC732" s="378">
        <f t="shared" si="368"/>
        <v>991308245</v>
      </c>
      <c r="AD732" s="214"/>
      <c r="AE732" s="241"/>
      <c r="AF732" s="194"/>
      <c r="AG732" s="194"/>
      <c r="AH732" s="194"/>
      <c r="AI732" s="194"/>
    </row>
    <row r="733" hidden="1">
      <c r="A733" s="126"/>
      <c r="B733" s="195"/>
      <c r="C733" s="196"/>
      <c r="D733" s="286" t="s">
        <v>878</v>
      </c>
      <c r="E733" s="233"/>
      <c r="F733" s="233"/>
      <c r="G733" s="233"/>
      <c r="H733" s="234"/>
      <c r="I733" s="234"/>
      <c r="J733" s="222"/>
      <c r="K733" s="222" t="s">
        <v>735</v>
      </c>
      <c r="L733" s="346"/>
      <c r="M733" s="742"/>
      <c r="N733" s="743"/>
      <c r="O733" s="743"/>
      <c r="P733" s="743"/>
      <c r="Q733" s="228">
        <v>2.41711809E8</v>
      </c>
      <c r="R733" s="228">
        <v>2.41711709E8</v>
      </c>
      <c r="S733" s="228">
        <v>1.69294909E8</v>
      </c>
      <c r="T733" s="228">
        <v>1.69294909E8</v>
      </c>
      <c r="U733" s="228">
        <v>1.69294909E8</v>
      </c>
      <c r="V733" s="238"/>
      <c r="W733" s="238"/>
      <c r="X733" s="238"/>
      <c r="Y733" s="238"/>
      <c r="Z733" s="238"/>
      <c r="AA733" s="238"/>
      <c r="AB733" s="238"/>
      <c r="AC733" s="378">
        <f t="shared" si="368"/>
        <v>991308245</v>
      </c>
      <c r="AD733" s="214"/>
      <c r="AE733" s="241"/>
      <c r="AF733" s="194"/>
      <c r="AG733" s="194"/>
      <c r="AH733" s="194"/>
      <c r="AI733" s="194"/>
    </row>
    <row r="734">
      <c r="A734" s="126"/>
      <c r="B734" s="195"/>
      <c r="C734" s="196">
        <v>25.0</v>
      </c>
      <c r="D734" s="354" t="s">
        <v>879</v>
      </c>
      <c r="E734" s="198" t="s">
        <v>186</v>
      </c>
      <c r="F734" s="198" t="s">
        <v>305</v>
      </c>
      <c r="G734" s="198" t="s">
        <v>92</v>
      </c>
      <c r="H734" s="198" t="s">
        <v>306</v>
      </c>
      <c r="I734" s="198" t="s">
        <v>187</v>
      </c>
      <c r="J734" s="198" t="s">
        <v>188</v>
      </c>
      <c r="K734" s="199" t="s">
        <v>735</v>
      </c>
      <c r="L734" s="347">
        <v>9.009009009E9</v>
      </c>
      <c r="M734" s="746" t="s">
        <v>880</v>
      </c>
      <c r="N734" s="747"/>
      <c r="O734" s="747">
        <v>45292.0</v>
      </c>
      <c r="P734" s="747">
        <v>46022.0</v>
      </c>
      <c r="Q734" s="204">
        <v>4.32912987E8</v>
      </c>
      <c r="R734" s="204">
        <v>4.32912987E8</v>
      </c>
      <c r="S734" s="204">
        <v>4.32912987E8</v>
      </c>
      <c r="T734" s="204">
        <v>4.32912987E8</v>
      </c>
      <c r="U734" s="204">
        <v>4.32912987E8</v>
      </c>
      <c r="V734" s="204">
        <v>4.32912987E8</v>
      </c>
      <c r="W734" s="204">
        <v>4.32912987E8</v>
      </c>
      <c r="X734" s="204">
        <v>4.32912987E8</v>
      </c>
      <c r="Y734" s="204">
        <v>4.32912987E8</v>
      </c>
      <c r="Z734" s="204">
        <v>4.32912987E8</v>
      </c>
      <c r="AA734" s="204">
        <v>4.32912987E8</v>
      </c>
      <c r="AB734" s="204">
        <v>4.32912987E8</v>
      </c>
      <c r="AC734" s="205">
        <v>5.194955844E9</v>
      </c>
      <c r="AD734" s="178">
        <f>SUM(Q734:AB734)-AC734</f>
        <v>0</v>
      </c>
      <c r="AE734" s="241"/>
      <c r="AF734" s="725">
        <v>5.194955844E9</v>
      </c>
      <c r="AG734" s="194"/>
      <c r="AH734" s="194"/>
      <c r="AI734" s="194"/>
    </row>
    <row r="735" hidden="1">
      <c r="A735" s="126"/>
      <c r="B735" s="195"/>
      <c r="C735" s="206"/>
      <c r="D735" s="207"/>
      <c r="E735" s="260"/>
      <c r="F735" s="207"/>
      <c r="G735" s="260"/>
      <c r="H735" s="206"/>
      <c r="I735" s="206"/>
      <c r="J735" s="206"/>
      <c r="K735" s="206" t="s">
        <v>735</v>
      </c>
      <c r="L735" s="277"/>
      <c r="M735" s="244"/>
      <c r="N735" s="389"/>
      <c r="O735" s="389"/>
      <c r="P735" s="389">
        <f>P734</f>
        <v>46022</v>
      </c>
      <c r="Q735" s="249">
        <v>3.75375375E8</v>
      </c>
      <c r="R735" s="249">
        <v>3.75375375E8</v>
      </c>
      <c r="S735" s="249">
        <v>3.75375375E8</v>
      </c>
      <c r="T735" s="249">
        <v>3.75375375E8</v>
      </c>
      <c r="U735" s="249">
        <v>3.75375375E8</v>
      </c>
      <c r="V735" s="249">
        <v>3.75375375E8</v>
      </c>
      <c r="W735" s="249">
        <v>3.75375375E8</v>
      </c>
      <c r="X735" s="249">
        <v>3.75375375E8</v>
      </c>
      <c r="Y735" s="249">
        <v>3.75375375E8</v>
      </c>
      <c r="Z735" s="249">
        <v>3.75375375E8</v>
      </c>
      <c r="AA735" s="249">
        <v>3.75375375E8</v>
      </c>
      <c r="AB735" s="249">
        <v>3.75375375E8</v>
      </c>
      <c r="AC735" s="213">
        <f t="shared" ref="AC735:AC738" si="369">SUM(Q735:AB735)</f>
        <v>4504504500</v>
      </c>
      <c r="AD735" s="214"/>
      <c r="AE735" s="192"/>
      <c r="AF735" s="194"/>
      <c r="AG735" s="194"/>
      <c r="AH735" s="194"/>
      <c r="AI735" s="194"/>
    </row>
    <row r="736" hidden="1">
      <c r="A736" s="126"/>
      <c r="B736" s="195"/>
      <c r="C736" s="222"/>
      <c r="D736" s="250" t="s">
        <v>881</v>
      </c>
      <c r="E736" s="233"/>
      <c r="F736" s="224"/>
      <c r="G736" s="233"/>
      <c r="H736" s="222"/>
      <c r="I736" s="222"/>
      <c r="J736" s="222"/>
      <c r="K736" s="222" t="s">
        <v>735</v>
      </c>
      <c r="L736" s="225"/>
      <c r="M736" s="383"/>
      <c r="N736" s="285"/>
      <c r="O736" s="285"/>
      <c r="P736" s="285"/>
      <c r="Q736" s="228">
        <v>2.720547E8</v>
      </c>
      <c r="R736" s="228">
        <v>3.1587415E8</v>
      </c>
      <c r="S736" s="230">
        <f t="shared" ref="S736:S738" si="370">313763589/1.11</f>
        <v>282669900</v>
      </c>
      <c r="T736" s="228">
        <v>2.84408E8</v>
      </c>
      <c r="U736" s="228">
        <v>2.837855E8</v>
      </c>
      <c r="V736" s="229">
        <v>3.142693E8</v>
      </c>
      <c r="W736" s="230"/>
      <c r="X736" s="230"/>
      <c r="Y736" s="230"/>
      <c r="Z736" s="230"/>
      <c r="AA736" s="230"/>
      <c r="AB736" s="230"/>
      <c r="AC736" s="231">
        <f t="shared" si="369"/>
        <v>1753061550</v>
      </c>
      <c r="AD736" s="214"/>
      <c r="AE736" s="241"/>
      <c r="AF736" s="194"/>
      <c r="AG736" s="194"/>
      <c r="AH736" s="194"/>
      <c r="AI736" s="194"/>
    </row>
    <row r="737" hidden="1">
      <c r="A737" s="126"/>
      <c r="B737" s="195"/>
      <c r="C737" s="196"/>
      <c r="D737" s="286" t="s">
        <v>194</v>
      </c>
      <c r="E737" s="233"/>
      <c r="F737" s="233"/>
      <c r="G737" s="233"/>
      <c r="H737" s="234"/>
      <c r="I737" s="234"/>
      <c r="J737" s="222"/>
      <c r="K737" s="222" t="s">
        <v>735</v>
      </c>
      <c r="L737" s="778"/>
      <c r="M737" s="255"/>
      <c r="N737" s="365"/>
      <c r="O737" s="365"/>
      <c r="P737" s="365"/>
      <c r="Q737" s="228">
        <v>2.720547E8</v>
      </c>
      <c r="R737" s="228">
        <v>3.1587415E8</v>
      </c>
      <c r="S737" s="230">
        <f t="shared" si="370"/>
        <v>282669900</v>
      </c>
      <c r="T737" s="228">
        <v>2.84408E8</v>
      </c>
      <c r="U737" s="228">
        <v>2.837855E8</v>
      </c>
      <c r="V737" s="238"/>
      <c r="W737" s="238"/>
      <c r="X737" s="238"/>
      <c r="Y737" s="238"/>
      <c r="Z737" s="238"/>
      <c r="AA737" s="238"/>
      <c r="AB737" s="238"/>
      <c r="AC737" s="378">
        <f t="shared" si="369"/>
        <v>1438792250</v>
      </c>
      <c r="AD737" s="214"/>
      <c r="AE737" s="241"/>
      <c r="AF737" s="194"/>
      <c r="AG737" s="194"/>
      <c r="AH737" s="194"/>
      <c r="AI737" s="194"/>
    </row>
    <row r="738" hidden="1">
      <c r="A738" s="126"/>
      <c r="B738" s="195"/>
      <c r="C738" s="196"/>
      <c r="D738" s="286" t="s">
        <v>882</v>
      </c>
      <c r="E738" s="233"/>
      <c r="F738" s="233"/>
      <c r="G738" s="233"/>
      <c r="H738" s="234"/>
      <c r="I738" s="234"/>
      <c r="J738" s="222"/>
      <c r="K738" s="222" t="s">
        <v>735</v>
      </c>
      <c r="L738" s="778"/>
      <c r="M738" s="255"/>
      <c r="N738" s="365"/>
      <c r="O738" s="365"/>
      <c r="P738" s="365"/>
      <c r="Q738" s="228">
        <v>2.720547E8</v>
      </c>
      <c r="R738" s="228">
        <v>3.1587415E8</v>
      </c>
      <c r="S738" s="230">
        <f t="shared" si="370"/>
        <v>282669900</v>
      </c>
      <c r="T738" s="228">
        <v>2.84408E8</v>
      </c>
      <c r="U738" s="228">
        <v>2.837855E8</v>
      </c>
      <c r="V738" s="238"/>
      <c r="W738" s="238"/>
      <c r="X738" s="238"/>
      <c r="Y738" s="238"/>
      <c r="Z738" s="238"/>
      <c r="AA738" s="238"/>
      <c r="AB738" s="238"/>
      <c r="AC738" s="378">
        <f t="shared" si="369"/>
        <v>1438792250</v>
      </c>
      <c r="AD738" s="214"/>
      <c r="AE738" s="241"/>
      <c r="AF738" s="194"/>
      <c r="AG738" s="194"/>
      <c r="AH738" s="194"/>
      <c r="AI738" s="194"/>
    </row>
    <row r="739">
      <c r="A739" s="126"/>
      <c r="B739" s="195"/>
      <c r="C739" s="196">
        <v>26.0</v>
      </c>
      <c r="D739" s="354" t="s">
        <v>883</v>
      </c>
      <c r="E739" s="198" t="s">
        <v>186</v>
      </c>
      <c r="F739" s="198" t="s">
        <v>103</v>
      </c>
      <c r="G739" s="198" t="s">
        <v>132</v>
      </c>
      <c r="H739" s="198" t="s">
        <v>132</v>
      </c>
      <c r="I739" s="198" t="s">
        <v>187</v>
      </c>
      <c r="J739" s="198" t="s">
        <v>188</v>
      </c>
      <c r="K739" s="199" t="s">
        <v>735</v>
      </c>
      <c r="L739" s="339" t="s">
        <v>884</v>
      </c>
      <c r="M739" s="257" t="s">
        <v>885</v>
      </c>
      <c r="N739" s="366"/>
      <c r="O739" s="366">
        <v>45406.0</v>
      </c>
      <c r="P739" s="366">
        <v>45770.0</v>
      </c>
      <c r="Q739" s="204">
        <v>6.217620427602739E8</v>
      </c>
      <c r="R739" s="204">
        <v>5.615915224931507E8</v>
      </c>
      <c r="S739" s="204">
        <v>6.217620427602739E8</v>
      </c>
      <c r="T739" s="204">
        <v>6.017052026712328E8</v>
      </c>
      <c r="U739" s="204">
        <v>6.217620427602739E8</v>
      </c>
      <c r="V739" s="204">
        <v>6.017052026712328E8</v>
      </c>
      <c r="W739" s="204">
        <v>6.217620427602739E8</v>
      </c>
      <c r="X739" s="204">
        <v>6.217620427602739E8</v>
      </c>
      <c r="Y739" s="204">
        <v>6.017052026712328E8</v>
      </c>
      <c r="Z739" s="204">
        <v>6.217620427602739E8</v>
      </c>
      <c r="AA739" s="204">
        <v>6.017052026712328E8</v>
      </c>
      <c r="AB739" s="204">
        <v>6.217620427602739E8</v>
      </c>
      <c r="AC739" s="205">
        <v>7.3207466325E9</v>
      </c>
      <c r="AD739" s="178">
        <f>SUM(Q739:AB739)-AC739</f>
        <v>0</v>
      </c>
      <c r="AE739" s="241"/>
      <c r="AF739" s="725">
        <v>7.320746633E9</v>
      </c>
      <c r="AG739" s="194"/>
      <c r="AH739" s="194"/>
      <c r="AI739" s="194"/>
    </row>
    <row r="740" hidden="1">
      <c r="A740" s="126"/>
      <c r="B740" s="195"/>
      <c r="C740" s="206"/>
      <c r="D740" s="207"/>
      <c r="E740" s="260"/>
      <c r="F740" s="207"/>
      <c r="G740" s="260"/>
      <c r="H740" s="206"/>
      <c r="I740" s="206"/>
      <c r="J740" s="206"/>
      <c r="K740" s="206" t="s">
        <v>735</v>
      </c>
      <c r="L740" s="277"/>
      <c r="M740" s="244"/>
      <c r="N740" s="389"/>
      <c r="O740" s="389"/>
      <c r="P740" s="389">
        <f t="shared" ref="P740:T740" si="371">P739</f>
        <v>45770</v>
      </c>
      <c r="Q740" s="212">
        <f t="shared" si="371"/>
        <v>621762042.8</v>
      </c>
      <c r="R740" s="212">
        <f t="shared" si="371"/>
        <v>561591522.5</v>
      </c>
      <c r="S740" s="212">
        <f t="shared" si="371"/>
        <v>621762042.8</v>
      </c>
      <c r="T740" s="212">
        <f t="shared" si="371"/>
        <v>601705202.7</v>
      </c>
      <c r="U740" s="249"/>
      <c r="V740" s="212"/>
      <c r="W740" s="212"/>
      <c r="X740" s="212"/>
      <c r="Y740" s="212"/>
      <c r="Z740" s="212"/>
      <c r="AA740" s="212"/>
      <c r="AB740" s="212"/>
      <c r="AC740" s="213">
        <f t="shared" ref="AC740:AC745" si="372">SUM(Q740:AB740)</f>
        <v>2406820811</v>
      </c>
      <c r="AD740" s="214"/>
      <c r="AE740" s="192"/>
      <c r="AF740" s="194"/>
      <c r="AG740" s="194"/>
      <c r="AH740" s="194"/>
      <c r="AI740" s="194"/>
    </row>
    <row r="741" hidden="1">
      <c r="A741" s="126"/>
      <c r="B741" s="195"/>
      <c r="C741" s="206"/>
      <c r="D741" s="207"/>
      <c r="E741" s="260"/>
      <c r="F741" s="207"/>
      <c r="G741" s="260"/>
      <c r="H741" s="206"/>
      <c r="I741" s="206"/>
      <c r="J741" s="242"/>
      <c r="K741" s="242" t="s">
        <v>735</v>
      </c>
      <c r="L741" s="779" t="s">
        <v>886</v>
      </c>
      <c r="M741" s="209" t="s">
        <v>887</v>
      </c>
      <c r="N741" s="367"/>
      <c r="O741" s="367">
        <v>45597.0</v>
      </c>
      <c r="P741" s="367">
        <v>46093.0</v>
      </c>
      <c r="Q741" s="212"/>
      <c r="R741" s="212"/>
      <c r="S741" s="212"/>
      <c r="T741" s="212"/>
      <c r="U741" s="249"/>
      <c r="V741" s="212"/>
      <c r="W741" s="212"/>
      <c r="X741" s="212"/>
      <c r="Y741" s="212"/>
      <c r="Z741" s="212"/>
      <c r="AA741" s="212"/>
      <c r="AB741" s="212"/>
      <c r="AC741" s="213">
        <f t="shared" si="372"/>
        <v>0</v>
      </c>
      <c r="AD741" s="214"/>
      <c r="AE741" s="192"/>
      <c r="AF741" s="194"/>
      <c r="AG741" s="194"/>
      <c r="AH741" s="194"/>
      <c r="AI741" s="194"/>
    </row>
    <row r="742" hidden="1">
      <c r="A742" s="391"/>
      <c r="B742" s="392"/>
      <c r="C742" s="206"/>
      <c r="D742" s="207"/>
      <c r="E742" s="260"/>
      <c r="F742" s="207"/>
      <c r="G742" s="260"/>
      <c r="H742" s="206"/>
      <c r="I742" s="206"/>
      <c r="J742" s="242"/>
      <c r="K742" s="242" t="s">
        <v>735</v>
      </c>
      <c r="L742" s="277"/>
      <c r="M742" s="265"/>
      <c r="N742" s="389"/>
      <c r="O742" s="389">
        <f>P740+1</f>
        <v>45771</v>
      </c>
      <c r="P742" s="389"/>
      <c r="Q742" s="249"/>
      <c r="R742" s="249"/>
      <c r="S742" s="249"/>
      <c r="T742" s="249"/>
      <c r="U742" s="212"/>
      <c r="V742" s="212"/>
      <c r="W742" s="212"/>
      <c r="X742" s="212"/>
      <c r="Y742" s="212"/>
      <c r="Z742" s="212"/>
      <c r="AA742" s="212"/>
      <c r="AB742" s="212"/>
      <c r="AC742" s="213">
        <f t="shared" si="372"/>
        <v>0</v>
      </c>
      <c r="AD742" s="545"/>
      <c r="AE742" s="726"/>
      <c r="AF742" s="412"/>
      <c r="AG742" s="412"/>
      <c r="AH742" s="412"/>
      <c r="AI742" s="412"/>
    </row>
    <row r="743" hidden="1">
      <c r="A743" s="126"/>
      <c r="B743" s="195"/>
      <c r="C743" s="222"/>
      <c r="D743" s="250" t="s">
        <v>888</v>
      </c>
      <c r="E743" s="233"/>
      <c r="F743" s="224"/>
      <c r="G743" s="233"/>
      <c r="H743" s="222"/>
      <c r="I743" s="222"/>
      <c r="J743" s="222"/>
      <c r="K743" s="222" t="s">
        <v>735</v>
      </c>
      <c r="L743" s="225"/>
      <c r="M743" s="383"/>
      <c r="N743" s="285"/>
      <c r="O743" s="285"/>
      <c r="P743" s="285"/>
      <c r="Q743" s="228">
        <v>7.7804E8</v>
      </c>
      <c r="R743" s="228">
        <v>6.54131E8</v>
      </c>
      <c r="S743" s="228">
        <v>7.04239E8</v>
      </c>
      <c r="T743" s="228">
        <v>6.158608E8</v>
      </c>
      <c r="U743" s="228">
        <v>7.04239E8</v>
      </c>
      <c r="V743" s="228">
        <v>7.03162E8</v>
      </c>
      <c r="W743" s="230"/>
      <c r="X743" s="230"/>
      <c r="Y743" s="230"/>
      <c r="Z743" s="230"/>
      <c r="AA743" s="230"/>
      <c r="AB743" s="230"/>
      <c r="AC743" s="231">
        <f t="shared" si="372"/>
        <v>4159671800</v>
      </c>
      <c r="AD743" s="214"/>
      <c r="AE743" s="192"/>
      <c r="AF743" s="194"/>
      <c r="AG743" s="194"/>
      <c r="AH743" s="194"/>
      <c r="AI743" s="194"/>
    </row>
    <row r="744" hidden="1">
      <c r="A744" s="126"/>
      <c r="B744" s="195"/>
      <c r="C744" s="222"/>
      <c r="D744" s="286" t="s">
        <v>194</v>
      </c>
      <c r="E744" s="233"/>
      <c r="F744" s="233"/>
      <c r="G744" s="233"/>
      <c r="H744" s="234"/>
      <c r="I744" s="234"/>
      <c r="J744" s="222"/>
      <c r="K744" s="222" t="s">
        <v>735</v>
      </c>
      <c r="L744" s="346"/>
      <c r="M744" s="255"/>
      <c r="N744" s="365"/>
      <c r="O744" s="365"/>
      <c r="P744" s="365"/>
      <c r="Q744" s="228">
        <v>7.7804E8</v>
      </c>
      <c r="R744" s="228">
        <v>6.54131E8</v>
      </c>
      <c r="S744" s="228">
        <v>7.04239E8</v>
      </c>
      <c r="T744" s="228">
        <v>6.158608E8</v>
      </c>
      <c r="U744" s="228">
        <v>7.04239E8</v>
      </c>
      <c r="V744" s="228">
        <v>7.03162E8</v>
      </c>
      <c r="W744" s="238"/>
      <c r="X744" s="238"/>
      <c r="Y744" s="238"/>
      <c r="Z744" s="238"/>
      <c r="AA744" s="238"/>
      <c r="AB744" s="238"/>
      <c r="AC744" s="378">
        <f t="shared" si="372"/>
        <v>4159671800</v>
      </c>
      <c r="AD744" s="214"/>
      <c r="AE744" s="192"/>
      <c r="AF744" s="194"/>
      <c r="AG744" s="194"/>
      <c r="AH744" s="194"/>
      <c r="AI744" s="194"/>
    </row>
    <row r="745" hidden="1">
      <c r="A745" s="126"/>
      <c r="B745" s="195"/>
      <c r="C745" s="222"/>
      <c r="D745" s="286" t="s">
        <v>889</v>
      </c>
      <c r="E745" s="233"/>
      <c r="F745" s="233"/>
      <c r="G745" s="233"/>
      <c r="H745" s="234"/>
      <c r="I745" s="234"/>
      <c r="J745" s="222"/>
      <c r="K745" s="222" t="s">
        <v>735</v>
      </c>
      <c r="L745" s="346"/>
      <c r="M745" s="255"/>
      <c r="N745" s="365"/>
      <c r="O745" s="365"/>
      <c r="P745" s="365"/>
      <c r="Q745" s="228">
        <v>7.7804E8</v>
      </c>
      <c r="R745" s="228">
        <v>6.54131E8</v>
      </c>
      <c r="S745" s="228">
        <v>7.04239E8</v>
      </c>
      <c r="T745" s="228">
        <v>6.158608E8</v>
      </c>
      <c r="U745" s="228">
        <v>7.04239E8</v>
      </c>
      <c r="V745" s="228">
        <v>7.03162E8</v>
      </c>
      <c r="W745" s="238"/>
      <c r="X745" s="238"/>
      <c r="Y745" s="238"/>
      <c r="Z745" s="238"/>
      <c r="AA745" s="238"/>
      <c r="AB745" s="238"/>
      <c r="AC745" s="378">
        <f t="shared" si="372"/>
        <v>4159671800</v>
      </c>
      <c r="AD745" s="214"/>
      <c r="AE745" s="192"/>
      <c r="AF745" s="194"/>
      <c r="AG745" s="194"/>
      <c r="AH745" s="194"/>
      <c r="AI745" s="194"/>
    </row>
    <row r="746">
      <c r="A746" s="126"/>
      <c r="B746" s="195"/>
      <c r="C746" s="196">
        <v>27.0</v>
      </c>
      <c r="D746" s="354" t="s">
        <v>890</v>
      </c>
      <c r="E746" s="198" t="s">
        <v>186</v>
      </c>
      <c r="F746" s="198" t="s">
        <v>103</v>
      </c>
      <c r="G746" s="198" t="s">
        <v>132</v>
      </c>
      <c r="H746" s="198" t="s">
        <v>132</v>
      </c>
      <c r="I746" s="198" t="s">
        <v>187</v>
      </c>
      <c r="J746" s="198" t="s">
        <v>188</v>
      </c>
      <c r="K746" s="199" t="s">
        <v>735</v>
      </c>
      <c r="L746" s="347" t="s">
        <v>891</v>
      </c>
      <c r="M746" s="257" t="s">
        <v>892</v>
      </c>
      <c r="N746" s="366"/>
      <c r="O746" s="366">
        <v>45405.0</v>
      </c>
      <c r="P746" s="366">
        <v>45769.0</v>
      </c>
      <c r="Q746" s="204">
        <v>8.756129526626712E8</v>
      </c>
      <c r="R746" s="204">
        <v>7.908762153082192E8</v>
      </c>
      <c r="S746" s="204">
        <v>8.756129526626712E8</v>
      </c>
      <c r="T746" s="204">
        <v>8.473673735445205E8</v>
      </c>
      <c r="U746" s="204">
        <v>8.756129526626712E8</v>
      </c>
      <c r="V746" s="204">
        <v>8.473673735445205E8</v>
      </c>
      <c r="W746" s="204">
        <v>8.756129526626712E8</v>
      </c>
      <c r="X746" s="204">
        <v>8.756129526626712E8</v>
      </c>
      <c r="Y746" s="204">
        <v>8.473673735445205E8</v>
      </c>
      <c r="Z746" s="204">
        <v>8.756129526626712E8</v>
      </c>
      <c r="AA746" s="204">
        <v>8.473673735445205E8</v>
      </c>
      <c r="AB746" s="204">
        <v>8.756129526626712E8</v>
      </c>
      <c r="AC746" s="205">
        <v>1.0309636378125E10</v>
      </c>
      <c r="AD746" s="178">
        <f>SUM(Q746:AB746)-AC746</f>
        <v>0</v>
      </c>
      <c r="AE746" s="241"/>
      <c r="AF746" s="725">
        <v>1.0309636378E10</v>
      </c>
      <c r="AG746" s="194"/>
      <c r="AH746" s="194"/>
      <c r="AI746" s="194"/>
    </row>
    <row r="747" hidden="1">
      <c r="A747" s="126"/>
      <c r="B747" s="195"/>
      <c r="C747" s="206"/>
      <c r="D747" s="207"/>
      <c r="E747" s="260"/>
      <c r="F747" s="207"/>
      <c r="G747" s="260"/>
      <c r="H747" s="206"/>
      <c r="I747" s="206"/>
      <c r="J747" s="206"/>
      <c r="K747" s="206" t="s">
        <v>735</v>
      </c>
      <c r="L747" s="277"/>
      <c r="M747" s="244"/>
      <c r="N747" s="389"/>
      <c r="O747" s="389"/>
      <c r="P747" s="389">
        <f t="shared" ref="P747:T747" si="373">P746</f>
        <v>45769</v>
      </c>
      <c r="Q747" s="212">
        <f t="shared" si="373"/>
        <v>875612952.7</v>
      </c>
      <c r="R747" s="212">
        <f t="shared" si="373"/>
        <v>790876215.3</v>
      </c>
      <c r="S747" s="212">
        <f t="shared" si="373"/>
        <v>875612952.7</v>
      </c>
      <c r="T747" s="212">
        <f t="shared" si="373"/>
        <v>847367373.5</v>
      </c>
      <c r="U747" s="249"/>
      <c r="V747" s="212"/>
      <c r="W747" s="212"/>
      <c r="X747" s="212"/>
      <c r="Y747" s="212"/>
      <c r="Z747" s="212"/>
      <c r="AA747" s="212"/>
      <c r="AB747" s="212"/>
      <c r="AC747" s="213">
        <f t="shared" ref="AC747:AC752" si="375">SUM(Q747:AB747)</f>
        <v>3389469494</v>
      </c>
      <c r="AD747" s="264"/>
      <c r="AE747" s="241"/>
      <c r="AF747" s="194"/>
      <c r="AG747" s="194"/>
      <c r="AH747" s="194"/>
      <c r="AI747" s="194"/>
    </row>
    <row r="748" hidden="1">
      <c r="A748" s="126"/>
      <c r="B748" s="195"/>
      <c r="C748" s="206"/>
      <c r="D748" s="215" t="s">
        <v>893</v>
      </c>
      <c r="E748" s="260"/>
      <c r="F748" s="207"/>
      <c r="G748" s="260"/>
      <c r="H748" s="206"/>
      <c r="I748" s="206"/>
      <c r="J748" s="242"/>
      <c r="K748" s="242" t="s">
        <v>735</v>
      </c>
      <c r="L748" s="779" t="s">
        <v>894</v>
      </c>
      <c r="M748" s="244"/>
      <c r="N748" s="367"/>
      <c r="O748" s="367">
        <v>45597.0</v>
      </c>
      <c r="P748" s="389"/>
      <c r="Q748" s="212"/>
      <c r="R748" s="212"/>
      <c r="S748" s="212"/>
      <c r="T748" s="212"/>
      <c r="U748" s="249">
        <f t="shared" ref="U748:AB748" si="374">82.5%*815625000</f>
        <v>672890625</v>
      </c>
      <c r="V748" s="249">
        <f t="shared" si="374"/>
        <v>672890625</v>
      </c>
      <c r="W748" s="249">
        <f t="shared" si="374"/>
        <v>672890625</v>
      </c>
      <c r="X748" s="249">
        <f t="shared" si="374"/>
        <v>672890625</v>
      </c>
      <c r="Y748" s="249">
        <f t="shared" si="374"/>
        <v>672890625</v>
      </c>
      <c r="Z748" s="249">
        <f t="shared" si="374"/>
        <v>672890625</v>
      </c>
      <c r="AA748" s="249">
        <f t="shared" si="374"/>
        <v>672890625</v>
      </c>
      <c r="AB748" s="249">
        <f t="shared" si="374"/>
        <v>672890625</v>
      </c>
      <c r="AC748" s="213">
        <f t="shared" si="375"/>
        <v>5383125000</v>
      </c>
      <c r="AD748" s="271"/>
      <c r="AE748" s="192"/>
      <c r="AF748" s="194"/>
      <c r="AG748" s="194"/>
      <c r="AH748" s="194"/>
      <c r="AI748" s="194"/>
    </row>
    <row r="749" hidden="1">
      <c r="A749" s="391"/>
      <c r="B749" s="392"/>
      <c r="C749" s="206"/>
      <c r="D749" s="207"/>
      <c r="E749" s="260"/>
      <c r="F749" s="207"/>
      <c r="G749" s="260"/>
      <c r="H749" s="206"/>
      <c r="I749" s="206"/>
      <c r="J749" s="242"/>
      <c r="K749" s="242" t="s">
        <v>735</v>
      </c>
      <c r="L749" s="277"/>
      <c r="M749" s="265"/>
      <c r="N749" s="389"/>
      <c r="O749" s="389">
        <f>P747+1</f>
        <v>45770</v>
      </c>
      <c r="P749" s="389"/>
      <c r="Q749" s="212"/>
      <c r="R749" s="249"/>
      <c r="S749" s="249"/>
      <c r="T749" s="249"/>
      <c r="U749" s="212"/>
      <c r="V749" s="212"/>
      <c r="W749" s="212"/>
      <c r="X749" s="212"/>
      <c r="Y749" s="212"/>
      <c r="Z749" s="212"/>
      <c r="AA749" s="212"/>
      <c r="AB749" s="212"/>
      <c r="AC749" s="213">
        <f t="shared" si="375"/>
        <v>0</v>
      </c>
      <c r="AD749" s="545"/>
      <c r="AE749" s="726"/>
      <c r="AF749" s="412"/>
      <c r="AG749" s="412"/>
      <c r="AH749" s="412"/>
      <c r="AI749" s="412"/>
    </row>
    <row r="750" hidden="1">
      <c r="A750" s="126"/>
      <c r="B750" s="195"/>
      <c r="C750" s="222"/>
      <c r="D750" s="250" t="s">
        <v>895</v>
      </c>
      <c r="E750" s="233"/>
      <c r="F750" s="224"/>
      <c r="G750" s="233"/>
      <c r="H750" s="222"/>
      <c r="I750" s="222"/>
      <c r="J750" s="222"/>
      <c r="K750" s="222" t="s">
        <v>735</v>
      </c>
      <c r="L750" s="225"/>
      <c r="M750" s="383"/>
      <c r="N750" s="285"/>
      <c r="O750" s="285"/>
      <c r="P750" s="285"/>
      <c r="Q750" s="230">
        <f t="shared" ref="Q750:Q752" si="376">1093995000</f>
        <v>1093995000</v>
      </c>
      <c r="R750" s="228">
        <f t="shared" ref="R750:R752" si="377">1092502500</f>
        <v>1092502500</v>
      </c>
      <c r="S750" s="228">
        <f t="shared" ref="S750:S752" si="378">1126905000</f>
        <v>1126905000</v>
      </c>
      <c r="T750" s="228">
        <v>1.126025E9</v>
      </c>
      <c r="U750" s="228">
        <v>1.0524925E9</v>
      </c>
      <c r="V750" s="228">
        <v>1.0770575E9</v>
      </c>
      <c r="W750" s="230"/>
      <c r="X750" s="230"/>
      <c r="Y750" s="230"/>
      <c r="Z750" s="230"/>
      <c r="AA750" s="230"/>
      <c r="AB750" s="230"/>
      <c r="AC750" s="231">
        <f t="shared" si="375"/>
        <v>6568977500</v>
      </c>
      <c r="AD750" s="214"/>
      <c r="AE750" s="192"/>
      <c r="AF750" s="194"/>
      <c r="AG750" s="194"/>
      <c r="AH750" s="194"/>
      <c r="AI750" s="194"/>
    </row>
    <row r="751" hidden="1">
      <c r="A751" s="126"/>
      <c r="B751" s="195"/>
      <c r="C751" s="196"/>
      <c r="D751" s="286" t="s">
        <v>194</v>
      </c>
      <c r="E751" s="233"/>
      <c r="F751" s="233"/>
      <c r="G751" s="233"/>
      <c r="H751" s="234"/>
      <c r="I751" s="234"/>
      <c r="J751" s="222"/>
      <c r="K751" s="222" t="s">
        <v>735</v>
      </c>
      <c r="L751" s="346"/>
      <c r="M751" s="255"/>
      <c r="N751" s="365"/>
      <c r="O751" s="365"/>
      <c r="P751" s="365"/>
      <c r="Q751" s="230">
        <f t="shared" si="376"/>
        <v>1093995000</v>
      </c>
      <c r="R751" s="228">
        <f t="shared" si="377"/>
        <v>1092502500</v>
      </c>
      <c r="S751" s="228">
        <f t="shared" si="378"/>
        <v>1126905000</v>
      </c>
      <c r="T751" s="228">
        <v>1.126025E9</v>
      </c>
      <c r="U751" s="228">
        <v>1.0524925E9</v>
      </c>
      <c r="V751" s="228">
        <v>1.0770575E9</v>
      </c>
      <c r="W751" s="238"/>
      <c r="X751" s="238"/>
      <c r="Y751" s="238"/>
      <c r="Z751" s="238"/>
      <c r="AA751" s="238"/>
      <c r="AB751" s="238"/>
      <c r="AC751" s="378">
        <f t="shared" si="375"/>
        <v>6568977500</v>
      </c>
      <c r="AD751" s="214"/>
      <c r="AE751" s="192"/>
      <c r="AF751" s="194"/>
      <c r="AG751" s="194"/>
      <c r="AH751" s="194"/>
      <c r="AI751" s="194"/>
    </row>
    <row r="752" hidden="1">
      <c r="A752" s="126"/>
      <c r="B752" s="195"/>
      <c r="C752" s="196"/>
      <c r="D752" s="286" t="s">
        <v>896</v>
      </c>
      <c r="E752" s="233"/>
      <c r="F752" s="233"/>
      <c r="G752" s="233"/>
      <c r="H752" s="234"/>
      <c r="I752" s="234"/>
      <c r="J752" s="222"/>
      <c r="K752" s="222" t="s">
        <v>735</v>
      </c>
      <c r="L752" s="346"/>
      <c r="M752" s="255"/>
      <c r="N752" s="365"/>
      <c r="O752" s="365"/>
      <c r="P752" s="365"/>
      <c r="Q752" s="230">
        <f t="shared" si="376"/>
        <v>1093995000</v>
      </c>
      <c r="R752" s="228">
        <f t="shared" si="377"/>
        <v>1092502500</v>
      </c>
      <c r="S752" s="228">
        <f t="shared" si="378"/>
        <v>1126905000</v>
      </c>
      <c r="T752" s="228">
        <v>1.126025E9</v>
      </c>
      <c r="U752" s="228">
        <v>1.0524925E9</v>
      </c>
      <c r="V752" s="228">
        <v>1.0770575E9</v>
      </c>
      <c r="W752" s="238"/>
      <c r="X752" s="238"/>
      <c r="Y752" s="238"/>
      <c r="Z752" s="238"/>
      <c r="AA752" s="238"/>
      <c r="AB752" s="238"/>
      <c r="AC752" s="378">
        <f t="shared" si="375"/>
        <v>6568977500</v>
      </c>
      <c r="AD752" s="214"/>
      <c r="AE752" s="192"/>
      <c r="AF752" s="194"/>
      <c r="AG752" s="194"/>
      <c r="AH752" s="194"/>
      <c r="AI752" s="194"/>
    </row>
    <row r="753">
      <c r="A753" s="379"/>
      <c r="B753" s="195"/>
      <c r="C753" s="196">
        <v>28.0</v>
      </c>
      <c r="D753" s="744" t="s">
        <v>897</v>
      </c>
      <c r="E753" s="198" t="s">
        <v>186</v>
      </c>
      <c r="F753" s="198" t="s">
        <v>103</v>
      </c>
      <c r="G753" s="198" t="s">
        <v>86</v>
      </c>
      <c r="H753" s="198" t="s">
        <v>86</v>
      </c>
      <c r="I753" s="198" t="s">
        <v>187</v>
      </c>
      <c r="J753" s="198" t="s">
        <v>188</v>
      </c>
      <c r="K753" s="199" t="s">
        <v>735</v>
      </c>
      <c r="L753" s="347">
        <f>23330000000/1.11</f>
        <v>21018018018</v>
      </c>
      <c r="M753" s="257" t="s">
        <v>898</v>
      </c>
      <c r="N753" s="366"/>
      <c r="O753" s="366">
        <v>45200.0</v>
      </c>
      <c r="P753" s="366">
        <v>45565.0</v>
      </c>
      <c r="Q753" s="204">
        <v>8.55E8</v>
      </c>
      <c r="R753" s="204">
        <v>8.55E8</v>
      </c>
      <c r="S753" s="204">
        <v>8.55E8</v>
      </c>
      <c r="T753" s="204">
        <v>8.55E8</v>
      </c>
      <c r="U753" s="204">
        <v>8.55E8</v>
      </c>
      <c r="V753" s="204">
        <v>8.55E8</v>
      </c>
      <c r="W753" s="204">
        <v>8.55E8</v>
      </c>
      <c r="X753" s="204">
        <v>8.55E8</v>
      </c>
      <c r="Y753" s="204">
        <v>8.55E8</v>
      </c>
      <c r="Z753" s="204">
        <v>8.55E8</v>
      </c>
      <c r="AA753" s="204">
        <v>8.55E8</v>
      </c>
      <c r="AB753" s="204">
        <v>8.55E8</v>
      </c>
      <c r="AC753" s="205">
        <v>1.026E10</v>
      </c>
      <c r="AD753" s="214"/>
      <c r="AE753" s="192"/>
      <c r="AF753" s="725">
        <v>1.026E10</v>
      </c>
      <c r="AG753" s="194"/>
      <c r="AH753" s="194"/>
      <c r="AI753" s="194"/>
    </row>
    <row r="754" hidden="1">
      <c r="A754" s="126"/>
      <c r="B754" s="195"/>
      <c r="C754" s="206"/>
      <c r="D754" s="220" t="s">
        <v>899</v>
      </c>
      <c r="E754" s="260"/>
      <c r="F754" s="207"/>
      <c r="G754" s="260"/>
      <c r="H754" s="206"/>
      <c r="I754" s="206"/>
      <c r="J754" s="206"/>
      <c r="K754" s="206" t="s">
        <v>735</v>
      </c>
      <c r="L754" s="277"/>
      <c r="M754" s="209"/>
      <c r="N754" s="389"/>
      <c r="O754" s="389"/>
      <c r="P754" s="389"/>
      <c r="Q754" s="212"/>
      <c r="R754" s="212"/>
      <c r="S754" s="212"/>
      <c r="T754" s="212"/>
      <c r="U754" s="212"/>
      <c r="V754" s="212"/>
      <c r="W754" s="212"/>
      <c r="X754" s="212"/>
      <c r="Y754" s="212"/>
      <c r="Z754" s="212"/>
      <c r="AA754" s="212"/>
      <c r="AB754" s="212"/>
      <c r="AC754" s="213">
        <f t="shared" ref="AC754:AC757" si="379">SUM(Q754:AB754)</f>
        <v>0</v>
      </c>
      <c r="AD754" s="214"/>
      <c r="AE754" s="241"/>
      <c r="AF754" s="194"/>
      <c r="AG754" s="194"/>
      <c r="AH754" s="194"/>
      <c r="AI754" s="194"/>
    </row>
    <row r="755" hidden="1">
      <c r="A755" s="126"/>
      <c r="B755" s="195"/>
      <c r="C755" s="222"/>
      <c r="D755" s="250" t="s">
        <v>900</v>
      </c>
      <c r="E755" s="233"/>
      <c r="F755" s="224"/>
      <c r="G755" s="233"/>
      <c r="H755" s="222"/>
      <c r="I755" s="222"/>
      <c r="J755" s="222"/>
      <c r="K755" s="222" t="s">
        <v>735</v>
      </c>
      <c r="L755" s="225"/>
      <c r="M755" s="236"/>
      <c r="N755" s="285"/>
      <c r="O755" s="285"/>
      <c r="P755" s="285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  <c r="AA755" s="230"/>
      <c r="AB755" s="230"/>
      <c r="AC755" s="231">
        <f t="shared" si="379"/>
        <v>0</v>
      </c>
      <c r="AD755" s="264"/>
      <c r="AE755" s="241"/>
      <c r="AF755" s="194"/>
      <c r="AG755" s="194"/>
      <c r="AH755" s="194"/>
      <c r="AI755" s="194"/>
    </row>
    <row r="756" hidden="1">
      <c r="A756" s="126"/>
      <c r="B756" s="195"/>
      <c r="C756" s="196"/>
      <c r="D756" s="286" t="s">
        <v>194</v>
      </c>
      <c r="E756" s="233"/>
      <c r="F756" s="233"/>
      <c r="G756" s="233"/>
      <c r="H756" s="234"/>
      <c r="I756" s="234"/>
      <c r="J756" s="222"/>
      <c r="K756" s="222" t="s">
        <v>735</v>
      </c>
      <c r="L756" s="346"/>
      <c r="M756" s="255"/>
      <c r="N756" s="365"/>
      <c r="O756" s="365"/>
      <c r="P756" s="365"/>
      <c r="Q756" s="238"/>
      <c r="R756" s="238"/>
      <c r="S756" s="238"/>
      <c r="T756" s="238"/>
      <c r="U756" s="238"/>
      <c r="V756" s="238"/>
      <c r="W756" s="238"/>
      <c r="X756" s="238"/>
      <c r="Y756" s="238"/>
      <c r="Z756" s="238"/>
      <c r="AA756" s="238"/>
      <c r="AB756" s="238"/>
      <c r="AC756" s="378">
        <f t="shared" si="379"/>
        <v>0</v>
      </c>
      <c r="AD756" s="214"/>
      <c r="AE756" s="192"/>
      <c r="AF756" s="194"/>
      <c r="AG756" s="194"/>
      <c r="AH756" s="194"/>
      <c r="AI756" s="194"/>
    </row>
    <row r="757" hidden="1">
      <c r="A757" s="126"/>
      <c r="B757" s="195"/>
      <c r="C757" s="196"/>
      <c r="D757" s="286" t="s">
        <v>901</v>
      </c>
      <c r="E757" s="233"/>
      <c r="F757" s="233"/>
      <c r="G757" s="233"/>
      <c r="H757" s="234"/>
      <c r="I757" s="234"/>
      <c r="J757" s="222"/>
      <c r="K757" s="222" t="s">
        <v>735</v>
      </c>
      <c r="L757" s="346"/>
      <c r="M757" s="255"/>
      <c r="N757" s="365"/>
      <c r="O757" s="365"/>
      <c r="P757" s="365"/>
      <c r="Q757" s="238"/>
      <c r="R757" s="238"/>
      <c r="S757" s="238"/>
      <c r="T757" s="238"/>
      <c r="U757" s="238"/>
      <c r="V757" s="238"/>
      <c r="W757" s="238"/>
      <c r="X757" s="238"/>
      <c r="Y757" s="238"/>
      <c r="Z757" s="238"/>
      <c r="AA757" s="238"/>
      <c r="AB757" s="238"/>
      <c r="AC757" s="378">
        <f t="shared" si="379"/>
        <v>0</v>
      </c>
      <c r="AD757" s="214"/>
      <c r="AE757" s="192"/>
      <c r="AF757" s="194"/>
      <c r="AG757" s="194"/>
      <c r="AH757" s="194"/>
      <c r="AI757" s="194"/>
    </row>
    <row r="758">
      <c r="A758" s="126"/>
      <c r="B758" s="195"/>
      <c r="C758" s="196">
        <v>29.0</v>
      </c>
      <c r="D758" s="354" t="s">
        <v>902</v>
      </c>
      <c r="E758" s="198" t="s">
        <v>186</v>
      </c>
      <c r="F758" s="198" t="s">
        <v>103</v>
      </c>
      <c r="G758" s="198" t="s">
        <v>86</v>
      </c>
      <c r="H758" s="198" t="s">
        <v>86</v>
      </c>
      <c r="I758" s="198" t="s">
        <v>187</v>
      </c>
      <c r="J758" s="198" t="s">
        <v>188</v>
      </c>
      <c r="K758" s="199" t="s">
        <v>735</v>
      </c>
      <c r="L758" s="347">
        <v>7.421795567E9</v>
      </c>
      <c r="M758" s="257" t="s">
        <v>903</v>
      </c>
      <c r="N758" s="366"/>
      <c r="O758" s="366">
        <v>45200.0</v>
      </c>
      <c r="P758" s="366">
        <v>45565.0</v>
      </c>
      <c r="Q758" s="204">
        <v>6.18482964E8</v>
      </c>
      <c r="R758" s="204">
        <v>6.18482964E8</v>
      </c>
      <c r="S758" s="204">
        <v>6.18482964E8</v>
      </c>
      <c r="T758" s="204">
        <v>6.18482964E8</v>
      </c>
      <c r="U758" s="204">
        <v>6.18482964E8</v>
      </c>
      <c r="V758" s="204">
        <v>6.18482964E8</v>
      </c>
      <c r="W758" s="204">
        <v>6.18482964E8</v>
      </c>
      <c r="X758" s="204">
        <v>6.18482964E8</v>
      </c>
      <c r="Y758" s="204">
        <v>6.18482964E8</v>
      </c>
      <c r="Z758" s="204">
        <v>6.18482964E8</v>
      </c>
      <c r="AA758" s="204">
        <v>6.18482964E8</v>
      </c>
      <c r="AB758" s="204">
        <v>6.18482964E8</v>
      </c>
      <c r="AC758" s="205">
        <v>7.421795568E9</v>
      </c>
      <c r="AD758" s="178">
        <f>SUM(Q758:AB758)-AC758</f>
        <v>0</v>
      </c>
      <c r="AE758" s="192"/>
      <c r="AF758" s="725">
        <v>7.421795568E9</v>
      </c>
      <c r="AG758" s="194"/>
      <c r="AH758" s="194"/>
      <c r="AI758" s="194"/>
    </row>
    <row r="759" hidden="1">
      <c r="A759" s="126"/>
      <c r="B759" s="195"/>
      <c r="C759" s="206"/>
      <c r="D759" s="207"/>
      <c r="E759" s="260"/>
      <c r="F759" s="207"/>
      <c r="G759" s="260"/>
      <c r="H759" s="206"/>
      <c r="I759" s="206"/>
      <c r="J759" s="206"/>
      <c r="K759" s="206" t="s">
        <v>735</v>
      </c>
      <c r="L759" s="277">
        <f>7607996567-L758</f>
        <v>186201000</v>
      </c>
      <c r="M759" s="246" t="s">
        <v>904</v>
      </c>
      <c r="N759" s="367"/>
      <c r="O759" s="367">
        <v>45292.0</v>
      </c>
      <c r="P759" s="367">
        <v>45565.0</v>
      </c>
      <c r="Q759" s="249"/>
      <c r="R759" s="249"/>
      <c r="S759" s="249"/>
      <c r="T759" s="212"/>
      <c r="U759" s="212"/>
      <c r="V759" s="212"/>
      <c r="W759" s="212"/>
      <c r="X759" s="212"/>
      <c r="Y759" s="212"/>
      <c r="Z759" s="212"/>
      <c r="AA759" s="212"/>
      <c r="AB759" s="212"/>
      <c r="AC759" s="213">
        <f t="shared" ref="AC759:AC765" si="380">SUM(Q759:AB759)</f>
        <v>0</v>
      </c>
      <c r="AD759" s="214"/>
      <c r="AE759" s="241"/>
      <c r="AF759" s="194"/>
      <c r="AG759" s="194"/>
      <c r="AH759" s="194"/>
      <c r="AI759" s="194"/>
    </row>
    <row r="760" hidden="1">
      <c r="A760" s="126"/>
      <c r="B760" s="195"/>
      <c r="C760" s="206"/>
      <c r="D760" s="207"/>
      <c r="E760" s="260"/>
      <c r="F760" s="207"/>
      <c r="G760" s="260"/>
      <c r="H760" s="206"/>
      <c r="I760" s="206"/>
      <c r="J760" s="206"/>
      <c r="K760" s="206" t="s">
        <v>735</v>
      </c>
      <c r="L760" s="245">
        <f>9526241459-7607996567</f>
        <v>1918244892</v>
      </c>
      <c r="M760" s="246" t="s">
        <v>905</v>
      </c>
      <c r="N760" s="367"/>
      <c r="O760" s="367">
        <v>45566.0</v>
      </c>
      <c r="P760" s="367">
        <v>45657.0</v>
      </c>
      <c r="Q760" s="249"/>
      <c r="R760" s="212"/>
      <c r="S760" s="212"/>
      <c r="T760" s="249"/>
      <c r="U760" s="249"/>
      <c r="V760" s="249"/>
      <c r="W760" s="249"/>
      <c r="X760" s="249"/>
      <c r="Y760" s="249"/>
      <c r="Z760" s="249"/>
      <c r="AA760" s="249"/>
      <c r="AB760" s="249"/>
      <c r="AC760" s="213">
        <f t="shared" si="380"/>
        <v>0</v>
      </c>
      <c r="AD760" s="214"/>
      <c r="AE760" s="241"/>
      <c r="AF760" s="194"/>
      <c r="AG760" s="194"/>
      <c r="AH760" s="194"/>
      <c r="AI760" s="194"/>
    </row>
    <row r="761" ht="21.75" hidden="1" customHeight="1">
      <c r="A761" s="126"/>
      <c r="B761" s="195"/>
      <c r="C761" s="206"/>
      <c r="D761" s="207"/>
      <c r="E761" s="260"/>
      <c r="F761" s="207"/>
      <c r="G761" s="260"/>
      <c r="H761" s="206"/>
      <c r="I761" s="206"/>
      <c r="J761" s="206"/>
      <c r="K761" s="206" t="s">
        <v>735</v>
      </c>
      <c r="L761" s="245">
        <f>11560964297-9526241459</f>
        <v>2034722838</v>
      </c>
      <c r="M761" s="246" t="s">
        <v>906</v>
      </c>
      <c r="N761" s="367"/>
      <c r="O761" s="367">
        <v>45658.0</v>
      </c>
      <c r="P761" s="367">
        <v>45747.0</v>
      </c>
      <c r="Q761" s="212">
        <f>L761/3</f>
        <v>678240946</v>
      </c>
      <c r="R761" s="212">
        <v>6.78240946E8</v>
      </c>
      <c r="S761" s="212">
        <v>6.78240946E8</v>
      </c>
      <c r="T761" s="249"/>
      <c r="U761" s="249"/>
      <c r="V761" s="212"/>
      <c r="W761" s="212"/>
      <c r="X761" s="212"/>
      <c r="Y761" s="212"/>
      <c r="Z761" s="212"/>
      <c r="AA761" s="212"/>
      <c r="AB761" s="212"/>
      <c r="AC761" s="213">
        <f t="shared" si="380"/>
        <v>2034722838</v>
      </c>
      <c r="AD761" s="271"/>
      <c r="AE761" s="241"/>
      <c r="AF761" s="194"/>
      <c r="AG761" s="194"/>
      <c r="AH761" s="194"/>
      <c r="AI761" s="194"/>
    </row>
    <row r="762" ht="32.25" hidden="1" customHeight="1">
      <c r="A762" s="126"/>
      <c r="B762" s="195"/>
      <c r="C762" s="206"/>
      <c r="D762" s="688" t="s">
        <v>907</v>
      </c>
      <c r="E762" s="260"/>
      <c r="F762" s="207"/>
      <c r="G762" s="260"/>
      <c r="H762" s="206"/>
      <c r="I762" s="206"/>
      <c r="J762" s="206"/>
      <c r="K762" s="206" t="s">
        <v>735</v>
      </c>
      <c r="L762" s="245">
        <v>7.945825646E9</v>
      </c>
      <c r="M762" s="246" t="s">
        <v>908</v>
      </c>
      <c r="N762" s="367"/>
      <c r="O762" s="367">
        <v>45748.0</v>
      </c>
      <c r="P762" s="367">
        <v>46112.0</v>
      </c>
      <c r="Q762" s="212"/>
      <c r="R762" s="212"/>
      <c r="S762" s="212"/>
      <c r="T762" s="249">
        <f>L762/12</f>
        <v>662152137.2</v>
      </c>
      <c r="U762" s="249">
        <v>6.621521371666666E8</v>
      </c>
      <c r="V762" s="249">
        <v>6.621521371666666E8</v>
      </c>
      <c r="W762" s="249">
        <v>6.621521371666666E8</v>
      </c>
      <c r="X762" s="249">
        <v>6.621521371666666E8</v>
      </c>
      <c r="Y762" s="249">
        <v>6.621521371666666E8</v>
      </c>
      <c r="Z762" s="249">
        <v>6.621521371666666E8</v>
      </c>
      <c r="AA762" s="249">
        <v>6.621521371666666E8</v>
      </c>
      <c r="AB762" s="249">
        <v>6.621521371666666E8</v>
      </c>
      <c r="AC762" s="213">
        <f t="shared" si="380"/>
        <v>5959369235</v>
      </c>
      <c r="AD762" s="271"/>
      <c r="AE762" s="241"/>
      <c r="AF762" s="194"/>
      <c r="AG762" s="194"/>
      <c r="AH762" s="194"/>
      <c r="AI762" s="194"/>
    </row>
    <row r="763" ht="21.75" hidden="1" customHeight="1">
      <c r="A763" s="126"/>
      <c r="B763" s="195"/>
      <c r="C763" s="222"/>
      <c r="D763" s="250" t="s">
        <v>909</v>
      </c>
      <c r="E763" s="233"/>
      <c r="F763" s="224"/>
      <c r="G763" s="233"/>
      <c r="H763" s="222"/>
      <c r="I763" s="222"/>
      <c r="J763" s="222"/>
      <c r="K763" s="222" t="s">
        <v>735</v>
      </c>
      <c r="L763" s="225"/>
      <c r="M763" s="383"/>
      <c r="N763" s="285"/>
      <c r="O763" s="285"/>
      <c r="P763" s="285"/>
      <c r="Q763" s="230">
        <f t="shared" ref="Q763:Q765" si="381">567510621</f>
        <v>567510621</v>
      </c>
      <c r="R763" s="230">
        <f t="shared" ref="R763:R765" si="382">610694324</f>
        <v>610694324</v>
      </c>
      <c r="S763" s="230">
        <f t="shared" ref="S763:S765" si="383">611635837</f>
        <v>611635837</v>
      </c>
      <c r="T763" s="270">
        <v>6.56404137E8</v>
      </c>
      <c r="U763" s="229">
        <v>6.37E8</v>
      </c>
      <c r="V763" s="230"/>
      <c r="W763" s="230"/>
      <c r="X763" s="230"/>
      <c r="Y763" s="230"/>
      <c r="Z763" s="230"/>
      <c r="AA763" s="230"/>
      <c r="AB763" s="230"/>
      <c r="AC763" s="231">
        <f t="shared" si="380"/>
        <v>3083244919</v>
      </c>
      <c r="AD763" s="264"/>
      <c r="AE763" s="241"/>
      <c r="AF763" s="194"/>
      <c r="AG763" s="194"/>
      <c r="AH763" s="194"/>
      <c r="AI763" s="194"/>
    </row>
    <row r="764" hidden="1">
      <c r="A764" s="126"/>
      <c r="B764" s="195"/>
      <c r="C764" s="196"/>
      <c r="D764" s="286" t="s">
        <v>194</v>
      </c>
      <c r="E764" s="233"/>
      <c r="F764" s="233"/>
      <c r="G764" s="233"/>
      <c r="H764" s="234"/>
      <c r="I764" s="234"/>
      <c r="J764" s="222"/>
      <c r="K764" s="222" t="s">
        <v>735</v>
      </c>
      <c r="L764" s="225"/>
      <c r="M764" s="255"/>
      <c r="N764" s="285"/>
      <c r="O764" s="285"/>
      <c r="P764" s="365"/>
      <c r="Q764" s="230">
        <f t="shared" si="381"/>
        <v>567510621</v>
      </c>
      <c r="R764" s="230">
        <f t="shared" si="382"/>
        <v>610694324</v>
      </c>
      <c r="S764" s="230">
        <f t="shared" si="383"/>
        <v>611635837</v>
      </c>
      <c r="T764" s="229">
        <v>6.56404137E8</v>
      </c>
      <c r="U764" s="238"/>
      <c r="V764" s="238"/>
      <c r="W764" s="238"/>
      <c r="X764" s="238"/>
      <c r="Y764" s="238"/>
      <c r="Z764" s="238"/>
      <c r="AA764" s="238"/>
      <c r="AB764" s="238"/>
      <c r="AC764" s="378">
        <f t="shared" si="380"/>
        <v>2446244919</v>
      </c>
      <c r="AD764" s="214"/>
      <c r="AE764" s="192"/>
      <c r="AF764" s="194"/>
      <c r="AG764" s="194"/>
      <c r="AH764" s="194"/>
      <c r="AI764" s="194"/>
    </row>
    <row r="765" hidden="1">
      <c r="A765" s="126"/>
      <c r="B765" s="195"/>
      <c r="C765" s="196"/>
      <c r="D765" s="286" t="s">
        <v>910</v>
      </c>
      <c r="E765" s="233"/>
      <c r="F765" s="233"/>
      <c r="G765" s="233"/>
      <c r="H765" s="234"/>
      <c r="I765" s="234"/>
      <c r="J765" s="222"/>
      <c r="K765" s="222" t="s">
        <v>735</v>
      </c>
      <c r="L765" s="225"/>
      <c r="M765" s="255"/>
      <c r="N765" s="285"/>
      <c r="O765" s="285"/>
      <c r="P765" s="365"/>
      <c r="Q765" s="230">
        <f t="shared" si="381"/>
        <v>567510621</v>
      </c>
      <c r="R765" s="230">
        <f t="shared" si="382"/>
        <v>610694324</v>
      </c>
      <c r="S765" s="230">
        <f t="shared" si="383"/>
        <v>611635837</v>
      </c>
      <c r="T765" s="238"/>
      <c r="U765" s="238"/>
      <c r="V765" s="238"/>
      <c r="W765" s="238"/>
      <c r="X765" s="238"/>
      <c r="Y765" s="238"/>
      <c r="Z765" s="238"/>
      <c r="AA765" s="238"/>
      <c r="AB765" s="238"/>
      <c r="AC765" s="378">
        <f t="shared" si="380"/>
        <v>1789840782</v>
      </c>
      <c r="AD765" s="214"/>
      <c r="AE765" s="192"/>
      <c r="AF765" s="194"/>
      <c r="AG765" s="194"/>
      <c r="AH765" s="194"/>
      <c r="AI765" s="194"/>
    </row>
    <row r="766">
      <c r="A766" s="379"/>
      <c r="B766" s="195"/>
      <c r="C766" s="196">
        <v>30.0</v>
      </c>
      <c r="D766" s="744" t="s">
        <v>911</v>
      </c>
      <c r="E766" s="198" t="s">
        <v>186</v>
      </c>
      <c r="F766" s="198" t="s">
        <v>103</v>
      </c>
      <c r="G766" s="198" t="s">
        <v>84</v>
      </c>
      <c r="H766" s="198" t="s">
        <v>84</v>
      </c>
      <c r="I766" s="198" t="s">
        <v>253</v>
      </c>
      <c r="J766" s="198" t="s">
        <v>254</v>
      </c>
      <c r="K766" s="199" t="s">
        <v>735</v>
      </c>
      <c r="L766" s="355"/>
      <c r="M766" s="257" t="s">
        <v>912</v>
      </c>
      <c r="N766" s="686"/>
      <c r="O766" s="686"/>
      <c r="P766" s="366">
        <v>45688.0</v>
      </c>
      <c r="Q766" s="204">
        <v>1.15073937E8</v>
      </c>
      <c r="R766" s="204">
        <v>1.15073937E8</v>
      </c>
      <c r="S766" s="204">
        <v>1.15073937E8</v>
      </c>
      <c r="T766" s="204">
        <v>1.15073937E8</v>
      </c>
      <c r="U766" s="204">
        <v>1.15073937E8</v>
      </c>
      <c r="V766" s="204">
        <v>1.15073937E8</v>
      </c>
      <c r="W766" s="204">
        <v>1.15073937E8</v>
      </c>
      <c r="X766" s="204">
        <v>1.15073937E8</v>
      </c>
      <c r="Y766" s="204">
        <v>1.15073937E8</v>
      </c>
      <c r="Z766" s="204">
        <v>1.15073937E8</v>
      </c>
      <c r="AA766" s="204">
        <v>1.15073937E8</v>
      </c>
      <c r="AB766" s="204">
        <v>1.15073937E8</v>
      </c>
      <c r="AC766" s="205">
        <v>1.380887244E9</v>
      </c>
      <c r="AD766" s="214"/>
      <c r="AE766" s="192"/>
      <c r="AF766" s="725">
        <v>1.380887244E9</v>
      </c>
      <c r="AG766" s="194"/>
      <c r="AH766" s="194"/>
      <c r="AI766" s="194"/>
    </row>
    <row r="767" hidden="1">
      <c r="A767" s="126"/>
      <c r="B767" s="195"/>
      <c r="C767" s="206"/>
      <c r="D767" s="220" t="s">
        <v>913</v>
      </c>
      <c r="E767" s="260"/>
      <c r="F767" s="207"/>
      <c r="G767" s="260"/>
      <c r="H767" s="206"/>
      <c r="I767" s="206"/>
      <c r="J767" s="206"/>
      <c r="K767" s="206" t="s">
        <v>735</v>
      </c>
      <c r="L767" s="277"/>
      <c r="M767" s="209"/>
      <c r="N767" s="389"/>
      <c r="O767" s="389"/>
      <c r="P767" s="389"/>
      <c r="Q767" s="212"/>
      <c r="R767" s="212"/>
      <c r="S767" s="212"/>
      <c r="T767" s="212"/>
      <c r="U767" s="212"/>
      <c r="V767" s="212"/>
      <c r="W767" s="212"/>
      <c r="X767" s="212"/>
      <c r="Y767" s="212"/>
      <c r="Z767" s="212"/>
      <c r="AA767" s="212"/>
      <c r="AB767" s="212"/>
      <c r="AC767" s="213">
        <f t="shared" ref="AC767:AC770" si="384">SUM(Q767:AB767)</f>
        <v>0</v>
      </c>
      <c r="AD767" s="214"/>
      <c r="AE767" s="241"/>
      <c r="AF767" s="194"/>
      <c r="AG767" s="194"/>
      <c r="AH767" s="194"/>
      <c r="AI767" s="194"/>
    </row>
    <row r="768" hidden="1">
      <c r="A768" s="126"/>
      <c r="B768" s="195"/>
      <c r="C768" s="222"/>
      <c r="D768" s="250" t="s">
        <v>914</v>
      </c>
      <c r="E768" s="233"/>
      <c r="F768" s="224"/>
      <c r="G768" s="233"/>
      <c r="H768" s="222"/>
      <c r="I768" s="222"/>
      <c r="J768" s="222"/>
      <c r="K768" s="222" t="s">
        <v>735</v>
      </c>
      <c r="L768" s="225"/>
      <c r="M768" s="236"/>
      <c r="N768" s="285"/>
      <c r="O768" s="285"/>
      <c r="P768" s="285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  <c r="AA768" s="230"/>
      <c r="AB768" s="230"/>
      <c r="AC768" s="231">
        <f t="shared" si="384"/>
        <v>0</v>
      </c>
      <c r="AD768" s="264"/>
      <c r="AE768" s="241"/>
      <c r="AF768" s="194"/>
      <c r="AG768" s="194"/>
      <c r="AH768" s="194"/>
      <c r="AI768" s="194"/>
    </row>
    <row r="769" hidden="1">
      <c r="A769" s="126"/>
      <c r="B769" s="195"/>
      <c r="C769" s="196"/>
      <c r="D769" s="286" t="s">
        <v>194</v>
      </c>
      <c r="E769" s="233"/>
      <c r="F769" s="233"/>
      <c r="G769" s="233"/>
      <c r="H769" s="234"/>
      <c r="I769" s="234"/>
      <c r="J769" s="222"/>
      <c r="K769" s="222" t="s">
        <v>735</v>
      </c>
      <c r="L769" s="346"/>
      <c r="M769" s="255"/>
      <c r="N769" s="365"/>
      <c r="O769" s="365"/>
      <c r="P769" s="365"/>
      <c r="Q769" s="238"/>
      <c r="R769" s="238"/>
      <c r="S769" s="238"/>
      <c r="T769" s="238"/>
      <c r="U769" s="238"/>
      <c r="V769" s="238"/>
      <c r="W769" s="238"/>
      <c r="X769" s="238"/>
      <c r="Y769" s="238"/>
      <c r="Z769" s="238"/>
      <c r="AA769" s="238"/>
      <c r="AB769" s="238"/>
      <c r="AC769" s="378">
        <f t="shared" si="384"/>
        <v>0</v>
      </c>
      <c r="AD769" s="214"/>
      <c r="AE769" s="192"/>
      <c r="AF769" s="194"/>
      <c r="AG769" s="194"/>
      <c r="AH769" s="194"/>
      <c r="AI769" s="194"/>
    </row>
    <row r="770" hidden="1">
      <c r="A770" s="126"/>
      <c r="B770" s="195"/>
      <c r="C770" s="196"/>
      <c r="D770" s="286" t="s">
        <v>915</v>
      </c>
      <c r="E770" s="233"/>
      <c r="F770" s="233"/>
      <c r="G770" s="233"/>
      <c r="H770" s="234"/>
      <c r="I770" s="234"/>
      <c r="J770" s="222"/>
      <c r="K770" s="222" t="s">
        <v>735</v>
      </c>
      <c r="L770" s="346"/>
      <c r="M770" s="255"/>
      <c r="N770" s="365"/>
      <c r="O770" s="365"/>
      <c r="P770" s="365"/>
      <c r="Q770" s="238"/>
      <c r="R770" s="238"/>
      <c r="S770" s="238"/>
      <c r="T770" s="238"/>
      <c r="U770" s="238"/>
      <c r="V770" s="238"/>
      <c r="W770" s="238"/>
      <c r="X770" s="238"/>
      <c r="Y770" s="238"/>
      <c r="Z770" s="238"/>
      <c r="AA770" s="238"/>
      <c r="AB770" s="238"/>
      <c r="AC770" s="378">
        <f t="shared" si="384"/>
        <v>0</v>
      </c>
      <c r="AD770" s="214"/>
      <c r="AE770" s="192"/>
      <c r="AF770" s="194"/>
      <c r="AG770" s="194"/>
      <c r="AH770" s="194"/>
      <c r="AI770" s="194"/>
    </row>
    <row r="771">
      <c r="A771" s="379"/>
      <c r="B771" s="195"/>
      <c r="C771" s="196">
        <v>31.0</v>
      </c>
      <c r="D771" s="780" t="s">
        <v>916</v>
      </c>
      <c r="E771" s="198" t="s">
        <v>186</v>
      </c>
      <c r="F771" s="198" t="s">
        <v>103</v>
      </c>
      <c r="G771" s="198" t="s">
        <v>86</v>
      </c>
      <c r="H771" s="198" t="s">
        <v>86</v>
      </c>
      <c r="I771" s="198" t="s">
        <v>187</v>
      </c>
      <c r="J771" s="198" t="s">
        <v>188</v>
      </c>
      <c r="K771" s="199" t="s">
        <v>735</v>
      </c>
      <c r="L771" s="347">
        <v>4.4945E7</v>
      </c>
      <c r="M771" s="257"/>
      <c r="N771" s="366"/>
      <c r="O771" s="366">
        <v>45292.0</v>
      </c>
      <c r="P771" s="366">
        <v>45657.0</v>
      </c>
      <c r="Q771" s="204">
        <v>4.4945E7</v>
      </c>
      <c r="R771" s="204">
        <v>4.4945E7</v>
      </c>
      <c r="S771" s="204">
        <v>4.4945E7</v>
      </c>
      <c r="T771" s="204">
        <v>4.4945E7</v>
      </c>
      <c r="U771" s="204">
        <v>4.4945E7</v>
      </c>
      <c r="V771" s="204">
        <v>4.4945E7</v>
      </c>
      <c r="W771" s="204">
        <v>4.4945E7</v>
      </c>
      <c r="X771" s="204">
        <v>4.4945E7</v>
      </c>
      <c r="Y771" s="204">
        <v>4.4945E7</v>
      </c>
      <c r="Z771" s="204">
        <v>4.4945E7</v>
      </c>
      <c r="AA771" s="204">
        <v>4.4945E7</v>
      </c>
      <c r="AB771" s="204">
        <v>4.4945E7</v>
      </c>
      <c r="AC771" s="205">
        <v>5.3934E8</v>
      </c>
      <c r="AD771" s="214"/>
      <c r="AE771" s="192"/>
      <c r="AF771" s="725">
        <v>5.3934E8</v>
      </c>
      <c r="AG771" s="194"/>
      <c r="AH771" s="194"/>
      <c r="AI771" s="194"/>
    </row>
    <row r="772" hidden="1">
      <c r="A772" s="126"/>
      <c r="B772" s="195"/>
      <c r="C772" s="206"/>
      <c r="D772" s="220" t="s">
        <v>917</v>
      </c>
      <c r="E772" s="260"/>
      <c r="F772" s="207"/>
      <c r="G772" s="260"/>
      <c r="H772" s="206"/>
      <c r="I772" s="206"/>
      <c r="J772" s="206"/>
      <c r="K772" s="206" t="s">
        <v>735</v>
      </c>
      <c r="L772" s="277"/>
      <c r="M772" s="265"/>
      <c r="N772" s="367"/>
      <c r="O772" s="367"/>
      <c r="P772" s="367"/>
      <c r="Q772" s="212"/>
      <c r="R772" s="212"/>
      <c r="S772" s="212"/>
      <c r="T772" s="212"/>
      <c r="U772" s="212"/>
      <c r="V772" s="212"/>
      <c r="W772" s="212"/>
      <c r="X772" s="212"/>
      <c r="Y772" s="212"/>
      <c r="Z772" s="212"/>
      <c r="AA772" s="212"/>
      <c r="AB772" s="212"/>
      <c r="AC772" s="213">
        <f t="shared" ref="AC772:AC775" si="385">SUM(Q772:AB772)</f>
        <v>0</v>
      </c>
      <c r="AD772" s="214"/>
      <c r="AE772" s="241"/>
      <c r="AF772" s="194"/>
      <c r="AG772" s="194"/>
      <c r="AH772" s="194"/>
      <c r="AI772" s="194"/>
    </row>
    <row r="773" hidden="1">
      <c r="A773" s="126"/>
      <c r="B773" s="195"/>
      <c r="C773" s="222"/>
      <c r="D773" s="250" t="s">
        <v>918</v>
      </c>
      <c r="E773" s="233"/>
      <c r="F773" s="224"/>
      <c r="G773" s="233"/>
      <c r="H773" s="222"/>
      <c r="I773" s="222"/>
      <c r="J773" s="222"/>
      <c r="K773" s="222" t="s">
        <v>735</v>
      </c>
      <c r="L773" s="225"/>
      <c r="M773" s="255"/>
      <c r="N773" s="285"/>
      <c r="O773" s="285"/>
      <c r="P773" s="285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  <c r="AA773" s="230"/>
      <c r="AB773" s="230"/>
      <c r="AC773" s="231">
        <f t="shared" si="385"/>
        <v>0</v>
      </c>
      <c r="AD773" s="548">
        <v>1.0E10</v>
      </c>
      <c r="AE773" s="241"/>
      <c r="AF773" s="194"/>
      <c r="AG773" s="194"/>
      <c r="AH773" s="194"/>
      <c r="AI773" s="194"/>
    </row>
    <row r="774" hidden="1">
      <c r="A774" s="126"/>
      <c r="B774" s="195"/>
      <c r="C774" s="196"/>
      <c r="D774" s="286" t="s">
        <v>194</v>
      </c>
      <c r="E774" s="233"/>
      <c r="F774" s="233"/>
      <c r="G774" s="233"/>
      <c r="H774" s="234"/>
      <c r="I774" s="234"/>
      <c r="J774" s="222"/>
      <c r="K774" s="222" t="s">
        <v>735</v>
      </c>
      <c r="L774" s="346"/>
      <c r="M774" s="255"/>
      <c r="N774" s="365"/>
      <c r="O774" s="365"/>
      <c r="P774" s="365"/>
      <c r="Q774" s="238"/>
      <c r="R774" s="238"/>
      <c r="S774" s="238"/>
      <c r="T774" s="238"/>
      <c r="U774" s="238"/>
      <c r="V774" s="238"/>
      <c r="W774" s="238"/>
      <c r="X774" s="238"/>
      <c r="Y774" s="238"/>
      <c r="Z774" s="238"/>
      <c r="AA774" s="238"/>
      <c r="AB774" s="238"/>
      <c r="AC774" s="378">
        <f t="shared" si="385"/>
        <v>0</v>
      </c>
      <c r="AD774" s="214"/>
      <c r="AE774" s="192"/>
      <c r="AF774" s="194"/>
      <c r="AG774" s="194"/>
      <c r="AH774" s="194"/>
      <c r="AI774" s="194"/>
    </row>
    <row r="775" hidden="1">
      <c r="A775" s="126"/>
      <c r="B775" s="195"/>
      <c r="C775" s="196"/>
      <c r="D775" s="286" t="s">
        <v>919</v>
      </c>
      <c r="E775" s="233"/>
      <c r="F775" s="233"/>
      <c r="G775" s="233"/>
      <c r="H775" s="234"/>
      <c r="I775" s="234"/>
      <c r="J775" s="222"/>
      <c r="K775" s="222" t="s">
        <v>735</v>
      </c>
      <c r="L775" s="346"/>
      <c r="M775" s="255"/>
      <c r="N775" s="365"/>
      <c r="O775" s="365"/>
      <c r="P775" s="365"/>
      <c r="Q775" s="238"/>
      <c r="R775" s="238"/>
      <c r="S775" s="238"/>
      <c r="T775" s="238"/>
      <c r="U775" s="238"/>
      <c r="V775" s="238"/>
      <c r="W775" s="238"/>
      <c r="X775" s="238"/>
      <c r="Y775" s="238"/>
      <c r="Z775" s="238"/>
      <c r="AA775" s="238"/>
      <c r="AB775" s="238"/>
      <c r="AC775" s="378">
        <f t="shared" si="385"/>
        <v>0</v>
      </c>
      <c r="AD775" s="214"/>
      <c r="AE775" s="192"/>
      <c r="AF775" s="194"/>
      <c r="AG775" s="194"/>
      <c r="AH775" s="194"/>
      <c r="AI775" s="194"/>
    </row>
    <row r="776" ht="35.25" customHeight="1">
      <c r="A776" s="126"/>
      <c r="B776" s="195"/>
      <c r="C776" s="196">
        <v>32.0</v>
      </c>
      <c r="D776" s="730" t="s">
        <v>920</v>
      </c>
      <c r="E776" s="198" t="s">
        <v>186</v>
      </c>
      <c r="F776" s="198" t="s">
        <v>103</v>
      </c>
      <c r="G776" s="198" t="s">
        <v>86</v>
      </c>
      <c r="H776" s="198" t="s">
        <v>86</v>
      </c>
      <c r="I776" s="198" t="s">
        <v>187</v>
      </c>
      <c r="J776" s="198" t="s">
        <v>188</v>
      </c>
      <c r="K776" s="199" t="s">
        <v>735</v>
      </c>
      <c r="L776" s="540">
        <v>1.1807117818018E10</v>
      </c>
      <c r="M776" s="201" t="s">
        <v>921</v>
      </c>
      <c r="N776" s="541"/>
      <c r="O776" s="541">
        <v>45426.0</v>
      </c>
      <c r="P776" s="541">
        <v>45790.0</v>
      </c>
      <c r="Q776" s="204">
        <v>9.83933091E8</v>
      </c>
      <c r="R776" s="204">
        <v>9.83933091E8</v>
      </c>
      <c r="S776" s="204">
        <v>9.83933091E8</v>
      </c>
      <c r="T776" s="204">
        <v>9.83933091E8</v>
      </c>
      <c r="U776" s="204">
        <v>9.83933091E8</v>
      </c>
      <c r="V776" s="204">
        <v>9.83933091E8</v>
      </c>
      <c r="W776" s="204">
        <v>9.83933091E8</v>
      </c>
      <c r="X776" s="204">
        <v>9.83933091E8</v>
      </c>
      <c r="Y776" s="204">
        <v>9.83933091E8</v>
      </c>
      <c r="Z776" s="204">
        <v>9.83933091E8</v>
      </c>
      <c r="AA776" s="204">
        <v>9.83933091E8</v>
      </c>
      <c r="AB776" s="204">
        <v>9.83933091E8</v>
      </c>
      <c r="AC776" s="205">
        <v>1.1807197092E10</v>
      </c>
      <c r="AD776" s="178">
        <f>SUM(Q776:AB776)-AC776</f>
        <v>0</v>
      </c>
      <c r="AE776" s="192"/>
      <c r="AF776" s="725">
        <v>1.1807197092E10</v>
      </c>
      <c r="AG776" s="194"/>
      <c r="AH776" s="194"/>
      <c r="AI776" s="194"/>
    </row>
    <row r="777" hidden="1">
      <c r="A777" s="126"/>
      <c r="B777" s="195"/>
      <c r="C777" s="206"/>
      <c r="D777" s="215"/>
      <c r="E777" s="260"/>
      <c r="F777" s="207"/>
      <c r="G777" s="260"/>
      <c r="H777" s="206"/>
      <c r="I777" s="206"/>
      <c r="J777" s="206"/>
      <c r="K777" s="206" t="s">
        <v>735</v>
      </c>
      <c r="L777" s="245"/>
      <c r="M777" s="209"/>
      <c r="N777" s="367"/>
      <c r="O777" s="367"/>
      <c r="P777" s="367">
        <v>45790.0</v>
      </c>
      <c r="Q777" s="249">
        <v>9.83926484834835E8</v>
      </c>
      <c r="R777" s="249">
        <v>9.83926484834835E8</v>
      </c>
      <c r="S777" s="249">
        <v>9.83926484834835E8</v>
      </c>
      <c r="T777" s="249">
        <v>9.83926484834835E8</v>
      </c>
      <c r="U777" s="249">
        <v>9.83926484834835E8</v>
      </c>
      <c r="V777" s="212"/>
      <c r="W777" s="212"/>
      <c r="X777" s="212"/>
      <c r="Y777" s="212"/>
      <c r="Z777" s="212"/>
      <c r="AA777" s="212"/>
      <c r="AB777" s="212"/>
      <c r="AC777" s="213">
        <f t="shared" ref="AC777:AC782" si="386">SUM(Q777:AB777)</f>
        <v>4919632424</v>
      </c>
      <c r="AD777" s="273"/>
      <c r="AE777" s="241"/>
      <c r="AF777" s="194"/>
      <c r="AG777" s="194"/>
      <c r="AH777" s="194"/>
      <c r="AI777" s="194"/>
    </row>
    <row r="778" hidden="1">
      <c r="A778" s="126"/>
      <c r="B778" s="195"/>
      <c r="C778" s="206"/>
      <c r="D778" s="215" t="s">
        <v>922</v>
      </c>
      <c r="E778" s="260"/>
      <c r="F778" s="207"/>
      <c r="G778" s="260"/>
      <c r="H778" s="206"/>
      <c r="I778" s="206"/>
      <c r="J778" s="206"/>
      <c r="K778" s="206" t="s">
        <v>735</v>
      </c>
      <c r="L778" s="282">
        <v>1.7055676136E10</v>
      </c>
      <c r="M778" s="265"/>
      <c r="N778" s="283"/>
      <c r="O778" s="283">
        <f t="shared" ref="O778:O779" si="387">P777+1</f>
        <v>45791</v>
      </c>
      <c r="P778" s="368">
        <v>45900.0</v>
      </c>
      <c r="Q778" s="212"/>
      <c r="R778" s="212"/>
      <c r="S778" s="212"/>
      <c r="T778" s="249"/>
      <c r="U778" s="212"/>
      <c r="V778" s="212"/>
      <c r="W778" s="212"/>
      <c r="X778" s="212"/>
      <c r="Y778" s="212"/>
      <c r="Z778" s="212"/>
      <c r="AA778" s="212"/>
      <c r="AB778" s="212"/>
      <c r="AC778" s="213">
        <f t="shared" si="386"/>
        <v>0</v>
      </c>
      <c r="AD778" s="271"/>
      <c r="AE778" s="241"/>
      <c r="AF778" s="194"/>
      <c r="AG778" s="194"/>
      <c r="AH778" s="194"/>
      <c r="AI778" s="194"/>
    </row>
    <row r="779" hidden="1">
      <c r="A779" s="391"/>
      <c r="B779" s="392"/>
      <c r="C779" s="206"/>
      <c r="D779" s="207"/>
      <c r="E779" s="260"/>
      <c r="F779" s="207"/>
      <c r="G779" s="260"/>
      <c r="H779" s="206"/>
      <c r="I779" s="206"/>
      <c r="J779" s="242"/>
      <c r="K779" s="242" t="s">
        <v>735</v>
      </c>
      <c r="L779" s="280"/>
      <c r="M779" s="265"/>
      <c r="N779" s="283"/>
      <c r="O779" s="283">
        <f t="shared" si="387"/>
        <v>45901</v>
      </c>
      <c r="P779" s="283"/>
      <c r="Q779" s="212"/>
      <c r="R779" s="212"/>
      <c r="S779" s="212"/>
      <c r="T779" s="249"/>
      <c r="U779" s="504"/>
      <c r="V779" s="212"/>
      <c r="W779" s="212"/>
      <c r="X779" s="212"/>
      <c r="Y779" s="212"/>
      <c r="Z779" s="212"/>
      <c r="AA779" s="212"/>
      <c r="AB779" s="212"/>
      <c r="AC779" s="213">
        <f t="shared" si="386"/>
        <v>0</v>
      </c>
      <c r="AD779" s="737"/>
      <c r="AE779" s="411"/>
      <c r="AF779" s="412"/>
      <c r="AG779" s="412"/>
      <c r="AH779" s="412"/>
      <c r="AI779" s="412"/>
    </row>
    <row r="780" hidden="1">
      <c r="A780" s="126"/>
      <c r="B780" s="195"/>
      <c r="C780" s="222"/>
      <c r="D780" s="250" t="s">
        <v>923</v>
      </c>
      <c r="E780" s="233"/>
      <c r="F780" s="224"/>
      <c r="G780" s="233"/>
      <c r="H780" s="222"/>
      <c r="I780" s="222"/>
      <c r="J780" s="222"/>
      <c r="K780" s="222" t="s">
        <v>735</v>
      </c>
      <c r="L780" s="225"/>
      <c r="M780" s="383"/>
      <c r="N780" s="285"/>
      <c r="O780" s="285"/>
      <c r="P780" s="285"/>
      <c r="Q780" s="230">
        <f t="shared" ref="Q780:Q782" si="389">1002757381</f>
        <v>1002757381</v>
      </c>
      <c r="R780" s="230">
        <f t="shared" ref="R780:S780" si="388">Q780</f>
        <v>1002757381</v>
      </c>
      <c r="S780" s="230">
        <f t="shared" si="388"/>
        <v>1002757381</v>
      </c>
      <c r="T780" s="228">
        <v>9.07487169E8</v>
      </c>
      <c r="U780" s="229">
        <v>9.07487169E8</v>
      </c>
      <c r="V780" s="230"/>
      <c r="W780" s="230"/>
      <c r="X780" s="230"/>
      <c r="Y780" s="230"/>
      <c r="Z780" s="230"/>
      <c r="AA780" s="230"/>
      <c r="AB780" s="230"/>
      <c r="AC780" s="231">
        <f t="shared" si="386"/>
        <v>4823246481</v>
      </c>
      <c r="AD780" s="264">
        <v>9.375E8</v>
      </c>
      <c r="AE780" s="241"/>
      <c r="AF780" s="194"/>
      <c r="AG780" s="194"/>
      <c r="AH780" s="194"/>
      <c r="AI780" s="194"/>
    </row>
    <row r="781" hidden="1">
      <c r="A781" s="126"/>
      <c r="B781" s="195"/>
      <c r="C781" s="196"/>
      <c r="D781" s="286" t="s">
        <v>194</v>
      </c>
      <c r="E781" s="233"/>
      <c r="F781" s="233"/>
      <c r="G781" s="233"/>
      <c r="H781" s="234"/>
      <c r="I781" s="234"/>
      <c r="J781" s="222"/>
      <c r="K781" s="222" t="s">
        <v>735</v>
      </c>
      <c r="L781" s="346"/>
      <c r="M781" s="255"/>
      <c r="N781" s="365"/>
      <c r="O781" s="365"/>
      <c r="P781" s="365"/>
      <c r="Q781" s="230">
        <f t="shared" si="389"/>
        <v>1002757381</v>
      </c>
      <c r="R781" s="230">
        <f t="shared" ref="R781:S781" si="390">Q781</f>
        <v>1002757381</v>
      </c>
      <c r="S781" s="230">
        <f t="shared" si="390"/>
        <v>1002757381</v>
      </c>
      <c r="T781" s="228">
        <v>9.07487169E8</v>
      </c>
      <c r="U781" s="238"/>
      <c r="V781" s="238"/>
      <c r="W781" s="238"/>
      <c r="X781" s="238"/>
      <c r="Y781" s="238"/>
      <c r="Z781" s="238"/>
      <c r="AA781" s="238"/>
      <c r="AB781" s="238"/>
      <c r="AC781" s="378">
        <f t="shared" si="386"/>
        <v>3915759312</v>
      </c>
      <c r="AD781" s="214"/>
      <c r="AE781" s="192"/>
      <c r="AF781" s="194"/>
      <c r="AG781" s="194"/>
      <c r="AH781" s="194"/>
      <c r="AI781" s="194"/>
    </row>
    <row r="782" hidden="1">
      <c r="A782" s="126"/>
      <c r="B782" s="195"/>
      <c r="C782" s="196"/>
      <c r="D782" s="286" t="s">
        <v>924</v>
      </c>
      <c r="E782" s="233"/>
      <c r="F782" s="233"/>
      <c r="G782" s="233"/>
      <c r="H782" s="234"/>
      <c r="I782" s="234"/>
      <c r="J782" s="222"/>
      <c r="K782" s="222" t="s">
        <v>735</v>
      </c>
      <c r="L782" s="346"/>
      <c r="M782" s="255"/>
      <c r="N782" s="365"/>
      <c r="O782" s="365"/>
      <c r="P782" s="365"/>
      <c r="Q782" s="230">
        <f t="shared" si="389"/>
        <v>1002757381</v>
      </c>
      <c r="R782" s="230">
        <f t="shared" ref="R782:S782" si="391">Q782</f>
        <v>1002757381</v>
      </c>
      <c r="S782" s="230">
        <f t="shared" si="391"/>
        <v>1002757381</v>
      </c>
      <c r="T782" s="228">
        <v>9.07487169E8</v>
      </c>
      <c r="U782" s="238"/>
      <c r="V782" s="238"/>
      <c r="W782" s="238"/>
      <c r="X782" s="238"/>
      <c r="Y782" s="238"/>
      <c r="Z782" s="238"/>
      <c r="AA782" s="238"/>
      <c r="AB782" s="238"/>
      <c r="AC782" s="378">
        <f t="shared" si="386"/>
        <v>3915759312</v>
      </c>
      <c r="AD782" s="214"/>
      <c r="AE782" s="192"/>
      <c r="AF782" s="194"/>
      <c r="AG782" s="194"/>
      <c r="AH782" s="194"/>
      <c r="AI782" s="194"/>
    </row>
    <row r="783">
      <c r="A783" s="126"/>
      <c r="B783" s="195"/>
      <c r="C783" s="196">
        <v>33.0</v>
      </c>
      <c r="D783" s="730" t="s">
        <v>925</v>
      </c>
      <c r="E783" s="198" t="s">
        <v>186</v>
      </c>
      <c r="F783" s="198" t="s">
        <v>103</v>
      </c>
      <c r="G783" s="198" t="s">
        <v>86</v>
      </c>
      <c r="H783" s="198" t="s">
        <v>86</v>
      </c>
      <c r="I783" s="198" t="s">
        <v>187</v>
      </c>
      <c r="J783" s="198" t="s">
        <v>188</v>
      </c>
      <c r="K783" s="199" t="s">
        <v>735</v>
      </c>
      <c r="L783" s="347">
        <v>4.293894362E9</v>
      </c>
      <c r="M783" s="257" t="s">
        <v>926</v>
      </c>
      <c r="N783" s="366"/>
      <c r="O783" s="366">
        <v>45658.0</v>
      </c>
      <c r="P783" s="366">
        <v>46022.0</v>
      </c>
      <c r="Q783" s="204">
        <v>3.19259103E8</v>
      </c>
      <c r="R783" s="204">
        <v>3.19259103E8</v>
      </c>
      <c r="S783" s="204">
        <v>3.19259103E8</v>
      </c>
      <c r="T783" s="204">
        <v>3.19259103E8</v>
      </c>
      <c r="U783" s="204">
        <v>3.19259103E8</v>
      </c>
      <c r="V783" s="204">
        <v>3.19259103E8</v>
      </c>
      <c r="W783" s="204">
        <v>3.19259103E8</v>
      </c>
      <c r="X783" s="204">
        <v>3.19259103E8</v>
      </c>
      <c r="Y783" s="204">
        <v>3.19259103E8</v>
      </c>
      <c r="Z783" s="204">
        <v>3.19259103E8</v>
      </c>
      <c r="AA783" s="204">
        <v>3.19259103E8</v>
      </c>
      <c r="AB783" s="204">
        <v>3.19259103E8</v>
      </c>
      <c r="AC783" s="205">
        <v>3.831109236E9</v>
      </c>
      <c r="AD783" s="178">
        <f>SUM(Q783:AB783)-AC783</f>
        <v>0</v>
      </c>
      <c r="AE783" s="192"/>
      <c r="AF783" s="725">
        <v>3.831109236E9</v>
      </c>
      <c r="AG783" s="194"/>
      <c r="AH783" s="194"/>
      <c r="AI783" s="194"/>
    </row>
    <row r="784" hidden="1">
      <c r="A784" s="126"/>
      <c r="B784" s="195"/>
      <c r="C784" s="206"/>
      <c r="D784" s="207"/>
      <c r="E784" s="260"/>
      <c r="F784" s="207"/>
      <c r="G784" s="260"/>
      <c r="H784" s="206"/>
      <c r="I784" s="206"/>
      <c r="J784" s="206"/>
      <c r="K784" s="206" t="s">
        <v>735</v>
      </c>
      <c r="L784" s="277"/>
      <c r="M784" s="244"/>
      <c r="N784" s="389"/>
      <c r="O784" s="389"/>
      <c r="P784" s="389">
        <f>P783</f>
        <v>46022</v>
      </c>
      <c r="Q784" s="249">
        <v>3.5782453E8</v>
      </c>
      <c r="R784" s="249">
        <v>3.5782453E8</v>
      </c>
      <c r="S784" s="249">
        <v>3.5782453E8</v>
      </c>
      <c r="T784" s="249">
        <v>3.5782453E8</v>
      </c>
      <c r="U784" s="249">
        <v>3.5782453E8</v>
      </c>
      <c r="V784" s="249">
        <v>3.5782453E8</v>
      </c>
      <c r="W784" s="249">
        <v>3.5782453E8</v>
      </c>
      <c r="X784" s="249">
        <v>3.5782453E8</v>
      </c>
      <c r="Y784" s="249">
        <v>3.5782453E8</v>
      </c>
      <c r="Z784" s="249">
        <v>3.5782453E8</v>
      </c>
      <c r="AA784" s="249">
        <v>3.5782453E8</v>
      </c>
      <c r="AB784" s="249">
        <v>3.5782453E8</v>
      </c>
      <c r="AC784" s="213">
        <f t="shared" ref="AC784:AC787" si="392">SUM(Q784:AB784)</f>
        <v>4293894360</v>
      </c>
      <c r="AD784" s="273"/>
      <c r="AE784" s="241"/>
      <c r="AF784" s="194"/>
      <c r="AG784" s="194"/>
      <c r="AH784" s="194"/>
      <c r="AI784" s="194"/>
    </row>
    <row r="785" hidden="1">
      <c r="A785" s="126"/>
      <c r="B785" s="195"/>
      <c r="C785" s="222"/>
      <c r="D785" s="250" t="s">
        <v>927</v>
      </c>
      <c r="E785" s="233"/>
      <c r="F785" s="224"/>
      <c r="G785" s="233"/>
      <c r="H785" s="222"/>
      <c r="I785" s="222"/>
      <c r="J785" s="222"/>
      <c r="K785" s="222" t="s">
        <v>735</v>
      </c>
      <c r="L785" s="225"/>
      <c r="M785" s="383"/>
      <c r="N785" s="285"/>
      <c r="O785" s="285"/>
      <c r="P785" s="285"/>
      <c r="Q785" s="230">
        <f t="shared" ref="Q785:Q787" si="393">330963964</f>
        <v>330963964</v>
      </c>
      <c r="R785" s="230">
        <f t="shared" ref="R785:R787" si="394">323829730</f>
        <v>323829730</v>
      </c>
      <c r="S785" s="230">
        <f t="shared" ref="S785:S787" si="395">337763964</f>
        <v>337763964</v>
      </c>
      <c r="T785" s="270">
        <v>3.70922E8</v>
      </c>
      <c r="U785" s="270">
        <v>3.7161E8</v>
      </c>
      <c r="V785" s="230"/>
      <c r="W785" s="230"/>
      <c r="X785" s="230"/>
      <c r="Y785" s="230"/>
      <c r="Z785" s="230"/>
      <c r="AA785" s="230"/>
      <c r="AB785" s="230"/>
      <c r="AC785" s="231">
        <f t="shared" si="392"/>
        <v>1735089658</v>
      </c>
      <c r="AD785" s="273"/>
      <c r="AE785" s="241"/>
      <c r="AF785" s="194"/>
      <c r="AG785" s="194"/>
      <c r="AH785" s="194"/>
      <c r="AI785" s="194"/>
    </row>
    <row r="786" hidden="1">
      <c r="A786" s="126"/>
      <c r="B786" s="195"/>
      <c r="C786" s="196"/>
      <c r="D786" s="286" t="s">
        <v>194</v>
      </c>
      <c r="E786" s="233"/>
      <c r="F786" s="233"/>
      <c r="G786" s="233"/>
      <c r="H786" s="234"/>
      <c r="I786" s="234"/>
      <c r="J786" s="222"/>
      <c r="K786" s="222" t="s">
        <v>735</v>
      </c>
      <c r="L786" s="346"/>
      <c r="M786" s="255"/>
      <c r="N786" s="365"/>
      <c r="O786" s="365"/>
      <c r="P786" s="365"/>
      <c r="Q786" s="230">
        <f t="shared" si="393"/>
        <v>330963964</v>
      </c>
      <c r="R786" s="230">
        <f t="shared" si="394"/>
        <v>323829730</v>
      </c>
      <c r="S786" s="230">
        <f t="shared" si="395"/>
        <v>337763964</v>
      </c>
      <c r="T786" s="270">
        <v>3.70922E8</v>
      </c>
      <c r="U786" s="270">
        <v>3.7161E8</v>
      </c>
      <c r="V786" s="238"/>
      <c r="W786" s="238"/>
      <c r="X786" s="238"/>
      <c r="Y786" s="238"/>
      <c r="Z786" s="238"/>
      <c r="AA786" s="238"/>
      <c r="AB786" s="238"/>
      <c r="AC786" s="378">
        <f t="shared" si="392"/>
        <v>1735089658</v>
      </c>
      <c r="AD786" s="214"/>
      <c r="AE786" s="430"/>
      <c r="AF786" s="194"/>
      <c r="AG786" s="431"/>
      <c r="AH786" s="431"/>
      <c r="AI786" s="431"/>
    </row>
    <row r="787" hidden="1">
      <c r="A787" s="126"/>
      <c r="B787" s="195"/>
      <c r="C787" s="196"/>
      <c r="D787" s="286" t="s">
        <v>928</v>
      </c>
      <c r="E787" s="233"/>
      <c r="F787" s="233"/>
      <c r="G787" s="233"/>
      <c r="H787" s="234"/>
      <c r="I787" s="234"/>
      <c r="J787" s="222"/>
      <c r="K787" s="222" t="s">
        <v>735</v>
      </c>
      <c r="L787" s="346"/>
      <c r="M787" s="255"/>
      <c r="N787" s="365"/>
      <c r="O787" s="365"/>
      <c r="P787" s="365"/>
      <c r="Q787" s="230">
        <f t="shared" si="393"/>
        <v>330963964</v>
      </c>
      <c r="R787" s="230">
        <f t="shared" si="394"/>
        <v>323829730</v>
      </c>
      <c r="S787" s="230">
        <f t="shared" si="395"/>
        <v>337763964</v>
      </c>
      <c r="T787" s="270">
        <v>3.70922E8</v>
      </c>
      <c r="U787" s="270">
        <v>3.7161E8</v>
      </c>
      <c r="V787" s="238"/>
      <c r="W787" s="238"/>
      <c r="X787" s="238"/>
      <c r="Y787" s="238"/>
      <c r="Z787" s="238"/>
      <c r="AA787" s="238"/>
      <c r="AB787" s="238"/>
      <c r="AC787" s="378">
        <f t="shared" si="392"/>
        <v>1735089658</v>
      </c>
      <c r="AD787" s="214"/>
      <c r="AE787" s="430"/>
      <c r="AF787" s="194"/>
      <c r="AG787" s="431"/>
      <c r="AH787" s="431"/>
      <c r="AI787" s="431"/>
    </row>
    <row r="788">
      <c r="A788" s="126"/>
      <c r="B788" s="195"/>
      <c r="C788" s="196">
        <v>34.0</v>
      </c>
      <c r="D788" s="354" t="s">
        <v>929</v>
      </c>
      <c r="E788" s="198" t="s">
        <v>186</v>
      </c>
      <c r="F788" s="198" t="s">
        <v>103</v>
      </c>
      <c r="G788" s="198" t="s">
        <v>86</v>
      </c>
      <c r="H788" s="198" t="s">
        <v>86</v>
      </c>
      <c r="I788" s="198" t="s">
        <v>187</v>
      </c>
      <c r="J788" s="198" t="s">
        <v>188</v>
      </c>
      <c r="K788" s="199" t="s">
        <v>735</v>
      </c>
      <c r="L788" s="347">
        <v>1.82495225225225E9</v>
      </c>
      <c r="M788" s="257" t="s">
        <v>930</v>
      </c>
      <c r="N788" s="366"/>
      <c r="O788" s="366">
        <v>45536.0</v>
      </c>
      <c r="P788" s="366">
        <v>45900.0</v>
      </c>
      <c r="Q788" s="204">
        <v>1.01517478E8</v>
      </c>
      <c r="R788" s="204">
        <v>1.01517478E8</v>
      </c>
      <c r="S788" s="204">
        <v>1.01517478E8</v>
      </c>
      <c r="T788" s="204">
        <v>1.01517478E8</v>
      </c>
      <c r="U788" s="204">
        <v>1.01517478E8</v>
      </c>
      <c r="V788" s="204">
        <v>1.01517478E8</v>
      </c>
      <c r="W788" s="204">
        <v>1.01517478E8</v>
      </c>
      <c r="X788" s="204">
        <v>1.01517478E8</v>
      </c>
      <c r="Y788" s="204">
        <v>1.01517478E8</v>
      </c>
      <c r="Z788" s="204">
        <v>1.01517478E8</v>
      </c>
      <c r="AA788" s="204">
        <v>1.01517478E8</v>
      </c>
      <c r="AB788" s="204">
        <v>1.01517478E8</v>
      </c>
      <c r="AC788" s="205">
        <v>1.218209736E9</v>
      </c>
      <c r="AD788" s="178">
        <f>SUM(Q788:AB788)-AC788</f>
        <v>0</v>
      </c>
      <c r="AE788" s="430"/>
      <c r="AF788" s="725">
        <v>1.218209736E9</v>
      </c>
      <c r="AG788" s="431"/>
      <c r="AH788" s="431"/>
      <c r="AI788" s="431"/>
    </row>
    <row r="789" hidden="1">
      <c r="A789" s="126"/>
      <c r="B789" s="195"/>
      <c r="C789" s="206"/>
      <c r="D789" s="215"/>
      <c r="E789" s="260"/>
      <c r="F789" s="207"/>
      <c r="G789" s="260"/>
      <c r="H789" s="206"/>
      <c r="I789" s="206"/>
      <c r="J789" s="206"/>
      <c r="K789" s="206" t="s">
        <v>735</v>
      </c>
      <c r="L789" s="245"/>
      <c r="M789" s="209"/>
      <c r="N789" s="367"/>
      <c r="O789" s="367"/>
      <c r="P789" s="367">
        <f>P788</f>
        <v>45900</v>
      </c>
      <c r="Q789" s="249">
        <v>1.52079354354354E8</v>
      </c>
      <c r="R789" s="249">
        <v>1.52079354354354E8</v>
      </c>
      <c r="S789" s="249">
        <v>1.52079354354354E8</v>
      </c>
      <c r="T789" s="249">
        <v>1.52079354354354E8</v>
      </c>
      <c r="U789" s="249">
        <v>1.52079354354354E8</v>
      </c>
      <c r="V789" s="249">
        <v>1.52079354354354E8</v>
      </c>
      <c r="W789" s="249">
        <v>1.52079354354354E8</v>
      </c>
      <c r="X789" s="249">
        <v>1.52079354354354E8</v>
      </c>
      <c r="Y789" s="212"/>
      <c r="Z789" s="212"/>
      <c r="AA789" s="212"/>
      <c r="AB789" s="212"/>
      <c r="AC789" s="213">
        <f t="shared" ref="AC789:AC793" si="396">SUM(Q789:AB789)</f>
        <v>1216634835</v>
      </c>
      <c r="AD789" s="420"/>
      <c r="AE789" s="430"/>
      <c r="AF789" s="431"/>
      <c r="AG789" s="431"/>
      <c r="AH789" s="431"/>
      <c r="AI789" s="431"/>
    </row>
    <row r="790" hidden="1">
      <c r="A790" s="126"/>
      <c r="B790" s="195"/>
      <c r="C790" s="206"/>
      <c r="D790" s="207"/>
      <c r="E790" s="260"/>
      <c r="F790" s="207"/>
      <c r="G790" s="260"/>
      <c r="H790" s="206"/>
      <c r="I790" s="206"/>
      <c r="J790" s="206"/>
      <c r="K790" s="206" t="s">
        <v>735</v>
      </c>
      <c r="L790" s="277"/>
      <c r="M790" s="265"/>
      <c r="N790" s="389"/>
      <c r="O790" s="389">
        <f>P789+1</f>
        <v>45901</v>
      </c>
      <c r="P790" s="389"/>
      <c r="Q790" s="212"/>
      <c r="R790" s="212"/>
      <c r="S790" s="212"/>
      <c r="T790" s="249"/>
      <c r="U790" s="249"/>
      <c r="V790" s="212"/>
      <c r="W790" s="212"/>
      <c r="X790" s="212"/>
      <c r="Y790" s="212"/>
      <c r="Z790" s="212"/>
      <c r="AA790" s="212"/>
      <c r="AB790" s="212"/>
      <c r="AC790" s="213">
        <f t="shared" si="396"/>
        <v>0</v>
      </c>
      <c r="AD790" s="420"/>
      <c r="AE790" s="192"/>
      <c r="AF790" s="194"/>
      <c r="AG790" s="194"/>
      <c r="AH790" s="194"/>
      <c r="AI790" s="194"/>
    </row>
    <row r="791" hidden="1">
      <c r="A791" s="126"/>
      <c r="B791" s="195"/>
      <c r="C791" s="222"/>
      <c r="D791" s="250" t="s">
        <v>931</v>
      </c>
      <c r="E791" s="233"/>
      <c r="F791" s="224"/>
      <c r="G791" s="233"/>
      <c r="H791" s="222"/>
      <c r="I791" s="222"/>
      <c r="J791" s="222"/>
      <c r="K791" s="222" t="s">
        <v>735</v>
      </c>
      <c r="L791" s="225"/>
      <c r="M791" s="383"/>
      <c r="N791" s="285"/>
      <c r="O791" s="285"/>
      <c r="P791" s="285"/>
      <c r="Q791" s="238">
        <f>171941990</f>
        <v>171941990</v>
      </c>
      <c r="R791" s="238">
        <f>156811550</f>
        <v>156811550</v>
      </c>
      <c r="S791" s="238">
        <f>R791</f>
        <v>156811550</v>
      </c>
      <c r="T791" s="229">
        <v>1.90855609E8</v>
      </c>
      <c r="U791" s="229">
        <v>1.90855609E8</v>
      </c>
      <c r="V791" s="230"/>
      <c r="W791" s="230"/>
      <c r="X791" s="230"/>
      <c r="Y791" s="230"/>
      <c r="Z791" s="230"/>
      <c r="AA791" s="230"/>
      <c r="AB791" s="230"/>
      <c r="AC791" s="231">
        <f t="shared" si="396"/>
        <v>867276308</v>
      </c>
      <c r="AD791" s="420"/>
      <c r="AE791" s="241"/>
      <c r="AF791" s="194"/>
      <c r="AG791" s="194"/>
      <c r="AH791" s="194"/>
      <c r="AI791" s="194"/>
    </row>
    <row r="792" hidden="1">
      <c r="A792" s="126"/>
      <c r="B792" s="195"/>
      <c r="C792" s="196"/>
      <c r="D792" s="286" t="s">
        <v>194</v>
      </c>
      <c r="E792" s="233"/>
      <c r="F792" s="233"/>
      <c r="G792" s="233"/>
      <c r="H792" s="234"/>
      <c r="I792" s="234"/>
      <c r="J792" s="222"/>
      <c r="K792" s="222" t="s">
        <v>735</v>
      </c>
      <c r="L792" s="346"/>
      <c r="M792" s="255"/>
      <c r="N792" s="365"/>
      <c r="O792" s="365"/>
      <c r="P792" s="365"/>
      <c r="Q792" s="238"/>
      <c r="R792" s="238"/>
      <c r="S792" s="238"/>
      <c r="T792" s="238"/>
      <c r="U792" s="238"/>
      <c r="V792" s="238"/>
      <c r="W792" s="238"/>
      <c r="X792" s="238"/>
      <c r="Y792" s="238"/>
      <c r="Z792" s="238"/>
      <c r="AA792" s="238"/>
      <c r="AB792" s="238"/>
      <c r="AC792" s="378">
        <f t="shared" si="396"/>
        <v>0</v>
      </c>
      <c r="AD792" s="214"/>
      <c r="AE792" s="241"/>
      <c r="AF792" s="194"/>
      <c r="AG792" s="194"/>
      <c r="AH792" s="194"/>
      <c r="AI792" s="194"/>
    </row>
    <row r="793" hidden="1">
      <c r="A793" s="126"/>
      <c r="B793" s="195"/>
      <c r="C793" s="196"/>
      <c r="D793" s="286" t="s">
        <v>932</v>
      </c>
      <c r="E793" s="233"/>
      <c r="F793" s="233"/>
      <c r="G793" s="233"/>
      <c r="H793" s="234"/>
      <c r="I793" s="234"/>
      <c r="J793" s="222"/>
      <c r="K793" s="222" t="s">
        <v>735</v>
      </c>
      <c r="L793" s="346"/>
      <c r="M793" s="255"/>
      <c r="N793" s="365"/>
      <c r="O793" s="365"/>
      <c r="P793" s="365"/>
      <c r="Q793" s="238"/>
      <c r="R793" s="238"/>
      <c r="S793" s="238"/>
      <c r="T793" s="238"/>
      <c r="U793" s="238"/>
      <c r="V793" s="238"/>
      <c r="W793" s="238"/>
      <c r="X793" s="238"/>
      <c r="Y793" s="238"/>
      <c r="Z793" s="238"/>
      <c r="AA793" s="238"/>
      <c r="AB793" s="238"/>
      <c r="AC793" s="378">
        <f t="shared" si="396"/>
        <v>0</v>
      </c>
      <c r="AD793" s="214"/>
      <c r="AE793" s="241"/>
      <c r="AF793" s="194"/>
      <c r="AG793" s="194"/>
      <c r="AH793" s="194"/>
      <c r="AI793" s="194"/>
    </row>
    <row r="794">
      <c r="A794" s="126"/>
      <c r="B794" s="195"/>
      <c r="C794" s="196">
        <v>35.0</v>
      </c>
      <c r="D794" s="354" t="s">
        <v>933</v>
      </c>
      <c r="E794" s="198" t="s">
        <v>186</v>
      </c>
      <c r="F794" s="198" t="s">
        <v>135</v>
      </c>
      <c r="G794" s="198" t="s">
        <v>135</v>
      </c>
      <c r="H794" s="198" t="s">
        <v>203</v>
      </c>
      <c r="I794" s="198" t="s">
        <v>187</v>
      </c>
      <c r="J794" s="198" t="s">
        <v>188</v>
      </c>
      <c r="K794" s="199" t="s">
        <v>735</v>
      </c>
      <c r="L794" s="347">
        <f>3905299873.47</f>
        <v>3905299873</v>
      </c>
      <c r="M794" s="257" t="s">
        <v>934</v>
      </c>
      <c r="N794" s="366"/>
      <c r="O794" s="366">
        <v>45444.0</v>
      </c>
      <c r="P794" s="366">
        <v>45808.0</v>
      </c>
      <c r="Q794" s="204">
        <v>3.25441656E8</v>
      </c>
      <c r="R794" s="204">
        <v>3.25441656E8</v>
      </c>
      <c r="S794" s="204">
        <v>3.25441656E8</v>
      </c>
      <c r="T794" s="204">
        <v>3.25441656E8</v>
      </c>
      <c r="U794" s="204">
        <v>3.25441656E8</v>
      </c>
      <c r="V794" s="204">
        <v>3.25441656E8</v>
      </c>
      <c r="W794" s="204">
        <v>3.25441656E8</v>
      </c>
      <c r="X794" s="204">
        <v>3.25441656E8</v>
      </c>
      <c r="Y794" s="204">
        <v>3.25441656E8</v>
      </c>
      <c r="Z794" s="204">
        <v>3.25441656E8</v>
      </c>
      <c r="AA794" s="204">
        <v>3.25441656E8</v>
      </c>
      <c r="AB794" s="204">
        <v>3.25441656E8</v>
      </c>
      <c r="AC794" s="205">
        <v>3.905299872E9</v>
      </c>
      <c r="AD794" s="178">
        <f>SUM(Q794:AB794)-AC794</f>
        <v>0</v>
      </c>
      <c r="AE794" s="241"/>
      <c r="AF794" s="725">
        <v>3.905299872E9</v>
      </c>
      <c r="AG794" s="194"/>
      <c r="AH794" s="194"/>
      <c r="AI794" s="194"/>
    </row>
    <row r="795" hidden="1">
      <c r="A795" s="126"/>
      <c r="B795" s="195"/>
      <c r="C795" s="206"/>
      <c r="D795" s="207"/>
      <c r="E795" s="260"/>
      <c r="F795" s="207"/>
      <c r="G795" s="260"/>
      <c r="H795" s="206"/>
      <c r="I795" s="206"/>
      <c r="J795" s="206"/>
      <c r="K795" s="206" t="s">
        <v>735</v>
      </c>
      <c r="L795" s="277"/>
      <c r="M795" s="244"/>
      <c r="N795" s="389"/>
      <c r="O795" s="389"/>
      <c r="P795" s="389">
        <f t="shared" ref="P795:U795" si="397">P794</f>
        <v>45808</v>
      </c>
      <c r="Q795" s="212">
        <f t="shared" si="397"/>
        <v>325441656</v>
      </c>
      <c r="R795" s="212">
        <f t="shared" si="397"/>
        <v>325441656</v>
      </c>
      <c r="S795" s="212">
        <f t="shared" si="397"/>
        <v>325441656</v>
      </c>
      <c r="T795" s="212">
        <f t="shared" si="397"/>
        <v>325441656</v>
      </c>
      <c r="U795" s="212">
        <f t="shared" si="397"/>
        <v>325441656</v>
      </c>
      <c r="V795" s="212"/>
      <c r="W795" s="212"/>
      <c r="X795" s="212"/>
      <c r="Y795" s="212"/>
      <c r="Z795" s="212"/>
      <c r="AA795" s="212"/>
      <c r="AB795" s="212"/>
      <c r="AC795" s="213">
        <f t="shared" ref="AC795:AC800" si="398">SUM(Q795:AB795)</f>
        <v>1627208280</v>
      </c>
      <c r="AD795" s="420"/>
      <c r="AE795" s="430"/>
      <c r="AF795" s="431"/>
      <c r="AG795" s="431"/>
      <c r="AH795" s="431"/>
      <c r="AI795" s="431"/>
    </row>
    <row r="796" hidden="1">
      <c r="A796" s="126"/>
      <c r="B796" s="195"/>
      <c r="C796" s="206"/>
      <c r="D796" s="215" t="s">
        <v>935</v>
      </c>
      <c r="E796" s="260"/>
      <c r="F796" s="207"/>
      <c r="G796" s="260"/>
      <c r="H796" s="206"/>
      <c r="I796" s="206"/>
      <c r="J796" s="206"/>
      <c r="K796" s="206" t="s">
        <v>735</v>
      </c>
      <c r="L796" s="277"/>
      <c r="M796" s="265"/>
      <c r="N796" s="389"/>
      <c r="O796" s="389">
        <f t="shared" ref="O796:O797" si="399">P795+1</f>
        <v>45809</v>
      </c>
      <c r="P796" s="367">
        <v>46173.0</v>
      </c>
      <c r="Q796" s="212"/>
      <c r="R796" s="212"/>
      <c r="S796" s="212"/>
      <c r="T796" s="212"/>
      <c r="U796" s="212"/>
      <c r="V796" s="212"/>
      <c r="W796" s="212"/>
      <c r="X796" s="212"/>
      <c r="Y796" s="212"/>
      <c r="Z796" s="212"/>
      <c r="AA796" s="212"/>
      <c r="AB796" s="212"/>
      <c r="AC796" s="213">
        <f t="shared" si="398"/>
        <v>0</v>
      </c>
      <c r="AD796" s="420"/>
      <c r="AE796" s="192"/>
      <c r="AF796" s="194"/>
      <c r="AG796" s="194"/>
      <c r="AH796" s="194"/>
      <c r="AI796" s="194"/>
    </row>
    <row r="797" hidden="1">
      <c r="A797" s="391"/>
      <c r="B797" s="392"/>
      <c r="C797" s="206"/>
      <c r="D797" s="207"/>
      <c r="E797" s="260"/>
      <c r="F797" s="207"/>
      <c r="G797" s="260"/>
      <c r="H797" s="206"/>
      <c r="I797" s="206"/>
      <c r="J797" s="242"/>
      <c r="K797" s="242" t="s">
        <v>735</v>
      </c>
      <c r="L797" s="277"/>
      <c r="M797" s="265"/>
      <c r="N797" s="389"/>
      <c r="O797" s="389">
        <f t="shared" si="399"/>
        <v>46174</v>
      </c>
      <c r="P797" s="367">
        <v>46538.0</v>
      </c>
      <c r="Q797" s="212"/>
      <c r="R797" s="212"/>
      <c r="S797" s="267"/>
      <c r="T797" s="249"/>
      <c r="U797" s="249"/>
      <c r="V797" s="212"/>
      <c r="W797" s="212"/>
      <c r="X797" s="212"/>
      <c r="Y797" s="212"/>
      <c r="Z797" s="212"/>
      <c r="AA797" s="212"/>
      <c r="AB797" s="212"/>
      <c r="AC797" s="213">
        <f t="shared" si="398"/>
        <v>0</v>
      </c>
      <c r="AD797" s="410"/>
      <c r="AE797" s="726"/>
      <c r="AF797" s="412"/>
      <c r="AG797" s="412"/>
      <c r="AH797" s="412"/>
      <c r="AI797" s="412"/>
    </row>
    <row r="798" hidden="1">
      <c r="A798" s="126"/>
      <c r="B798" s="195"/>
      <c r="C798" s="222"/>
      <c r="D798" s="250" t="s">
        <v>936</v>
      </c>
      <c r="E798" s="233"/>
      <c r="F798" s="224"/>
      <c r="G798" s="233"/>
      <c r="H798" s="222"/>
      <c r="I798" s="222"/>
      <c r="J798" s="222"/>
      <c r="K798" s="222" t="s">
        <v>735</v>
      </c>
      <c r="L798" s="225"/>
      <c r="M798" s="383"/>
      <c r="N798" s="285"/>
      <c r="O798" s="285"/>
      <c r="P798" s="285"/>
      <c r="Q798" s="230">
        <f t="shared" ref="Q798:Q800" si="400">291965659</f>
        <v>291965659</v>
      </c>
      <c r="R798" s="230">
        <f t="shared" ref="R798:R800" si="401">306674463</f>
        <v>306674463</v>
      </c>
      <c r="S798" s="270">
        <v>3.40137229E8</v>
      </c>
      <c r="T798" s="228">
        <v>3.24611078E8</v>
      </c>
      <c r="U798" s="228">
        <v>3.37419923E8</v>
      </c>
      <c r="V798" s="230"/>
      <c r="W798" s="230"/>
      <c r="X798" s="230"/>
      <c r="Y798" s="230"/>
      <c r="Z798" s="230"/>
      <c r="AA798" s="230"/>
      <c r="AB798" s="230"/>
      <c r="AC798" s="231">
        <f t="shared" si="398"/>
        <v>1600808352</v>
      </c>
      <c r="AD798" s="420"/>
      <c r="AE798" s="241"/>
      <c r="AF798" s="194"/>
      <c r="AG798" s="194"/>
      <c r="AH798" s="194"/>
      <c r="AI798" s="194"/>
    </row>
    <row r="799" hidden="1">
      <c r="A799" s="126"/>
      <c r="B799" s="392"/>
      <c r="C799" s="222"/>
      <c r="D799" s="286" t="s">
        <v>194</v>
      </c>
      <c r="E799" s="527"/>
      <c r="F799" s="527"/>
      <c r="G799" s="527"/>
      <c r="H799" s="510"/>
      <c r="I799" s="510"/>
      <c r="J799" s="511"/>
      <c r="K799" s="222" t="s">
        <v>735</v>
      </c>
      <c r="L799" s="457"/>
      <c r="M799" s="473"/>
      <c r="N799" s="459"/>
      <c r="O799" s="459"/>
      <c r="P799" s="459"/>
      <c r="Q799" s="230">
        <f t="shared" si="400"/>
        <v>291965659</v>
      </c>
      <c r="R799" s="230">
        <f t="shared" si="401"/>
        <v>306674463</v>
      </c>
      <c r="S799" s="270">
        <v>3.40137229E8</v>
      </c>
      <c r="T799" s="228">
        <v>3.24611078E8</v>
      </c>
      <c r="U799" s="228">
        <v>3.37419923E8</v>
      </c>
      <c r="V799" s="452"/>
      <c r="W799" s="452"/>
      <c r="X799" s="452"/>
      <c r="Y799" s="452"/>
      <c r="Z799" s="452"/>
      <c r="AA799" s="452"/>
      <c r="AB799" s="452"/>
      <c r="AC799" s="378">
        <f t="shared" si="398"/>
        <v>1600808352</v>
      </c>
      <c r="AD799" s="420"/>
      <c r="AE799" s="241"/>
      <c r="AF799" s="194"/>
      <c r="AG799" s="194"/>
      <c r="AH799" s="194"/>
      <c r="AI799" s="194"/>
    </row>
    <row r="800" hidden="1">
      <c r="A800" s="126"/>
      <c r="B800" s="392"/>
      <c r="C800" s="222"/>
      <c r="D800" s="286" t="s">
        <v>937</v>
      </c>
      <c r="E800" s="527"/>
      <c r="F800" s="527"/>
      <c r="G800" s="527"/>
      <c r="H800" s="510"/>
      <c r="I800" s="510"/>
      <c r="J800" s="511"/>
      <c r="K800" s="222" t="s">
        <v>735</v>
      </c>
      <c r="L800" s="457"/>
      <c r="M800" s="473"/>
      <c r="N800" s="459"/>
      <c r="O800" s="459"/>
      <c r="P800" s="459"/>
      <c r="Q800" s="230">
        <f t="shared" si="400"/>
        <v>291965659</v>
      </c>
      <c r="R800" s="230">
        <f t="shared" si="401"/>
        <v>306674463</v>
      </c>
      <c r="S800" s="270">
        <v>3.40137229E8</v>
      </c>
      <c r="T800" s="228">
        <v>3.24611078E8</v>
      </c>
      <c r="U800" s="228">
        <v>3.37419923E8</v>
      </c>
      <c r="V800" s="452"/>
      <c r="W800" s="452"/>
      <c r="X800" s="452"/>
      <c r="Y800" s="452"/>
      <c r="Z800" s="452"/>
      <c r="AA800" s="452"/>
      <c r="AB800" s="452"/>
      <c r="AC800" s="378">
        <f t="shared" si="398"/>
        <v>1600808352</v>
      </c>
      <c r="AD800" s="420"/>
      <c r="AE800" s="241"/>
      <c r="AF800" s="194"/>
      <c r="AG800" s="194"/>
      <c r="AH800" s="194"/>
      <c r="AI800" s="194"/>
    </row>
    <row r="801">
      <c r="A801" s="126"/>
      <c r="B801" s="195"/>
      <c r="C801" s="196">
        <v>36.0</v>
      </c>
      <c r="D801" s="730" t="s">
        <v>938</v>
      </c>
      <c r="E801" s="198" t="s">
        <v>186</v>
      </c>
      <c r="F801" s="198" t="s">
        <v>103</v>
      </c>
      <c r="G801" s="198" t="s">
        <v>86</v>
      </c>
      <c r="H801" s="198" t="s">
        <v>86</v>
      </c>
      <c r="I801" s="198" t="s">
        <v>366</v>
      </c>
      <c r="J801" s="198" t="s">
        <v>367</v>
      </c>
      <c r="K801" s="199" t="s">
        <v>735</v>
      </c>
      <c r="L801" s="347">
        <v>8.97935973E8</v>
      </c>
      <c r="M801" s="257" t="s">
        <v>939</v>
      </c>
      <c r="N801" s="366"/>
      <c r="O801" s="366">
        <v>45383.0</v>
      </c>
      <c r="P801" s="366">
        <v>45747.0</v>
      </c>
      <c r="Q801" s="204">
        <v>7.5183308E7</v>
      </c>
      <c r="R801" s="204">
        <v>7.5183308E7</v>
      </c>
      <c r="S801" s="204">
        <v>7.5183308E7</v>
      </c>
      <c r="T801" s="204">
        <v>7.5183308E7</v>
      </c>
      <c r="U801" s="204">
        <v>7.5183308E7</v>
      </c>
      <c r="V801" s="204">
        <v>7.5183308E7</v>
      </c>
      <c r="W801" s="204">
        <v>7.5183308E7</v>
      </c>
      <c r="X801" s="204">
        <v>7.5183308E7</v>
      </c>
      <c r="Y801" s="204">
        <v>7.5183308E7</v>
      </c>
      <c r="Z801" s="204">
        <v>7.5183308E7</v>
      </c>
      <c r="AA801" s="204">
        <v>7.5183308E7</v>
      </c>
      <c r="AB801" s="204">
        <v>7.5183308E7</v>
      </c>
      <c r="AC801" s="205">
        <v>9.02199696E8</v>
      </c>
      <c r="AD801" s="178">
        <f>SUM(Q801:AB801)-AC801</f>
        <v>0</v>
      </c>
      <c r="AE801" s="241"/>
      <c r="AF801" s="725">
        <v>9.02199696E8</v>
      </c>
      <c r="AG801" s="194"/>
      <c r="AH801" s="194"/>
      <c r="AI801" s="194"/>
    </row>
    <row r="802" hidden="1">
      <c r="A802" s="126"/>
      <c r="B802" s="195"/>
      <c r="C802" s="206"/>
      <c r="D802" s="215"/>
      <c r="E802" s="260"/>
      <c r="F802" s="207"/>
      <c r="G802" s="260"/>
      <c r="H802" s="206"/>
      <c r="I802" s="206"/>
      <c r="J802" s="206"/>
      <c r="K802" s="206" t="s">
        <v>735</v>
      </c>
      <c r="L802" s="245"/>
      <c r="M802" s="209"/>
      <c r="N802" s="367"/>
      <c r="O802" s="367"/>
      <c r="P802" s="367">
        <f>P801</f>
        <v>45747</v>
      </c>
      <c r="Q802" s="249">
        <v>7.482799775E7</v>
      </c>
      <c r="R802" s="249">
        <v>7.482799775E7</v>
      </c>
      <c r="S802" s="249">
        <v>7.482799775E7</v>
      </c>
      <c r="T802" s="212"/>
      <c r="U802" s="212"/>
      <c r="V802" s="212"/>
      <c r="W802" s="212"/>
      <c r="X802" s="212"/>
      <c r="Y802" s="212"/>
      <c r="Z802" s="212"/>
      <c r="AA802" s="212"/>
      <c r="AB802" s="212"/>
      <c r="AC802" s="213">
        <f t="shared" ref="AC802:AC806" si="402">SUM(Q802:AB802)</f>
        <v>224483993.3</v>
      </c>
      <c r="AD802" s="420"/>
      <c r="AE802" s="241"/>
      <c r="AF802" s="194"/>
      <c r="AG802" s="194"/>
      <c r="AH802" s="194"/>
      <c r="AI802" s="194"/>
    </row>
    <row r="803" hidden="1">
      <c r="A803" s="126"/>
      <c r="B803" s="195"/>
      <c r="C803" s="206"/>
      <c r="D803" s="215" t="s">
        <v>940</v>
      </c>
      <c r="E803" s="260"/>
      <c r="F803" s="207"/>
      <c r="G803" s="260"/>
      <c r="H803" s="206"/>
      <c r="I803" s="206"/>
      <c r="J803" s="206"/>
      <c r="K803" s="206" t="s">
        <v>735</v>
      </c>
      <c r="L803" s="277"/>
      <c r="M803" s="265"/>
      <c r="N803" s="283"/>
      <c r="O803" s="283">
        <f>P802+1</f>
        <v>45748</v>
      </c>
      <c r="P803" s="389"/>
      <c r="Q803" s="212"/>
      <c r="R803" s="212"/>
      <c r="S803" s="212"/>
      <c r="T803" s="212"/>
      <c r="U803" s="212"/>
      <c r="V803" s="212"/>
      <c r="W803" s="212"/>
      <c r="X803" s="212"/>
      <c r="Y803" s="212"/>
      <c r="Z803" s="212"/>
      <c r="AA803" s="212"/>
      <c r="AB803" s="212"/>
      <c r="AC803" s="213">
        <f t="shared" si="402"/>
        <v>0</v>
      </c>
      <c r="AD803" s="420"/>
      <c r="AE803" s="430"/>
      <c r="AF803" s="431"/>
      <c r="AG803" s="431"/>
      <c r="AH803" s="431"/>
      <c r="AI803" s="431"/>
    </row>
    <row r="804" hidden="1">
      <c r="A804" s="126"/>
      <c r="B804" s="195"/>
      <c r="C804" s="222"/>
      <c r="D804" s="250" t="s">
        <v>941</v>
      </c>
      <c r="E804" s="233"/>
      <c r="F804" s="224"/>
      <c r="G804" s="233"/>
      <c r="H804" s="222"/>
      <c r="I804" s="222"/>
      <c r="J804" s="222"/>
      <c r="K804" s="222" t="s">
        <v>735</v>
      </c>
      <c r="L804" s="225"/>
      <c r="M804" s="383"/>
      <c r="N804" s="285"/>
      <c r="O804" s="285"/>
      <c r="P804" s="285"/>
      <c r="Q804" s="275">
        <f t="shared" ref="Q804:S804" si="403">74827997</f>
        <v>74827997</v>
      </c>
      <c r="R804" s="275">
        <f t="shared" si="403"/>
        <v>74827997</v>
      </c>
      <c r="S804" s="275">
        <f t="shared" si="403"/>
        <v>74827997</v>
      </c>
      <c r="T804" s="228"/>
      <c r="U804" s="228"/>
      <c r="V804" s="230"/>
      <c r="W804" s="230"/>
      <c r="X804" s="230"/>
      <c r="Y804" s="230"/>
      <c r="Z804" s="230"/>
      <c r="AA804" s="230"/>
      <c r="AB804" s="230"/>
      <c r="AC804" s="231">
        <f t="shared" si="402"/>
        <v>224483991</v>
      </c>
      <c r="AD804" s="420"/>
      <c r="AE804" s="241"/>
      <c r="AF804" s="194"/>
      <c r="AG804" s="194"/>
      <c r="AH804" s="194"/>
      <c r="AI804" s="194"/>
    </row>
    <row r="805" hidden="1">
      <c r="A805" s="126"/>
      <c r="B805" s="195"/>
      <c r="C805" s="196"/>
      <c r="D805" s="286" t="s">
        <v>194</v>
      </c>
      <c r="E805" s="233"/>
      <c r="F805" s="233"/>
      <c r="G805" s="233"/>
      <c r="H805" s="234"/>
      <c r="I805" s="234"/>
      <c r="J805" s="222"/>
      <c r="K805" s="222" t="s">
        <v>735</v>
      </c>
      <c r="L805" s="346"/>
      <c r="M805" s="255"/>
      <c r="N805" s="365"/>
      <c r="O805" s="365"/>
      <c r="P805" s="365"/>
      <c r="Q805" s="238">
        <f t="shared" ref="Q805:S805" si="404">74827997</f>
        <v>74827997</v>
      </c>
      <c r="R805" s="238">
        <f t="shared" si="404"/>
        <v>74827997</v>
      </c>
      <c r="S805" s="238">
        <f t="shared" si="404"/>
        <v>74827997</v>
      </c>
      <c r="T805" s="238"/>
      <c r="U805" s="238"/>
      <c r="V805" s="238"/>
      <c r="W805" s="238"/>
      <c r="X805" s="238"/>
      <c r="Y805" s="238"/>
      <c r="Z805" s="238"/>
      <c r="AA805" s="238"/>
      <c r="AB805" s="238"/>
      <c r="AC805" s="378">
        <f t="shared" si="402"/>
        <v>224483991</v>
      </c>
      <c r="AD805" s="214"/>
      <c r="AE805" s="241"/>
      <c r="AF805" s="194"/>
      <c r="AG805" s="194"/>
      <c r="AH805" s="194"/>
      <c r="AI805" s="194"/>
    </row>
    <row r="806" hidden="1">
      <c r="A806" s="126"/>
      <c r="B806" s="195"/>
      <c r="C806" s="196"/>
      <c r="D806" s="286" t="s">
        <v>942</v>
      </c>
      <c r="E806" s="233"/>
      <c r="F806" s="233"/>
      <c r="G806" s="233"/>
      <c r="H806" s="234"/>
      <c r="I806" s="234"/>
      <c r="J806" s="222"/>
      <c r="K806" s="222" t="s">
        <v>735</v>
      </c>
      <c r="L806" s="346"/>
      <c r="M806" s="255"/>
      <c r="N806" s="365"/>
      <c r="O806" s="365"/>
      <c r="P806" s="365"/>
      <c r="Q806" s="238"/>
      <c r="R806" s="238"/>
      <c r="S806" s="238"/>
      <c r="T806" s="238"/>
      <c r="U806" s="238"/>
      <c r="V806" s="238"/>
      <c r="W806" s="238"/>
      <c r="X806" s="238"/>
      <c r="Y806" s="238"/>
      <c r="Z806" s="238"/>
      <c r="AA806" s="238"/>
      <c r="AB806" s="238"/>
      <c r="AC806" s="378">
        <f t="shared" si="402"/>
        <v>0</v>
      </c>
      <c r="AD806" s="214"/>
      <c r="AE806" s="241"/>
      <c r="AF806" s="194"/>
      <c r="AG806" s="194"/>
      <c r="AH806" s="194"/>
      <c r="AI806" s="194"/>
    </row>
    <row r="807">
      <c r="A807" s="126"/>
      <c r="B807" s="195"/>
      <c r="C807" s="196">
        <v>37.0</v>
      </c>
      <c r="D807" s="354" t="s">
        <v>943</v>
      </c>
      <c r="E807" s="198" t="s">
        <v>186</v>
      </c>
      <c r="F807" s="198" t="s">
        <v>88</v>
      </c>
      <c r="G807" s="198" t="s">
        <v>88</v>
      </c>
      <c r="H807" s="198" t="s">
        <v>218</v>
      </c>
      <c r="I807" s="198" t="s">
        <v>187</v>
      </c>
      <c r="J807" s="198" t="s">
        <v>188</v>
      </c>
      <c r="K807" s="199" t="s">
        <v>735</v>
      </c>
      <c r="L807" s="347">
        <f>77372414038/1.11</f>
        <v>69704877512</v>
      </c>
      <c r="M807" s="257" t="s">
        <v>944</v>
      </c>
      <c r="N807" s="366"/>
      <c r="O807" s="366">
        <v>45139.0</v>
      </c>
      <c r="P807" s="366">
        <v>45504.0</v>
      </c>
      <c r="Q807" s="204">
        <v>5.550175517E9</v>
      </c>
      <c r="R807" s="204">
        <v>5.508056517E9</v>
      </c>
      <c r="S807" s="204">
        <v>5.550175517E9</v>
      </c>
      <c r="T807" s="204">
        <v>5.508056517E9</v>
      </c>
      <c r="U807" s="204">
        <v>5.550175517E9</v>
      </c>
      <c r="V807" s="204">
        <v>5.508056517E9</v>
      </c>
      <c r="W807" s="204">
        <v>5.550175517E9</v>
      </c>
      <c r="X807" s="204">
        <v>5.508056517E9</v>
      </c>
      <c r="Y807" s="204">
        <v>5.550175517E9</v>
      </c>
      <c r="Z807" s="204">
        <v>5.508056517E9</v>
      </c>
      <c r="AA807" s="204">
        <v>5.550175517E9</v>
      </c>
      <c r="AB807" s="204">
        <v>5.508056517E9</v>
      </c>
      <c r="AC807" s="205">
        <v>6.6349392204E10</v>
      </c>
      <c r="AD807" s="178">
        <f>SUM(Q807:AB807)-AC807</f>
        <v>0</v>
      </c>
      <c r="AE807" s="241"/>
      <c r="AF807" s="725">
        <v>6.6349392204E10</v>
      </c>
      <c r="AG807" s="194"/>
      <c r="AH807" s="194"/>
      <c r="AI807" s="194"/>
    </row>
    <row r="808" hidden="1">
      <c r="A808" s="126"/>
      <c r="B808" s="195"/>
      <c r="C808" s="206"/>
      <c r="D808" s="207"/>
      <c r="E808" s="260"/>
      <c r="F808" s="207"/>
      <c r="G808" s="260"/>
      <c r="H808" s="206"/>
      <c r="I808" s="206"/>
      <c r="J808" s="206"/>
      <c r="K808" s="206" t="s">
        <v>735</v>
      </c>
      <c r="L808" s="245">
        <v>1.8261330102E10</v>
      </c>
      <c r="M808" s="209" t="s">
        <v>945</v>
      </c>
      <c r="N808" s="367"/>
      <c r="O808" s="367">
        <v>45658.0</v>
      </c>
      <c r="P808" s="367">
        <v>45747.0</v>
      </c>
      <c r="Q808" s="249">
        <v>6.087110034E9</v>
      </c>
      <c r="R808" s="249">
        <v>6.087110034E9</v>
      </c>
      <c r="S808" s="249">
        <v>6.087110034E9</v>
      </c>
      <c r="T808" s="212"/>
      <c r="U808" s="212"/>
      <c r="V808" s="212"/>
      <c r="W808" s="212"/>
      <c r="X808" s="212"/>
      <c r="Y808" s="212"/>
      <c r="Z808" s="212"/>
      <c r="AA808" s="212"/>
      <c r="AB808" s="212"/>
      <c r="AC808" s="213">
        <f t="shared" ref="AC808:AC814" si="405">SUM(Q808:AB808)</f>
        <v>18261330102</v>
      </c>
      <c r="AD808" s="420"/>
      <c r="AE808" s="430"/>
      <c r="AF808" s="431"/>
      <c r="AG808" s="431"/>
      <c r="AH808" s="431"/>
      <c r="AI808" s="431"/>
    </row>
    <row r="809" hidden="1">
      <c r="A809" s="126"/>
      <c r="B809" s="195"/>
      <c r="C809" s="206"/>
      <c r="D809" s="207"/>
      <c r="E809" s="260"/>
      <c r="F809" s="207"/>
      <c r="G809" s="260"/>
      <c r="H809" s="206"/>
      <c r="I809" s="206"/>
      <c r="J809" s="206"/>
      <c r="K809" s="206" t="s">
        <v>735</v>
      </c>
      <c r="L809" s="245">
        <v>1.8261330102E10</v>
      </c>
      <c r="M809" s="247" t="s">
        <v>946</v>
      </c>
      <c r="N809" s="367"/>
      <c r="O809" s="367">
        <v>45748.0</v>
      </c>
      <c r="P809" s="367">
        <v>45838.0</v>
      </c>
      <c r="Q809" s="249"/>
      <c r="R809" s="249"/>
      <c r="S809" s="249"/>
      <c r="T809" s="212">
        <v>6.087110034E9</v>
      </c>
      <c r="U809" s="212">
        <v>6.087110034E9</v>
      </c>
      <c r="V809" s="212">
        <v>6.087110034E9</v>
      </c>
      <c r="W809" s="212"/>
      <c r="X809" s="212"/>
      <c r="Y809" s="212"/>
      <c r="Z809" s="212"/>
      <c r="AA809" s="212"/>
      <c r="AB809" s="212"/>
      <c r="AC809" s="213">
        <f t="shared" si="405"/>
        <v>18261330102</v>
      </c>
      <c r="AD809" s="420"/>
      <c r="AE809" s="241"/>
      <c r="AF809" s="194"/>
      <c r="AG809" s="194"/>
      <c r="AH809" s="194"/>
      <c r="AI809" s="194"/>
    </row>
    <row r="810" hidden="1">
      <c r="A810" s="126"/>
      <c r="B810" s="195"/>
      <c r="C810" s="206"/>
      <c r="D810" s="207"/>
      <c r="E810" s="260"/>
      <c r="F810" s="207"/>
      <c r="G810" s="260"/>
      <c r="H810" s="206"/>
      <c r="I810" s="206"/>
      <c r="J810" s="242"/>
      <c r="K810" s="242" t="s">
        <v>735</v>
      </c>
      <c r="L810" s="277"/>
      <c r="M810" s="265" t="s">
        <v>947</v>
      </c>
      <c r="N810" s="389"/>
      <c r="O810" s="389"/>
      <c r="P810" s="389"/>
      <c r="Q810" s="249"/>
      <c r="R810" s="249"/>
      <c r="S810" s="212"/>
      <c r="T810" s="212"/>
      <c r="U810" s="212"/>
      <c r="V810" s="212"/>
      <c r="W810" s="212"/>
      <c r="X810" s="212"/>
      <c r="Y810" s="212"/>
      <c r="Z810" s="212"/>
      <c r="AA810" s="212"/>
      <c r="AB810" s="212"/>
      <c r="AC810" s="213">
        <f t="shared" si="405"/>
        <v>0</v>
      </c>
      <c r="AD810" s="420"/>
      <c r="AE810" s="241"/>
      <c r="AF810" s="194"/>
      <c r="AG810" s="194"/>
      <c r="AH810" s="194"/>
      <c r="AI810" s="194"/>
    </row>
    <row r="811" hidden="1">
      <c r="A811" s="391"/>
      <c r="B811" s="392"/>
      <c r="C811" s="206"/>
      <c r="D811" s="265" t="s">
        <v>948</v>
      </c>
      <c r="E811" s="260"/>
      <c r="F811" s="207"/>
      <c r="G811" s="260"/>
      <c r="H811" s="206"/>
      <c r="I811" s="206"/>
      <c r="J811" s="242"/>
      <c r="K811" s="242" t="s">
        <v>735</v>
      </c>
      <c r="L811" s="277"/>
      <c r="M811" s="265"/>
      <c r="N811" s="283"/>
      <c r="O811" s="283">
        <f>P809+1</f>
        <v>45839</v>
      </c>
      <c r="P811" s="368">
        <v>45900.0</v>
      </c>
      <c r="Q811" s="249"/>
      <c r="R811" s="249"/>
      <c r="S811" s="212"/>
      <c r="T811" s="249"/>
      <c r="U811" s="249"/>
      <c r="V811" s="212"/>
      <c r="W811" s="212"/>
      <c r="X811" s="212"/>
      <c r="Y811" s="212"/>
      <c r="Z811" s="212"/>
      <c r="AA811" s="212"/>
      <c r="AB811" s="212"/>
      <c r="AC811" s="213">
        <f t="shared" si="405"/>
        <v>0</v>
      </c>
      <c r="AD811" s="410"/>
      <c r="AE811" s="411"/>
      <c r="AF811" s="412"/>
      <c r="AG811" s="412"/>
      <c r="AH811" s="412"/>
      <c r="AI811" s="412"/>
    </row>
    <row r="812" hidden="1">
      <c r="A812" s="126"/>
      <c r="B812" s="195"/>
      <c r="C812" s="222"/>
      <c r="D812" s="250" t="s">
        <v>949</v>
      </c>
      <c r="E812" s="233"/>
      <c r="F812" s="224"/>
      <c r="G812" s="233"/>
      <c r="H812" s="222"/>
      <c r="I812" s="222"/>
      <c r="J812" s="222"/>
      <c r="K812" s="222" t="s">
        <v>735</v>
      </c>
      <c r="L812" s="225"/>
      <c r="M812" s="383"/>
      <c r="N812" s="285"/>
      <c r="O812" s="285"/>
      <c r="P812" s="285"/>
      <c r="Q812" s="228">
        <v>5.699562217E9</v>
      </c>
      <c r="R812" s="228">
        <v>5.715156727E9</v>
      </c>
      <c r="S812" s="230">
        <f t="shared" ref="S812:S814" si="406">5660487141</f>
        <v>5660487141</v>
      </c>
      <c r="T812" s="228">
        <v>6.316348876E9</v>
      </c>
      <c r="U812" s="228">
        <v>6.22948425447E9</v>
      </c>
      <c r="V812" s="229">
        <v>5.720210079E9</v>
      </c>
      <c r="W812" s="230"/>
      <c r="X812" s="230"/>
      <c r="Y812" s="230"/>
      <c r="Z812" s="230"/>
      <c r="AA812" s="230"/>
      <c r="AB812" s="230"/>
      <c r="AC812" s="231">
        <f t="shared" si="405"/>
        <v>35341249294</v>
      </c>
      <c r="AD812" s="420"/>
      <c r="AE812" s="241"/>
      <c r="AF812" s="194"/>
      <c r="AG812" s="194"/>
      <c r="AH812" s="194"/>
      <c r="AI812" s="194"/>
    </row>
    <row r="813" hidden="1">
      <c r="A813" s="126"/>
      <c r="B813" s="195"/>
      <c r="C813" s="196"/>
      <c r="D813" s="286" t="s">
        <v>194</v>
      </c>
      <c r="E813" s="233"/>
      <c r="F813" s="233"/>
      <c r="G813" s="233"/>
      <c r="H813" s="234"/>
      <c r="I813" s="234"/>
      <c r="J813" s="222"/>
      <c r="K813" s="222" t="s">
        <v>735</v>
      </c>
      <c r="L813" s="346"/>
      <c r="M813" s="255"/>
      <c r="N813" s="365"/>
      <c r="O813" s="365"/>
      <c r="P813" s="365"/>
      <c r="Q813" s="228">
        <v>5.699562217E9</v>
      </c>
      <c r="R813" s="228">
        <v>5.715156727E9</v>
      </c>
      <c r="S813" s="230">
        <f t="shared" si="406"/>
        <v>5660487141</v>
      </c>
      <c r="T813" s="228">
        <v>6.316348876E9</v>
      </c>
      <c r="U813" s="228">
        <v>6.22948425447E9</v>
      </c>
      <c r="V813" s="238"/>
      <c r="W813" s="238"/>
      <c r="X813" s="238"/>
      <c r="Y813" s="238"/>
      <c r="Z813" s="238"/>
      <c r="AA813" s="238"/>
      <c r="AB813" s="238"/>
      <c r="AC813" s="378">
        <f t="shared" si="405"/>
        <v>29621039215</v>
      </c>
      <c r="AD813" s="214"/>
      <c r="AE813" s="430"/>
      <c r="AF813" s="194"/>
      <c r="AG813" s="431"/>
      <c r="AH813" s="431"/>
      <c r="AI813" s="431"/>
    </row>
    <row r="814" hidden="1">
      <c r="A814" s="126"/>
      <c r="B814" s="195"/>
      <c r="C814" s="196"/>
      <c r="D814" s="286" t="s">
        <v>950</v>
      </c>
      <c r="E814" s="233"/>
      <c r="F814" s="233"/>
      <c r="G814" s="233"/>
      <c r="H814" s="234"/>
      <c r="I814" s="234"/>
      <c r="J814" s="222"/>
      <c r="K814" s="222" t="s">
        <v>735</v>
      </c>
      <c r="L814" s="346"/>
      <c r="M814" s="255"/>
      <c r="N814" s="365"/>
      <c r="O814" s="365"/>
      <c r="P814" s="365"/>
      <c r="Q814" s="228">
        <v>5.699562217E9</v>
      </c>
      <c r="R814" s="228">
        <v>5.715156727E9</v>
      </c>
      <c r="S814" s="230">
        <f t="shared" si="406"/>
        <v>5660487141</v>
      </c>
      <c r="T814" s="228">
        <v>6.316348876E9</v>
      </c>
      <c r="U814" s="228">
        <v>6.22948425447E9</v>
      </c>
      <c r="V814" s="238"/>
      <c r="W814" s="238"/>
      <c r="X814" s="238"/>
      <c r="Y814" s="238"/>
      <c r="Z814" s="238"/>
      <c r="AA814" s="238"/>
      <c r="AB814" s="238"/>
      <c r="AC814" s="378">
        <f t="shared" si="405"/>
        <v>29621039215</v>
      </c>
      <c r="AD814" s="214"/>
      <c r="AE814" s="430"/>
      <c r="AF814" s="194"/>
      <c r="AG814" s="431"/>
      <c r="AH814" s="431"/>
      <c r="AI814" s="431"/>
    </row>
    <row r="815">
      <c r="A815" s="126"/>
      <c r="B815" s="195"/>
      <c r="C815" s="196">
        <v>38.0</v>
      </c>
      <c r="D815" s="354" t="s">
        <v>951</v>
      </c>
      <c r="E815" s="198" t="s">
        <v>186</v>
      </c>
      <c r="F815" s="198" t="s">
        <v>88</v>
      </c>
      <c r="G815" s="198" t="s">
        <v>88</v>
      </c>
      <c r="H815" s="198" t="s">
        <v>218</v>
      </c>
      <c r="I815" s="198" t="s">
        <v>187</v>
      </c>
      <c r="J815" s="198" t="s">
        <v>188</v>
      </c>
      <c r="K815" s="199" t="s">
        <v>735</v>
      </c>
      <c r="L815" s="347">
        <f>12130570075/1.11</f>
        <v>10928441509</v>
      </c>
      <c r="M815" s="257" t="s">
        <v>952</v>
      </c>
      <c r="N815" s="366"/>
      <c r="O815" s="366">
        <v>45292.0</v>
      </c>
      <c r="P815" s="541">
        <v>45657.0</v>
      </c>
      <c r="Q815" s="204">
        <v>8.50182459E8</v>
      </c>
      <c r="R815" s="204">
        <v>8.43721959E8</v>
      </c>
      <c r="S815" s="204">
        <v>8.50182459E8</v>
      </c>
      <c r="T815" s="204">
        <v>8.43721959E8</v>
      </c>
      <c r="U815" s="204">
        <v>8.50182459E8</v>
      </c>
      <c r="V815" s="204">
        <v>8.43721959E8</v>
      </c>
      <c r="W815" s="204">
        <v>8.50182459E8</v>
      </c>
      <c r="X815" s="204">
        <v>8.43721959E8</v>
      </c>
      <c r="Y815" s="204">
        <v>8.50182459E8</v>
      </c>
      <c r="Z815" s="204">
        <v>8.43721959E8</v>
      </c>
      <c r="AA815" s="204">
        <v>8.50182459E8</v>
      </c>
      <c r="AB815" s="204">
        <v>8.43721959E8</v>
      </c>
      <c r="AC815" s="205">
        <v>1.0163426508E10</v>
      </c>
      <c r="AD815" s="178">
        <f>SUM(Q815:AB815)-AC815</f>
        <v>0</v>
      </c>
      <c r="AE815" s="430"/>
      <c r="AF815" s="725">
        <v>1.0163426508E10</v>
      </c>
      <c r="AG815" s="431"/>
      <c r="AH815" s="431"/>
      <c r="AI815" s="431"/>
    </row>
    <row r="816" hidden="1">
      <c r="A816" s="126"/>
      <c r="B816" s="195"/>
      <c r="C816" s="206"/>
      <c r="D816" s="207"/>
      <c r="E816" s="260"/>
      <c r="F816" s="207"/>
      <c r="G816" s="260"/>
      <c r="H816" s="206"/>
      <c r="I816" s="206"/>
      <c r="J816" s="206"/>
      <c r="K816" s="206" t="s">
        <v>735</v>
      </c>
      <c r="L816" s="245">
        <v>2.814006731E9</v>
      </c>
      <c r="M816" s="209" t="s">
        <v>953</v>
      </c>
      <c r="N816" s="367"/>
      <c r="O816" s="367">
        <v>45658.0</v>
      </c>
      <c r="P816" s="367">
        <v>45747.0</v>
      </c>
      <c r="Q816" s="212">
        <f>L816/3</f>
        <v>938002243.7</v>
      </c>
      <c r="R816" s="212">
        <f t="shared" ref="R816:S816" si="407">Q816</f>
        <v>938002243.7</v>
      </c>
      <c r="S816" s="212">
        <f t="shared" si="407"/>
        <v>938002243.7</v>
      </c>
      <c r="T816" s="212"/>
      <c r="U816" s="212"/>
      <c r="V816" s="212"/>
      <c r="W816" s="212"/>
      <c r="X816" s="212"/>
      <c r="Y816" s="212"/>
      <c r="Z816" s="212"/>
      <c r="AA816" s="212"/>
      <c r="AB816" s="212"/>
      <c r="AC816" s="213">
        <f t="shared" ref="AC816:AC821" si="408">SUM(Q816:AB816)</f>
        <v>2814006731</v>
      </c>
      <c r="AD816" s="420"/>
      <c r="AE816" s="241"/>
      <c r="AF816" s="194"/>
      <c r="AG816" s="194"/>
      <c r="AH816" s="194"/>
      <c r="AI816" s="194"/>
    </row>
    <row r="817" hidden="1">
      <c r="A817" s="126"/>
      <c r="B817" s="195"/>
      <c r="C817" s="206"/>
      <c r="D817" s="207"/>
      <c r="E817" s="260"/>
      <c r="F817" s="207"/>
      <c r="G817" s="260"/>
      <c r="H817" s="206"/>
      <c r="I817" s="206"/>
      <c r="J817" s="206"/>
      <c r="K817" s="206" t="s">
        <v>735</v>
      </c>
      <c r="L817" s="245">
        <v>2.814006731E9</v>
      </c>
      <c r="M817" s="246" t="s">
        <v>953</v>
      </c>
      <c r="N817" s="367"/>
      <c r="O817" s="367">
        <v>45748.0</v>
      </c>
      <c r="P817" s="367">
        <v>45838.0</v>
      </c>
      <c r="Q817" s="249"/>
      <c r="R817" s="249"/>
      <c r="S817" s="212"/>
      <c r="T817" s="212">
        <f>S816</f>
        <v>938002243.7</v>
      </c>
      <c r="U817" s="212">
        <v>9.380022436666666E8</v>
      </c>
      <c r="V817" s="212">
        <v>9.380022436666666E8</v>
      </c>
      <c r="W817" s="212"/>
      <c r="X817" s="212"/>
      <c r="Y817" s="212"/>
      <c r="Z817" s="212"/>
      <c r="AA817" s="212"/>
      <c r="AB817" s="212"/>
      <c r="AC817" s="213">
        <f t="shared" si="408"/>
        <v>2814006731</v>
      </c>
      <c r="AD817" s="420"/>
      <c r="AE817" s="241"/>
      <c r="AF817" s="194"/>
      <c r="AG817" s="194"/>
      <c r="AH817" s="194"/>
      <c r="AI817" s="194"/>
    </row>
    <row r="818" hidden="1">
      <c r="A818" s="126"/>
      <c r="B818" s="195"/>
      <c r="C818" s="206"/>
      <c r="D818" s="265" t="s">
        <v>948</v>
      </c>
      <c r="E818" s="260"/>
      <c r="F818" s="207"/>
      <c r="G818" s="260"/>
      <c r="H818" s="206"/>
      <c r="I818" s="206"/>
      <c r="J818" s="206"/>
      <c r="K818" s="206" t="s">
        <v>735</v>
      </c>
      <c r="L818" s="277"/>
      <c r="M818" s="265"/>
      <c r="N818" s="283"/>
      <c r="O818" s="283">
        <f>P817+1</f>
        <v>45839</v>
      </c>
      <c r="P818" s="368">
        <v>45900.0</v>
      </c>
      <c r="Q818" s="249"/>
      <c r="R818" s="249"/>
      <c r="S818" s="212"/>
      <c r="T818" s="212"/>
      <c r="U818" s="212"/>
      <c r="V818" s="212"/>
      <c r="W818" s="212"/>
      <c r="X818" s="212"/>
      <c r="Y818" s="212"/>
      <c r="Z818" s="212"/>
      <c r="AA818" s="212"/>
      <c r="AB818" s="212"/>
      <c r="AC818" s="213">
        <f t="shared" si="408"/>
        <v>0</v>
      </c>
      <c r="AD818" s="420"/>
      <c r="AE818" s="430"/>
      <c r="AF818" s="431"/>
      <c r="AG818" s="431"/>
      <c r="AH818" s="431"/>
      <c r="AI818" s="431"/>
    </row>
    <row r="819" hidden="1">
      <c r="A819" s="126"/>
      <c r="B819" s="195"/>
      <c r="C819" s="222"/>
      <c r="D819" s="250" t="s">
        <v>954</v>
      </c>
      <c r="E819" s="233"/>
      <c r="F819" s="224"/>
      <c r="G819" s="233"/>
      <c r="H819" s="222"/>
      <c r="I819" s="222"/>
      <c r="J819" s="222"/>
      <c r="K819" s="222" t="s">
        <v>735</v>
      </c>
      <c r="L819" s="225"/>
      <c r="M819" s="383"/>
      <c r="N819" s="285"/>
      <c r="O819" s="285"/>
      <c r="P819" s="285"/>
      <c r="Q819" s="228">
        <v>8.82658306E8</v>
      </c>
      <c r="R819" s="228">
        <v>8.80523055E8</v>
      </c>
      <c r="S819" s="230">
        <f t="shared" ref="S819:S821" si="409">873350806</f>
        <v>873350806</v>
      </c>
      <c r="T819" s="228">
        <v>9.7829217966E8</v>
      </c>
      <c r="U819" s="270">
        <v>9.6835401555E8</v>
      </c>
      <c r="V819" s="229">
        <v>8.8027506E8</v>
      </c>
      <c r="W819" s="238"/>
      <c r="X819" s="230"/>
      <c r="Y819" s="230"/>
      <c r="Z819" s="230"/>
      <c r="AA819" s="230"/>
      <c r="AB819" s="230"/>
      <c r="AC819" s="231">
        <f t="shared" si="408"/>
        <v>5463453422</v>
      </c>
      <c r="AD819" s="420"/>
      <c r="AE819" s="430"/>
      <c r="AF819" s="194"/>
      <c r="AG819" s="431"/>
      <c r="AH819" s="431"/>
      <c r="AI819" s="431"/>
    </row>
    <row r="820" hidden="1">
      <c r="A820" s="126"/>
      <c r="B820" s="195"/>
      <c r="C820" s="196"/>
      <c r="D820" s="286" t="s">
        <v>194</v>
      </c>
      <c r="E820" s="233"/>
      <c r="F820" s="233"/>
      <c r="G820" s="233"/>
      <c r="H820" s="234"/>
      <c r="I820" s="234"/>
      <c r="J820" s="222"/>
      <c r="K820" s="222" t="s">
        <v>735</v>
      </c>
      <c r="L820" s="225"/>
      <c r="M820" s="236"/>
      <c r="N820" s="285"/>
      <c r="O820" s="285"/>
      <c r="P820" s="285"/>
      <c r="Q820" s="228">
        <v>8.82658306E8</v>
      </c>
      <c r="R820" s="228">
        <v>8.80523055E8</v>
      </c>
      <c r="S820" s="230">
        <f t="shared" si="409"/>
        <v>873350806</v>
      </c>
      <c r="T820" s="228">
        <v>9.7829217966E8</v>
      </c>
      <c r="U820" s="229">
        <v>9.6835401555E8</v>
      </c>
      <c r="V820" s="238"/>
      <c r="W820" s="238"/>
      <c r="X820" s="238"/>
      <c r="Y820" s="238"/>
      <c r="Z820" s="238"/>
      <c r="AA820" s="238"/>
      <c r="AB820" s="238"/>
      <c r="AC820" s="378">
        <f t="shared" si="408"/>
        <v>4583178362</v>
      </c>
      <c r="AD820" s="214"/>
      <c r="AE820" s="192"/>
      <c r="AF820" s="194"/>
      <c r="AG820" s="194"/>
      <c r="AH820" s="194"/>
      <c r="AI820" s="194"/>
    </row>
    <row r="821" hidden="1">
      <c r="A821" s="126"/>
      <c r="B821" s="195"/>
      <c r="C821" s="196"/>
      <c r="D821" s="286" t="s">
        <v>955</v>
      </c>
      <c r="E821" s="233"/>
      <c r="F821" s="233"/>
      <c r="G821" s="233"/>
      <c r="H821" s="234"/>
      <c r="I821" s="234"/>
      <c r="J821" s="222"/>
      <c r="K821" s="222" t="s">
        <v>735</v>
      </c>
      <c r="L821" s="225"/>
      <c r="M821" s="236"/>
      <c r="N821" s="285"/>
      <c r="O821" s="285"/>
      <c r="P821" s="285"/>
      <c r="Q821" s="228">
        <v>8.82658306E8</v>
      </c>
      <c r="R821" s="228">
        <v>8.80523055E8</v>
      </c>
      <c r="S821" s="230">
        <f t="shared" si="409"/>
        <v>873350806</v>
      </c>
      <c r="T821" s="228">
        <v>9.7829217966E8</v>
      </c>
      <c r="U821" s="238"/>
      <c r="V821" s="238"/>
      <c r="W821" s="238"/>
      <c r="X821" s="238"/>
      <c r="Y821" s="238"/>
      <c r="Z821" s="238"/>
      <c r="AA821" s="238"/>
      <c r="AB821" s="238"/>
      <c r="AC821" s="378">
        <f t="shared" si="408"/>
        <v>3614824347</v>
      </c>
      <c r="AD821" s="214"/>
      <c r="AE821" s="192"/>
      <c r="AF821" s="194"/>
      <c r="AG821" s="194"/>
      <c r="AH821" s="194"/>
      <c r="AI821" s="194"/>
    </row>
    <row r="822">
      <c r="A822" s="126"/>
      <c r="B822" s="195"/>
      <c r="C822" s="196">
        <v>39.0</v>
      </c>
      <c r="D822" s="730" t="s">
        <v>956</v>
      </c>
      <c r="E822" s="198" t="s">
        <v>186</v>
      </c>
      <c r="F822" s="198" t="s">
        <v>103</v>
      </c>
      <c r="G822" s="198" t="s">
        <v>84</v>
      </c>
      <c r="H822" s="198" t="s">
        <v>84</v>
      </c>
      <c r="I822" s="198" t="s">
        <v>187</v>
      </c>
      <c r="J822" s="198" t="s">
        <v>188</v>
      </c>
      <c r="K822" s="199" t="s">
        <v>735</v>
      </c>
      <c r="L822" s="355"/>
      <c r="M822" s="188"/>
      <c r="N822" s="686"/>
      <c r="O822" s="686"/>
      <c r="P822" s="686"/>
      <c r="Q822" s="204">
        <v>2.4166666666666665E9</v>
      </c>
      <c r="R822" s="204">
        <v>2.4166666666666665E9</v>
      </c>
      <c r="S822" s="204">
        <v>2.4166666666666665E9</v>
      </c>
      <c r="T822" s="204">
        <v>2.41666666766667E9</v>
      </c>
      <c r="U822" s="204">
        <v>2.41666666766667E9</v>
      </c>
      <c r="V822" s="204">
        <v>2.41666666866667E9</v>
      </c>
      <c r="W822" s="204">
        <v>2.41666666866667E9</v>
      </c>
      <c r="X822" s="204">
        <v>2.41666666966667E9</v>
      </c>
      <c r="Y822" s="204">
        <v>2.41666666966667E9</v>
      </c>
      <c r="Z822" s="204">
        <v>2.41666667066667E9</v>
      </c>
      <c r="AA822" s="204">
        <v>2.41666667066667E9</v>
      </c>
      <c r="AB822" s="204">
        <v>2.41666667166667E9</v>
      </c>
      <c r="AC822" s="205">
        <v>2.900000002500004E10</v>
      </c>
      <c r="AD822" s="178">
        <f>SUM(Q822:AB822)-AC822</f>
        <v>0</v>
      </c>
      <c r="AE822" s="241"/>
      <c r="AF822" s="725">
        <v>2.9000000025E10</v>
      </c>
      <c r="AG822" s="194"/>
      <c r="AH822" s="194"/>
      <c r="AI822" s="194"/>
    </row>
    <row r="823" hidden="1">
      <c r="A823" s="126"/>
      <c r="B823" s="195"/>
      <c r="C823" s="206"/>
      <c r="D823" s="207"/>
      <c r="E823" s="260"/>
      <c r="F823" s="207"/>
      <c r="G823" s="260"/>
      <c r="H823" s="206"/>
      <c r="I823" s="206"/>
      <c r="J823" s="206"/>
      <c r="K823" s="206" t="s">
        <v>735</v>
      </c>
      <c r="L823" s="277"/>
      <c r="M823" s="244"/>
      <c r="N823" s="389"/>
      <c r="O823" s="389"/>
      <c r="P823" s="389"/>
      <c r="Q823" s="212"/>
      <c r="R823" s="212"/>
      <c r="S823" s="212"/>
      <c r="T823" s="212"/>
      <c r="U823" s="212"/>
      <c r="V823" s="212"/>
      <c r="W823" s="212"/>
      <c r="X823" s="212"/>
      <c r="Y823" s="212"/>
      <c r="Z823" s="212"/>
      <c r="AA823" s="212"/>
      <c r="AB823" s="212"/>
      <c r="AC823" s="213">
        <f t="shared" ref="AC823:AC826" si="410">SUM(Q823:AB823)</f>
        <v>0</v>
      </c>
      <c r="AD823" s="420"/>
      <c r="AE823" s="241"/>
      <c r="AF823" s="194"/>
      <c r="AG823" s="194"/>
      <c r="AH823" s="194"/>
      <c r="AI823" s="194"/>
    </row>
    <row r="824" hidden="1">
      <c r="A824" s="126"/>
      <c r="B824" s="195"/>
      <c r="C824" s="222"/>
      <c r="D824" s="250" t="s">
        <v>957</v>
      </c>
      <c r="E824" s="233"/>
      <c r="F824" s="224"/>
      <c r="G824" s="233"/>
      <c r="H824" s="222"/>
      <c r="I824" s="222"/>
      <c r="J824" s="222"/>
      <c r="K824" s="222" t="s">
        <v>735</v>
      </c>
      <c r="L824" s="225"/>
      <c r="M824" s="236"/>
      <c r="N824" s="285"/>
      <c r="O824" s="285"/>
      <c r="P824" s="285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  <c r="AA824" s="230"/>
      <c r="AB824" s="230"/>
      <c r="AC824" s="231">
        <f t="shared" si="410"/>
        <v>0</v>
      </c>
      <c r="AD824" s="420"/>
      <c r="AE824" s="430"/>
      <c r="AF824" s="194"/>
      <c r="AG824" s="431"/>
      <c r="AH824" s="431"/>
      <c r="AI824" s="431"/>
    </row>
    <row r="825" hidden="1">
      <c r="A825" s="126"/>
      <c r="B825" s="195"/>
      <c r="C825" s="196"/>
      <c r="D825" s="286" t="s">
        <v>194</v>
      </c>
      <c r="E825" s="233"/>
      <c r="F825" s="233"/>
      <c r="G825" s="233"/>
      <c r="H825" s="234"/>
      <c r="I825" s="234"/>
      <c r="J825" s="222"/>
      <c r="K825" s="222" t="s">
        <v>735</v>
      </c>
      <c r="L825" s="225"/>
      <c r="M825" s="236"/>
      <c r="N825" s="285"/>
      <c r="O825" s="285"/>
      <c r="P825" s="285"/>
      <c r="Q825" s="238"/>
      <c r="R825" s="238"/>
      <c r="S825" s="238"/>
      <c r="T825" s="238"/>
      <c r="U825" s="238"/>
      <c r="V825" s="238"/>
      <c r="W825" s="238"/>
      <c r="X825" s="238"/>
      <c r="Y825" s="238"/>
      <c r="Z825" s="238"/>
      <c r="AA825" s="238"/>
      <c r="AB825" s="238"/>
      <c r="AC825" s="378">
        <f t="shared" si="410"/>
        <v>0</v>
      </c>
      <c r="AD825" s="214"/>
      <c r="AE825" s="192"/>
      <c r="AF825" s="194"/>
      <c r="AG825" s="194"/>
      <c r="AH825" s="194"/>
      <c r="AI825" s="194"/>
    </row>
    <row r="826" hidden="1">
      <c r="A826" s="126"/>
      <c r="B826" s="195"/>
      <c r="C826" s="196"/>
      <c r="D826" s="286" t="s">
        <v>958</v>
      </c>
      <c r="E826" s="233"/>
      <c r="F826" s="233"/>
      <c r="G826" s="233"/>
      <c r="H826" s="234"/>
      <c r="I826" s="234"/>
      <c r="J826" s="222"/>
      <c r="K826" s="222" t="s">
        <v>735</v>
      </c>
      <c r="L826" s="225"/>
      <c r="M826" s="236"/>
      <c r="N826" s="285"/>
      <c r="O826" s="285"/>
      <c r="P826" s="285"/>
      <c r="Q826" s="238"/>
      <c r="R826" s="238"/>
      <c r="S826" s="238"/>
      <c r="T826" s="238"/>
      <c r="U826" s="238"/>
      <c r="V826" s="238"/>
      <c r="W826" s="238"/>
      <c r="X826" s="238"/>
      <c r="Y826" s="238"/>
      <c r="Z826" s="238"/>
      <c r="AA826" s="238"/>
      <c r="AB826" s="238"/>
      <c r="AC826" s="378">
        <f t="shared" si="410"/>
        <v>0</v>
      </c>
      <c r="AD826" s="214"/>
      <c r="AE826" s="192"/>
      <c r="AF826" s="194"/>
      <c r="AG826" s="194"/>
      <c r="AH826" s="194"/>
      <c r="AI826" s="194"/>
    </row>
    <row r="827">
      <c r="A827" s="126"/>
      <c r="B827" s="195"/>
      <c r="C827" s="196">
        <v>40.0</v>
      </c>
      <c r="D827" s="730" t="s">
        <v>959</v>
      </c>
      <c r="E827" s="198" t="s">
        <v>186</v>
      </c>
      <c r="F827" s="198" t="s">
        <v>135</v>
      </c>
      <c r="G827" s="198" t="s">
        <v>135</v>
      </c>
      <c r="H827" s="198" t="s">
        <v>203</v>
      </c>
      <c r="I827" s="198" t="s">
        <v>253</v>
      </c>
      <c r="J827" s="198" t="s">
        <v>254</v>
      </c>
      <c r="K827" s="199" t="s">
        <v>735</v>
      </c>
      <c r="L827" s="355"/>
      <c r="M827" s="188"/>
      <c r="N827" s="686"/>
      <c r="O827" s="686"/>
      <c r="P827" s="686"/>
      <c r="Q827" s="204">
        <v>8.333333333333333E7</v>
      </c>
      <c r="R827" s="204">
        <v>8.333333333333333E7</v>
      </c>
      <c r="S827" s="204">
        <v>8.333333333333333E7</v>
      </c>
      <c r="T827" s="204">
        <v>8.333333333333333E7</v>
      </c>
      <c r="U827" s="204">
        <v>8.333333333333333E7</v>
      </c>
      <c r="V827" s="204">
        <v>8.333333333333333E7</v>
      </c>
      <c r="W827" s="204">
        <v>8.333333333333333E7</v>
      </c>
      <c r="X827" s="204">
        <v>8.333333333333333E7</v>
      </c>
      <c r="Y827" s="204">
        <v>8.333333333333333E7</v>
      </c>
      <c r="Z827" s="204">
        <v>8.333333333333333E7</v>
      </c>
      <c r="AA827" s="204">
        <v>8.333333333333333E7</v>
      </c>
      <c r="AB827" s="204">
        <v>8.333333333333333E7</v>
      </c>
      <c r="AC827" s="205">
        <v>1.0000000000000001E9</v>
      </c>
      <c r="AD827" s="178">
        <f>SUM(Q827:AB827)-AC827</f>
        <v>0</v>
      </c>
      <c r="AE827" s="241"/>
      <c r="AF827" s="725">
        <v>1.0E9</v>
      </c>
      <c r="AG827" s="194"/>
      <c r="AH827" s="194"/>
      <c r="AI827" s="194"/>
    </row>
    <row r="828" hidden="1">
      <c r="A828" s="126"/>
      <c r="B828" s="195"/>
      <c r="C828" s="206"/>
      <c r="D828" s="207"/>
      <c r="E828" s="260"/>
      <c r="F828" s="207"/>
      <c r="G828" s="260"/>
      <c r="H828" s="206"/>
      <c r="I828" s="206"/>
      <c r="J828" s="206"/>
      <c r="K828" s="206" t="s">
        <v>735</v>
      </c>
      <c r="L828" s="277"/>
      <c r="M828" s="244"/>
      <c r="N828" s="389"/>
      <c r="O828" s="389"/>
      <c r="P828" s="389"/>
      <c r="Q828" s="212"/>
      <c r="R828" s="212"/>
      <c r="S828" s="212"/>
      <c r="T828" s="212"/>
      <c r="U828" s="212"/>
      <c r="V828" s="212"/>
      <c r="W828" s="212"/>
      <c r="X828" s="212"/>
      <c r="Y828" s="212"/>
      <c r="Z828" s="212"/>
      <c r="AA828" s="212"/>
      <c r="AB828" s="212"/>
      <c r="AC828" s="213">
        <f t="shared" ref="AC828:AC831" si="411">SUM(Q828:AB828)</f>
        <v>0</v>
      </c>
      <c r="AD828" s="420"/>
      <c r="AE828" s="241"/>
      <c r="AF828" s="194"/>
      <c r="AG828" s="194"/>
      <c r="AH828" s="194"/>
      <c r="AI828" s="194"/>
    </row>
    <row r="829" hidden="1">
      <c r="A829" s="126"/>
      <c r="B829" s="195"/>
      <c r="C829" s="222"/>
      <c r="D829" s="250" t="s">
        <v>960</v>
      </c>
      <c r="E829" s="233"/>
      <c r="F829" s="224"/>
      <c r="G829" s="233"/>
      <c r="H829" s="222"/>
      <c r="I829" s="222"/>
      <c r="J829" s="222"/>
      <c r="K829" s="222" t="s">
        <v>735</v>
      </c>
      <c r="L829" s="225"/>
      <c r="M829" s="236"/>
      <c r="N829" s="285"/>
      <c r="O829" s="285"/>
      <c r="P829" s="285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  <c r="AA829" s="230"/>
      <c r="AB829" s="230"/>
      <c r="AC829" s="231">
        <f t="shared" si="411"/>
        <v>0</v>
      </c>
      <c r="AD829" s="420"/>
      <c r="AE829" s="430"/>
      <c r="AF829" s="194"/>
      <c r="AG829" s="431"/>
      <c r="AH829" s="431"/>
      <c r="AI829" s="431"/>
    </row>
    <row r="830" hidden="1">
      <c r="A830" s="126"/>
      <c r="B830" s="195"/>
      <c r="C830" s="196"/>
      <c r="D830" s="286" t="s">
        <v>194</v>
      </c>
      <c r="E830" s="233"/>
      <c r="F830" s="233"/>
      <c r="G830" s="233"/>
      <c r="H830" s="234"/>
      <c r="I830" s="234"/>
      <c r="J830" s="222"/>
      <c r="K830" s="222" t="s">
        <v>735</v>
      </c>
      <c r="L830" s="225"/>
      <c r="M830" s="236"/>
      <c r="N830" s="285"/>
      <c r="O830" s="285"/>
      <c r="P830" s="285"/>
      <c r="Q830" s="238"/>
      <c r="R830" s="238"/>
      <c r="S830" s="238"/>
      <c r="T830" s="238"/>
      <c r="U830" s="238"/>
      <c r="V830" s="238"/>
      <c r="W830" s="238"/>
      <c r="X830" s="238"/>
      <c r="Y830" s="238"/>
      <c r="Z830" s="238"/>
      <c r="AA830" s="238"/>
      <c r="AB830" s="238"/>
      <c r="AC830" s="378">
        <f t="shared" si="411"/>
        <v>0</v>
      </c>
      <c r="AD830" s="214"/>
      <c r="AE830" s="192"/>
      <c r="AF830" s="194"/>
      <c r="AG830" s="194"/>
      <c r="AH830" s="194"/>
      <c r="AI830" s="194"/>
    </row>
    <row r="831" hidden="1">
      <c r="A831" s="126"/>
      <c r="B831" s="195"/>
      <c r="C831" s="196"/>
      <c r="D831" s="286" t="s">
        <v>961</v>
      </c>
      <c r="E831" s="233"/>
      <c r="F831" s="233"/>
      <c r="G831" s="233"/>
      <c r="H831" s="234"/>
      <c r="I831" s="234"/>
      <c r="J831" s="222"/>
      <c r="K831" s="222" t="s">
        <v>735</v>
      </c>
      <c r="L831" s="225"/>
      <c r="M831" s="236"/>
      <c r="N831" s="285"/>
      <c r="O831" s="285"/>
      <c r="P831" s="285"/>
      <c r="Q831" s="238"/>
      <c r="R831" s="238"/>
      <c r="S831" s="238"/>
      <c r="T831" s="238"/>
      <c r="U831" s="238"/>
      <c r="V831" s="238"/>
      <c r="W831" s="238"/>
      <c r="X831" s="238"/>
      <c r="Y831" s="238"/>
      <c r="Z831" s="238"/>
      <c r="AA831" s="238"/>
      <c r="AB831" s="238"/>
      <c r="AC831" s="378">
        <f t="shared" si="411"/>
        <v>0</v>
      </c>
      <c r="AD831" s="214"/>
      <c r="AE831" s="192"/>
      <c r="AF831" s="194"/>
      <c r="AG831" s="194"/>
      <c r="AH831" s="194"/>
      <c r="AI831" s="194"/>
    </row>
    <row r="832">
      <c r="A832" s="126"/>
      <c r="B832" s="195"/>
      <c r="C832" s="196">
        <v>41.0</v>
      </c>
      <c r="D832" s="730" t="s">
        <v>962</v>
      </c>
      <c r="E832" s="198" t="s">
        <v>186</v>
      </c>
      <c r="F832" s="198" t="s">
        <v>305</v>
      </c>
      <c r="G832" s="198" t="s">
        <v>94</v>
      </c>
      <c r="H832" s="198" t="s">
        <v>963</v>
      </c>
      <c r="I832" s="198" t="s">
        <v>187</v>
      </c>
      <c r="J832" s="198" t="s">
        <v>188</v>
      </c>
      <c r="K832" s="199" t="s">
        <v>735</v>
      </c>
      <c r="L832" s="709">
        <v>5.494833E10</v>
      </c>
      <c r="M832" s="781" t="s">
        <v>964</v>
      </c>
      <c r="N832" s="438"/>
      <c r="O832" s="438">
        <v>45839.0</v>
      </c>
      <c r="P832" s="438">
        <v>46934.0</v>
      </c>
      <c r="Q832" s="204"/>
      <c r="R832" s="204"/>
      <c r="S832" s="204"/>
      <c r="T832" s="204"/>
      <c r="U832" s="204"/>
      <c r="V832" s="204">
        <v>5.0E9</v>
      </c>
      <c r="W832" s="204"/>
      <c r="X832" s="204"/>
      <c r="Y832" s="204"/>
      <c r="Z832" s="204"/>
      <c r="AA832" s="204"/>
      <c r="AB832" s="204">
        <v>5.0E9</v>
      </c>
      <c r="AC832" s="205">
        <v>1.0E10</v>
      </c>
      <c r="AD832" s="178">
        <f>SUM(Q832:AB832)-AC832</f>
        <v>0</v>
      </c>
      <c r="AE832" s="241"/>
      <c r="AF832" s="725">
        <v>1.0E10</v>
      </c>
      <c r="AG832" s="194"/>
      <c r="AH832" s="194"/>
      <c r="AI832" s="194"/>
    </row>
    <row r="833" hidden="1">
      <c r="A833" s="126"/>
      <c r="B833" s="195"/>
      <c r="C833" s="206"/>
      <c r="D833" s="207"/>
      <c r="E833" s="260"/>
      <c r="F833" s="207"/>
      <c r="G833" s="260"/>
      <c r="H833" s="206"/>
      <c r="I833" s="206"/>
      <c r="J833" s="206"/>
      <c r="K833" s="206" t="s">
        <v>735</v>
      </c>
      <c r="L833" s="277"/>
      <c r="M833" s="244"/>
      <c r="N833" s="389"/>
      <c r="O833" s="389"/>
      <c r="P833" s="389"/>
      <c r="Q833" s="212"/>
      <c r="R833" s="212"/>
      <c r="S833" s="212"/>
      <c r="T833" s="212"/>
      <c r="U833" s="212"/>
      <c r="V833" s="212"/>
      <c r="W833" s="268">
        <f>L832/36</f>
        <v>1526342500</v>
      </c>
      <c r="X833" s="268">
        <v>1.5263425E9</v>
      </c>
      <c r="Y833" s="268">
        <v>1.5263425E9</v>
      </c>
      <c r="Z833" s="268">
        <v>1.5263425E9</v>
      </c>
      <c r="AA833" s="268">
        <v>1.5263425E9</v>
      </c>
      <c r="AB833" s="268">
        <v>1.5263425E9</v>
      </c>
      <c r="AC833" s="213">
        <f t="shared" ref="AC833:AC836" si="412">SUM(Q833:AB833)</f>
        <v>9158055000</v>
      </c>
      <c r="AD833" s="420"/>
      <c r="AE833" s="241"/>
      <c r="AF833" s="194"/>
      <c r="AG833" s="194"/>
      <c r="AH833" s="194"/>
      <c r="AI833" s="194"/>
    </row>
    <row r="834" hidden="1">
      <c r="A834" s="126"/>
      <c r="B834" s="195"/>
      <c r="C834" s="222"/>
      <c r="D834" s="250" t="s">
        <v>965</v>
      </c>
      <c r="E834" s="233"/>
      <c r="F834" s="224"/>
      <c r="G834" s="233"/>
      <c r="H834" s="222"/>
      <c r="I834" s="222"/>
      <c r="J834" s="222"/>
      <c r="K834" s="222" t="s">
        <v>735</v>
      </c>
      <c r="L834" s="225"/>
      <c r="M834" s="236"/>
      <c r="N834" s="285"/>
      <c r="O834" s="285"/>
      <c r="P834" s="285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  <c r="AA834" s="230"/>
      <c r="AB834" s="230"/>
      <c r="AC834" s="231">
        <f t="shared" si="412"/>
        <v>0</v>
      </c>
      <c r="AD834" s="420"/>
      <c r="AE834" s="430"/>
      <c r="AF834" s="194"/>
      <c r="AG834" s="431"/>
      <c r="AH834" s="431"/>
      <c r="AI834" s="431"/>
    </row>
    <row r="835" hidden="1">
      <c r="A835" s="126"/>
      <c r="B835" s="195"/>
      <c r="C835" s="196"/>
      <c r="D835" s="286" t="s">
        <v>194</v>
      </c>
      <c r="E835" s="233"/>
      <c r="F835" s="233"/>
      <c r="G835" s="233"/>
      <c r="H835" s="234"/>
      <c r="I835" s="234"/>
      <c r="J835" s="222"/>
      <c r="K835" s="222" t="s">
        <v>735</v>
      </c>
      <c r="L835" s="225"/>
      <c r="M835" s="236"/>
      <c r="N835" s="285"/>
      <c r="O835" s="285"/>
      <c r="P835" s="285"/>
      <c r="Q835" s="238"/>
      <c r="R835" s="238"/>
      <c r="S835" s="238"/>
      <c r="T835" s="238"/>
      <c r="U835" s="238"/>
      <c r="V835" s="238"/>
      <c r="W835" s="238"/>
      <c r="X835" s="238"/>
      <c r="Y835" s="238"/>
      <c r="Z835" s="238"/>
      <c r="AA835" s="238"/>
      <c r="AB835" s="238"/>
      <c r="AC835" s="378">
        <f t="shared" si="412"/>
        <v>0</v>
      </c>
      <c r="AD835" s="214"/>
      <c r="AE835" s="192"/>
      <c r="AF835" s="194"/>
      <c r="AG835" s="194"/>
      <c r="AH835" s="194"/>
      <c r="AI835" s="194"/>
    </row>
    <row r="836" hidden="1">
      <c r="A836" s="126"/>
      <c r="B836" s="195"/>
      <c r="C836" s="196"/>
      <c r="D836" s="286" t="s">
        <v>966</v>
      </c>
      <c r="E836" s="233"/>
      <c r="F836" s="233"/>
      <c r="G836" s="233"/>
      <c r="H836" s="234"/>
      <c r="I836" s="234"/>
      <c r="J836" s="222"/>
      <c r="K836" s="222" t="s">
        <v>735</v>
      </c>
      <c r="L836" s="225"/>
      <c r="M836" s="236"/>
      <c r="N836" s="285"/>
      <c r="O836" s="285"/>
      <c r="P836" s="285"/>
      <c r="Q836" s="238"/>
      <c r="R836" s="238"/>
      <c r="S836" s="238"/>
      <c r="T836" s="238"/>
      <c r="U836" s="238"/>
      <c r="V836" s="238"/>
      <c r="W836" s="238"/>
      <c r="X836" s="238"/>
      <c r="Y836" s="238"/>
      <c r="Z836" s="238"/>
      <c r="AA836" s="238"/>
      <c r="AB836" s="238"/>
      <c r="AC836" s="378">
        <f t="shared" si="412"/>
        <v>0</v>
      </c>
      <c r="AD836" s="214"/>
      <c r="AE836" s="192"/>
      <c r="AF836" s="194"/>
      <c r="AG836" s="194"/>
      <c r="AH836" s="194"/>
      <c r="AI836" s="194"/>
    </row>
    <row r="837">
      <c r="A837" s="126"/>
      <c r="B837" s="195"/>
      <c r="C837" s="196">
        <v>42.0</v>
      </c>
      <c r="D837" s="184" t="s">
        <v>967</v>
      </c>
      <c r="E837" s="198" t="s">
        <v>186</v>
      </c>
      <c r="F837" s="198" t="s">
        <v>135</v>
      </c>
      <c r="G837" s="198" t="s">
        <v>135</v>
      </c>
      <c r="H837" s="198" t="s">
        <v>203</v>
      </c>
      <c r="I837" s="198" t="s">
        <v>187</v>
      </c>
      <c r="J837" s="198" t="s">
        <v>188</v>
      </c>
      <c r="K837" s="199" t="s">
        <v>735</v>
      </c>
      <c r="L837" s="355"/>
      <c r="M837" s="188"/>
      <c r="N837" s="686"/>
      <c r="O837" s="686"/>
      <c r="P837" s="686"/>
      <c r="Q837" s="204">
        <v>7.8125E7</v>
      </c>
      <c r="R837" s="204">
        <v>7.8125E7</v>
      </c>
      <c r="S837" s="204">
        <v>7.8125E7</v>
      </c>
      <c r="T837" s="204">
        <v>7.8125E7</v>
      </c>
      <c r="U837" s="204">
        <v>7.8125E7</v>
      </c>
      <c r="V837" s="204">
        <v>7.8125E7</v>
      </c>
      <c r="W837" s="204">
        <v>7.8125E7</v>
      </c>
      <c r="X837" s="204">
        <v>7.8125E7</v>
      </c>
      <c r="Y837" s="204">
        <v>7.8125E7</v>
      </c>
      <c r="Z837" s="204">
        <v>7.8125E7</v>
      </c>
      <c r="AA837" s="204">
        <v>7.8125E7</v>
      </c>
      <c r="AB837" s="204">
        <v>7.8125E7</v>
      </c>
      <c r="AC837" s="205">
        <v>9.375E8</v>
      </c>
      <c r="AD837" s="178">
        <f>SUM(Q837:AB837)-AC837</f>
        <v>0</v>
      </c>
      <c r="AE837" s="241"/>
      <c r="AF837" s="725">
        <v>9.375E8</v>
      </c>
      <c r="AG837" s="194"/>
      <c r="AH837" s="194"/>
      <c r="AI837" s="194"/>
    </row>
    <row r="838" hidden="1">
      <c r="A838" s="126"/>
      <c r="B838" s="195"/>
      <c r="C838" s="206"/>
      <c r="D838" s="207"/>
      <c r="E838" s="260"/>
      <c r="F838" s="207"/>
      <c r="G838" s="260"/>
      <c r="H838" s="206"/>
      <c r="I838" s="206"/>
      <c r="J838" s="206"/>
      <c r="K838" s="206" t="s">
        <v>735</v>
      </c>
      <c r="L838" s="277"/>
      <c r="M838" s="244"/>
      <c r="N838" s="389"/>
      <c r="O838" s="389"/>
      <c r="P838" s="389"/>
      <c r="Q838" s="212"/>
      <c r="R838" s="212"/>
      <c r="S838" s="212"/>
      <c r="T838" s="212"/>
      <c r="U838" s="212"/>
      <c r="V838" s="212"/>
      <c r="W838" s="212"/>
      <c r="X838" s="212"/>
      <c r="Y838" s="212"/>
      <c r="Z838" s="212"/>
      <c r="AA838" s="212"/>
      <c r="AB838" s="212"/>
      <c r="AC838" s="213">
        <f t="shared" ref="AC838:AC841" si="413">SUM(Q838:AB838)</f>
        <v>0</v>
      </c>
      <c r="AD838" s="420"/>
      <c r="AE838" s="241"/>
      <c r="AF838" s="194"/>
      <c r="AG838" s="194"/>
      <c r="AH838" s="194"/>
      <c r="AI838" s="194"/>
    </row>
    <row r="839" hidden="1">
      <c r="A839" s="126"/>
      <c r="B839" s="392"/>
      <c r="C839" s="222"/>
      <c r="D839" s="250" t="s">
        <v>968</v>
      </c>
      <c r="E839" s="782"/>
      <c r="F839" s="224"/>
      <c r="G839" s="782"/>
      <c r="H839" s="222"/>
      <c r="I839" s="222"/>
      <c r="J839" s="222"/>
      <c r="K839" s="222" t="s">
        <v>735</v>
      </c>
      <c r="L839" s="346"/>
      <c r="M839" s="255"/>
      <c r="N839" s="365"/>
      <c r="O839" s="365"/>
      <c r="P839" s="365"/>
      <c r="Q839" s="228"/>
      <c r="R839" s="230"/>
      <c r="S839" s="230"/>
      <c r="T839" s="230"/>
      <c r="U839" s="230"/>
      <c r="V839" s="230"/>
      <c r="W839" s="230"/>
      <c r="X839" s="230"/>
      <c r="Y839" s="230"/>
      <c r="Z839" s="230"/>
      <c r="AA839" s="230"/>
      <c r="AB839" s="230"/>
      <c r="AC839" s="231">
        <f t="shared" si="413"/>
        <v>0</v>
      </c>
      <c r="AD839" s="420"/>
      <c r="AE839" s="241"/>
      <c r="AF839" s="194"/>
      <c r="AG839" s="194"/>
      <c r="AH839" s="194"/>
      <c r="AI839" s="194"/>
    </row>
    <row r="840" hidden="1">
      <c r="A840" s="126"/>
      <c r="B840" s="783"/>
      <c r="C840" s="433"/>
      <c r="D840" s="286" t="s">
        <v>194</v>
      </c>
      <c r="E840" s="509"/>
      <c r="F840" s="527"/>
      <c r="G840" s="509"/>
      <c r="H840" s="510"/>
      <c r="I840" s="510"/>
      <c r="J840" s="511"/>
      <c r="K840" s="222" t="s">
        <v>735</v>
      </c>
      <c r="L840" s="457"/>
      <c r="M840" s="473"/>
      <c r="N840" s="459"/>
      <c r="O840" s="459"/>
      <c r="P840" s="459"/>
      <c r="Q840" s="600"/>
      <c r="R840" s="600"/>
      <c r="S840" s="600"/>
      <c r="T840" s="772"/>
      <c r="U840" s="772"/>
      <c r="V840" s="772"/>
      <c r="W840" s="772"/>
      <c r="X840" s="772"/>
      <c r="Y840" s="772"/>
      <c r="Z840" s="772"/>
      <c r="AA840" s="772"/>
      <c r="AB840" s="772"/>
      <c r="AC840" s="378">
        <f t="shared" si="413"/>
        <v>0</v>
      </c>
      <c r="AD840" s="420"/>
      <c r="AE840" s="241"/>
      <c r="AF840" s="194"/>
      <c r="AG840" s="194"/>
      <c r="AH840" s="194"/>
      <c r="AI840" s="194"/>
    </row>
    <row r="841" hidden="1">
      <c r="A841" s="126"/>
      <c r="B841" s="783"/>
      <c r="C841" s="433"/>
      <c r="D841" s="286" t="s">
        <v>969</v>
      </c>
      <c r="E841" s="509"/>
      <c r="F841" s="527"/>
      <c r="G841" s="509"/>
      <c r="H841" s="510"/>
      <c r="I841" s="510"/>
      <c r="J841" s="511"/>
      <c r="K841" s="222" t="s">
        <v>735</v>
      </c>
      <c r="L841" s="457"/>
      <c r="M841" s="473"/>
      <c r="N841" s="459"/>
      <c r="O841" s="459"/>
      <c r="P841" s="459"/>
      <c r="Q841" s="600"/>
      <c r="R841" s="600"/>
      <c r="S841" s="600"/>
      <c r="T841" s="772"/>
      <c r="U841" s="772"/>
      <c r="V841" s="772"/>
      <c r="W841" s="772"/>
      <c r="X841" s="772"/>
      <c r="Y841" s="772"/>
      <c r="Z841" s="772"/>
      <c r="AA841" s="772"/>
      <c r="AB841" s="772"/>
      <c r="AC841" s="378">
        <f t="shared" si="413"/>
        <v>0</v>
      </c>
      <c r="AD841" s="420"/>
      <c r="AE841" s="241"/>
      <c r="AF841" s="194"/>
      <c r="AG841" s="194"/>
      <c r="AH841" s="194"/>
      <c r="AI841" s="194"/>
    </row>
    <row r="842">
      <c r="A842" s="732" t="s">
        <v>756</v>
      </c>
      <c r="B842" s="195"/>
      <c r="C842" s="196">
        <v>43.0</v>
      </c>
      <c r="D842" s="784" t="s">
        <v>970</v>
      </c>
      <c r="E842" s="198" t="s">
        <v>186</v>
      </c>
      <c r="F842" s="198" t="s">
        <v>135</v>
      </c>
      <c r="G842" s="198" t="s">
        <v>135</v>
      </c>
      <c r="H842" s="198" t="s">
        <v>203</v>
      </c>
      <c r="I842" s="198" t="s">
        <v>253</v>
      </c>
      <c r="J842" s="198" t="s">
        <v>254</v>
      </c>
      <c r="K842" s="199" t="s">
        <v>730</v>
      </c>
      <c r="L842" s="785"/>
      <c r="M842" s="785"/>
      <c r="N842" s="786"/>
      <c r="O842" s="786"/>
      <c r="P842" s="786"/>
      <c r="Q842" s="204">
        <v>2.7989549E7</v>
      </c>
      <c r="R842" s="204">
        <v>2.7989549E7</v>
      </c>
      <c r="S842" s="204">
        <v>2.7989549E7</v>
      </c>
      <c r="T842" s="204">
        <v>2.7989549E7</v>
      </c>
      <c r="U842" s="204">
        <v>2.7989549E7</v>
      </c>
      <c r="V842" s="204">
        <v>2.7989549E7</v>
      </c>
      <c r="W842" s="204">
        <v>2.7989549E7</v>
      </c>
      <c r="X842" s="204">
        <v>2.7989549E7</v>
      </c>
      <c r="Y842" s="204">
        <v>2.7989549E7</v>
      </c>
      <c r="Z842" s="204">
        <v>2.7989549E7</v>
      </c>
      <c r="AA842" s="204">
        <v>2.7989549E7</v>
      </c>
      <c r="AB842" s="204">
        <v>2.7989549E7</v>
      </c>
      <c r="AC842" s="205">
        <v>3.35874588E8</v>
      </c>
      <c r="AD842" s="178">
        <f>SUM(Q842:AB842)-AC842</f>
        <v>0</v>
      </c>
      <c r="AE842" s="241"/>
      <c r="AF842" s="725">
        <v>3.35874588E8</v>
      </c>
      <c r="AG842" s="194"/>
      <c r="AH842" s="194"/>
      <c r="AI842" s="194"/>
    </row>
    <row r="843" hidden="1">
      <c r="A843" s="732"/>
      <c r="B843" s="195"/>
      <c r="C843" s="206"/>
      <c r="D843" s="215" t="s">
        <v>971</v>
      </c>
      <c r="E843" s="207"/>
      <c r="F843" s="207"/>
      <c r="G843" s="207"/>
      <c r="H843" s="206"/>
      <c r="I843" s="206"/>
      <c r="J843" s="242"/>
      <c r="K843" s="242" t="s">
        <v>730</v>
      </c>
      <c r="L843" s="245">
        <v>2.7260705E7</v>
      </c>
      <c r="M843" s="209" t="s">
        <v>972</v>
      </c>
      <c r="N843" s="367"/>
      <c r="O843" s="367">
        <v>45658.0</v>
      </c>
      <c r="P843" s="367">
        <v>45688.0</v>
      </c>
      <c r="Q843" s="249">
        <f>L843</f>
        <v>27260705</v>
      </c>
      <c r="R843" s="249"/>
      <c r="S843" s="249"/>
      <c r="T843" s="249"/>
      <c r="U843" s="249"/>
      <c r="V843" s="249"/>
      <c r="W843" s="212"/>
      <c r="X843" s="212"/>
      <c r="Y843" s="212"/>
      <c r="Z843" s="212"/>
      <c r="AA843" s="212"/>
      <c r="AB843" s="212"/>
      <c r="AC843" s="213">
        <f t="shared" ref="AC843:AC851" si="414">SUM(Q843:AB843)</f>
        <v>27260705</v>
      </c>
      <c r="AD843" s="214"/>
      <c r="AE843" s="192"/>
      <c r="AF843" s="194"/>
      <c r="AG843" s="194"/>
      <c r="AH843" s="194"/>
      <c r="AI843" s="194"/>
    </row>
    <row r="844" hidden="1">
      <c r="A844" s="732"/>
      <c r="B844" s="195"/>
      <c r="C844" s="206"/>
      <c r="D844" s="215"/>
      <c r="E844" s="207"/>
      <c r="F844" s="207"/>
      <c r="G844" s="207"/>
      <c r="H844" s="206"/>
      <c r="I844" s="206"/>
      <c r="J844" s="242"/>
      <c r="K844" s="242" t="s">
        <v>730</v>
      </c>
      <c r="L844" s="245">
        <v>2.7260705E7</v>
      </c>
      <c r="M844" s="209" t="s">
        <v>973</v>
      </c>
      <c r="N844" s="367"/>
      <c r="O844" s="367">
        <v>45689.0</v>
      </c>
      <c r="P844" s="367">
        <v>45716.0</v>
      </c>
      <c r="Q844" s="249"/>
      <c r="R844" s="249">
        <f>L844</f>
        <v>27260705</v>
      </c>
      <c r="S844" s="249"/>
      <c r="T844" s="249"/>
      <c r="U844" s="249"/>
      <c r="V844" s="249"/>
      <c r="W844" s="212"/>
      <c r="X844" s="212"/>
      <c r="Y844" s="212"/>
      <c r="Z844" s="212"/>
      <c r="AA844" s="212"/>
      <c r="AB844" s="212"/>
      <c r="AC844" s="213">
        <f t="shared" si="414"/>
        <v>27260705</v>
      </c>
      <c r="AD844" s="214"/>
      <c r="AE844" s="192"/>
      <c r="AF844" s="194"/>
      <c r="AG844" s="194"/>
      <c r="AH844" s="194"/>
      <c r="AI844" s="194"/>
    </row>
    <row r="845" hidden="1">
      <c r="A845" s="732"/>
      <c r="B845" s="195"/>
      <c r="C845" s="206"/>
      <c r="D845" s="215"/>
      <c r="E845" s="207"/>
      <c r="F845" s="207"/>
      <c r="G845" s="207"/>
      <c r="H845" s="206"/>
      <c r="I845" s="206"/>
      <c r="J845" s="242"/>
      <c r="K845" s="242" t="s">
        <v>730</v>
      </c>
      <c r="L845" s="245">
        <v>2.7260705E7</v>
      </c>
      <c r="M845" s="209" t="s">
        <v>974</v>
      </c>
      <c r="N845" s="367"/>
      <c r="O845" s="367">
        <v>45717.0</v>
      </c>
      <c r="P845" s="367">
        <v>45747.0</v>
      </c>
      <c r="Q845" s="249"/>
      <c r="R845" s="249"/>
      <c r="S845" s="249">
        <f>L845</f>
        <v>27260705</v>
      </c>
      <c r="T845" s="249"/>
      <c r="U845" s="249"/>
      <c r="V845" s="249"/>
      <c r="W845" s="212"/>
      <c r="X845" s="212"/>
      <c r="Y845" s="212"/>
      <c r="Z845" s="212"/>
      <c r="AA845" s="212"/>
      <c r="AB845" s="212"/>
      <c r="AC845" s="213">
        <f t="shared" si="414"/>
        <v>27260705</v>
      </c>
      <c r="AD845" s="214"/>
      <c r="AE845" s="192"/>
      <c r="AF845" s="194"/>
      <c r="AG845" s="194"/>
      <c r="AH845" s="194"/>
      <c r="AI845" s="194"/>
    </row>
    <row r="846" hidden="1">
      <c r="A846" s="732"/>
      <c r="B846" s="195"/>
      <c r="C846" s="242"/>
      <c r="D846" s="260"/>
      <c r="E846" s="207"/>
      <c r="F846" s="207"/>
      <c r="G846" s="207"/>
      <c r="H846" s="206"/>
      <c r="I846" s="206"/>
      <c r="J846" s="242"/>
      <c r="K846" s="242" t="s">
        <v>730</v>
      </c>
      <c r="L846" s="245">
        <v>1.5129691E7</v>
      </c>
      <c r="M846" s="209" t="s">
        <v>975</v>
      </c>
      <c r="N846" s="367"/>
      <c r="O846" s="367">
        <f>P845+1</f>
        <v>45748</v>
      </c>
      <c r="P846" s="367">
        <v>45777.0</v>
      </c>
      <c r="Q846" s="249"/>
      <c r="R846" s="249"/>
      <c r="S846" s="249"/>
      <c r="T846" s="212">
        <f>L846</f>
        <v>15129691</v>
      </c>
      <c r="U846" s="212"/>
      <c r="V846" s="212"/>
      <c r="W846" s="212"/>
      <c r="X846" s="212"/>
      <c r="Y846" s="212"/>
      <c r="Z846" s="212"/>
      <c r="AA846" s="212"/>
      <c r="AB846" s="212"/>
      <c r="AC846" s="213">
        <f t="shared" si="414"/>
        <v>15129691</v>
      </c>
      <c r="AD846" s="214"/>
      <c r="AE846" s="241"/>
      <c r="AF846" s="194"/>
      <c r="AG846" s="194"/>
      <c r="AH846" s="194"/>
      <c r="AI846" s="194"/>
    </row>
    <row r="847" hidden="1">
      <c r="A847" s="732"/>
      <c r="B847" s="195"/>
      <c r="C847" s="242"/>
      <c r="D847" s="260"/>
      <c r="E847" s="207"/>
      <c r="F847" s="207"/>
      <c r="G847" s="207"/>
      <c r="H847" s="206"/>
      <c r="I847" s="206"/>
      <c r="J847" s="242"/>
      <c r="K847" s="242" t="s">
        <v>730</v>
      </c>
      <c r="L847" s="245">
        <v>2.2694537E7</v>
      </c>
      <c r="M847" s="209" t="s">
        <v>976</v>
      </c>
      <c r="N847" s="367"/>
      <c r="O847" s="367">
        <v>45778.0</v>
      </c>
      <c r="P847" s="367">
        <v>45808.0</v>
      </c>
      <c r="Q847" s="249"/>
      <c r="R847" s="212"/>
      <c r="S847" s="249"/>
      <c r="T847" s="249"/>
      <c r="U847" s="212">
        <f>L847</f>
        <v>22694537</v>
      </c>
      <c r="V847" s="212"/>
      <c r="W847" s="212"/>
      <c r="X847" s="212"/>
      <c r="Y847" s="212"/>
      <c r="Z847" s="212"/>
      <c r="AA847" s="212"/>
      <c r="AB847" s="212"/>
      <c r="AC847" s="213">
        <f t="shared" si="414"/>
        <v>22694537</v>
      </c>
      <c r="AD847" s="271"/>
      <c r="AE847" s="241"/>
      <c r="AF847" s="194"/>
      <c r="AG847" s="194"/>
      <c r="AH847" s="194"/>
      <c r="AI847" s="194"/>
    </row>
    <row r="848" hidden="1">
      <c r="A848" s="732"/>
      <c r="B848" s="195"/>
      <c r="C848" s="242"/>
      <c r="D848" s="220" t="s">
        <v>977</v>
      </c>
      <c r="E848" s="207"/>
      <c r="F848" s="207"/>
      <c r="G848" s="207"/>
      <c r="H848" s="206"/>
      <c r="I848" s="206"/>
      <c r="J848" s="242"/>
      <c r="K848" s="242" t="s">
        <v>730</v>
      </c>
      <c r="L848" s="277">
        <f>L847</f>
        <v>22694537</v>
      </c>
      <c r="M848" s="209" t="s">
        <v>978</v>
      </c>
      <c r="N848" s="367"/>
      <c r="O848" s="367">
        <v>45809.0</v>
      </c>
      <c r="P848" s="367">
        <v>45838.0</v>
      </c>
      <c r="Q848" s="249"/>
      <c r="R848" s="212"/>
      <c r="S848" s="249"/>
      <c r="T848" s="249"/>
      <c r="U848" s="212"/>
      <c r="V848" s="212">
        <f>L848</f>
        <v>22694537</v>
      </c>
      <c r="W848" s="212"/>
      <c r="X848" s="212"/>
      <c r="Y848" s="212"/>
      <c r="Z848" s="212"/>
      <c r="AA848" s="212"/>
      <c r="AB848" s="212"/>
      <c r="AC848" s="213">
        <f t="shared" si="414"/>
        <v>22694537</v>
      </c>
      <c r="AD848" s="271"/>
      <c r="AE848" s="241"/>
      <c r="AF848" s="194"/>
      <c r="AG848" s="194"/>
      <c r="AH848" s="194"/>
      <c r="AI848" s="194"/>
    </row>
    <row r="849" hidden="1">
      <c r="A849" s="732"/>
      <c r="B849" s="195"/>
      <c r="C849" s="196"/>
      <c r="D849" s="250" t="s">
        <v>979</v>
      </c>
      <c r="E849" s="224"/>
      <c r="F849" s="224"/>
      <c r="G849" s="224"/>
      <c r="H849" s="222"/>
      <c r="I849" s="222"/>
      <c r="J849" s="222"/>
      <c r="K849" s="222" t="s">
        <v>730</v>
      </c>
      <c r="L849" s="225"/>
      <c r="M849" s="383"/>
      <c r="N849" s="285"/>
      <c r="O849" s="285"/>
      <c r="P849" s="285"/>
      <c r="Q849" s="228">
        <v>2.6294786E7</v>
      </c>
      <c r="R849" s="228">
        <v>2.6294786E7</v>
      </c>
      <c r="S849" s="228">
        <v>2.6294786E7</v>
      </c>
      <c r="T849" s="228">
        <f>T846</f>
        <v>15129691</v>
      </c>
      <c r="U849" s="230">
        <f>U847</f>
        <v>22694537</v>
      </c>
      <c r="V849" s="230"/>
      <c r="W849" s="230"/>
      <c r="X849" s="230"/>
      <c r="Y849" s="230"/>
      <c r="Z849" s="230"/>
      <c r="AA849" s="230"/>
      <c r="AB849" s="230"/>
      <c r="AC849" s="231">
        <f t="shared" si="414"/>
        <v>116708586</v>
      </c>
      <c r="AD849" s="264"/>
      <c r="AE849" s="241"/>
      <c r="AF849" s="194"/>
      <c r="AG849" s="194"/>
      <c r="AH849" s="194"/>
      <c r="AI849" s="194"/>
    </row>
    <row r="850" hidden="1">
      <c r="A850" s="732"/>
      <c r="B850" s="195"/>
      <c r="C850" s="196"/>
      <c r="D850" s="286" t="s">
        <v>194</v>
      </c>
      <c r="E850" s="233"/>
      <c r="F850" s="233"/>
      <c r="G850" s="233"/>
      <c r="H850" s="234"/>
      <c r="I850" s="234"/>
      <c r="J850" s="222"/>
      <c r="K850" s="222" t="s">
        <v>730</v>
      </c>
      <c r="L850" s="346"/>
      <c r="M850" s="358"/>
      <c r="N850" s="365"/>
      <c r="O850" s="365"/>
      <c r="P850" s="365"/>
      <c r="Q850" s="228">
        <v>2.6294786E7</v>
      </c>
      <c r="R850" s="228">
        <v>2.6294786E7</v>
      </c>
      <c r="S850" s="228">
        <v>2.6294786E7</v>
      </c>
      <c r="T850" s="238"/>
      <c r="U850" s="238"/>
      <c r="V850" s="238"/>
      <c r="W850" s="238"/>
      <c r="X850" s="238"/>
      <c r="Y850" s="238"/>
      <c r="Z850" s="238"/>
      <c r="AA850" s="238"/>
      <c r="AB850" s="238"/>
      <c r="AC850" s="378">
        <f t="shared" si="414"/>
        <v>78884358</v>
      </c>
      <c r="AD850" s="214"/>
      <c r="AE850" s="192"/>
      <c r="AF850" s="194"/>
      <c r="AG850" s="194"/>
      <c r="AH850" s="194"/>
      <c r="AI850" s="194"/>
    </row>
    <row r="851" hidden="1">
      <c r="A851" s="732"/>
      <c r="B851" s="195"/>
      <c r="C851" s="196"/>
      <c r="D851" s="286" t="s">
        <v>980</v>
      </c>
      <c r="E851" s="233"/>
      <c r="F851" s="233"/>
      <c r="G851" s="233"/>
      <c r="H851" s="234"/>
      <c r="I851" s="234"/>
      <c r="J851" s="222"/>
      <c r="K851" s="222" t="s">
        <v>730</v>
      </c>
      <c r="L851" s="346"/>
      <c r="M851" s="358"/>
      <c r="N851" s="365"/>
      <c r="O851" s="365"/>
      <c r="P851" s="365"/>
      <c r="Q851" s="228"/>
      <c r="R851" s="228"/>
      <c r="S851" s="228"/>
      <c r="T851" s="238"/>
      <c r="U851" s="238"/>
      <c r="V851" s="238"/>
      <c r="W851" s="238"/>
      <c r="X851" s="238"/>
      <c r="Y851" s="238"/>
      <c r="Z851" s="238"/>
      <c r="AA851" s="238"/>
      <c r="AB851" s="238"/>
      <c r="AC851" s="378">
        <f t="shared" si="414"/>
        <v>0</v>
      </c>
      <c r="AD851" s="214"/>
      <c r="AE851" s="192"/>
      <c r="AF851" s="194"/>
      <c r="AG851" s="194"/>
      <c r="AH851" s="194"/>
      <c r="AI851" s="194"/>
    </row>
    <row r="852">
      <c r="A852" s="732" t="s">
        <v>756</v>
      </c>
      <c r="B852" s="195"/>
      <c r="C852" s="196">
        <v>44.0</v>
      </c>
      <c r="D852" s="784" t="s">
        <v>981</v>
      </c>
      <c r="E852" s="198" t="s">
        <v>186</v>
      </c>
      <c r="F852" s="198" t="s">
        <v>103</v>
      </c>
      <c r="G852" s="198" t="s">
        <v>84</v>
      </c>
      <c r="H852" s="198" t="s">
        <v>84</v>
      </c>
      <c r="I852" s="198" t="s">
        <v>187</v>
      </c>
      <c r="J852" s="198" t="s">
        <v>188</v>
      </c>
      <c r="K852" s="199" t="s">
        <v>730</v>
      </c>
      <c r="L852" s="347">
        <f>1981944564</f>
        <v>1981944564</v>
      </c>
      <c r="M852" s="479" t="s">
        <v>982</v>
      </c>
      <c r="N852" s="366"/>
      <c r="O852" s="366">
        <v>45170.0</v>
      </c>
      <c r="P852" s="366">
        <v>45535.0</v>
      </c>
      <c r="Q852" s="204">
        <v>2.39686388E8</v>
      </c>
      <c r="R852" s="204">
        <v>2.39686388E8</v>
      </c>
      <c r="S852" s="204">
        <v>2.39686388E8</v>
      </c>
      <c r="T852" s="204">
        <v>2.39686388E8</v>
      </c>
      <c r="U852" s="204">
        <v>2.39686388E8</v>
      </c>
      <c r="V852" s="204">
        <v>2.39686388E8</v>
      </c>
      <c r="W852" s="204">
        <v>2.39686388E8</v>
      </c>
      <c r="X852" s="204">
        <v>2.39686388E8</v>
      </c>
      <c r="Y852" s="204">
        <v>2.39686388E8</v>
      </c>
      <c r="Z852" s="204">
        <v>2.39686388E8</v>
      </c>
      <c r="AA852" s="204">
        <v>2.39686388E8</v>
      </c>
      <c r="AB852" s="204">
        <v>2.39686388E8</v>
      </c>
      <c r="AC852" s="205">
        <v>2.876236656E9</v>
      </c>
      <c r="AD852" s="178">
        <f>SUM(Q852:AB852)-AC852</f>
        <v>0</v>
      </c>
      <c r="AE852" s="192"/>
      <c r="AF852" s="725">
        <v>2.876236656E9</v>
      </c>
      <c r="AG852" s="194"/>
      <c r="AH852" s="194"/>
      <c r="AI852" s="194"/>
    </row>
    <row r="853" hidden="1">
      <c r="A853" s="732"/>
      <c r="B853" s="195"/>
      <c r="C853" s="206"/>
      <c r="D853" s="787" t="s">
        <v>983</v>
      </c>
      <c r="E853" s="207"/>
      <c r="F853" s="207"/>
      <c r="G853" s="207"/>
      <c r="H853" s="206"/>
      <c r="I853" s="206"/>
      <c r="J853" s="206"/>
      <c r="K853" s="206" t="s">
        <v>730</v>
      </c>
      <c r="L853" s="245">
        <v>4.357429157E9</v>
      </c>
      <c r="M853" s="209"/>
      <c r="N853" s="367"/>
      <c r="O853" s="367">
        <f t="shared" ref="O853:O854" si="415">P852+1</f>
        <v>45536</v>
      </c>
      <c r="P853" s="367">
        <v>45900.0</v>
      </c>
      <c r="Q853" s="212">
        <f>L852/12</f>
        <v>165162047</v>
      </c>
      <c r="R853" s="212">
        <v>1.65162047E8</v>
      </c>
      <c r="S853" s="212">
        <v>1.65162047E8</v>
      </c>
      <c r="T853" s="212">
        <v>1.65162047E8</v>
      </c>
      <c r="U853" s="212">
        <v>1.65162047E8</v>
      </c>
      <c r="V853" s="212">
        <v>1.65162047E8</v>
      </c>
      <c r="W853" s="212">
        <v>1.65162047E8</v>
      </c>
      <c r="X853" s="212">
        <v>1.65162047E8</v>
      </c>
      <c r="Y853" s="212"/>
      <c r="Z853" s="212"/>
      <c r="AA853" s="212"/>
      <c r="AB853" s="212"/>
      <c r="AC853" s="213">
        <f t="shared" ref="AC853:AC857" si="416">SUM(Q853:AB853)</f>
        <v>1321296376</v>
      </c>
      <c r="AD853" s="214"/>
      <c r="AE853" s="192"/>
      <c r="AF853" s="194"/>
      <c r="AG853" s="194"/>
      <c r="AH853" s="194"/>
      <c r="AI853" s="194"/>
    </row>
    <row r="854" hidden="1">
      <c r="A854" s="732"/>
      <c r="B854" s="195"/>
      <c r="C854" s="206"/>
      <c r="D854" s="787" t="s">
        <v>984</v>
      </c>
      <c r="E854" s="207"/>
      <c r="F854" s="207"/>
      <c r="G854" s="207"/>
      <c r="H854" s="206"/>
      <c r="I854" s="206"/>
      <c r="J854" s="221"/>
      <c r="K854" s="221" t="s">
        <v>730</v>
      </c>
      <c r="L854" s="280"/>
      <c r="M854" s="265"/>
      <c r="N854" s="283"/>
      <c r="O854" s="283">
        <f t="shared" si="415"/>
        <v>45901</v>
      </c>
      <c r="P854" s="283"/>
      <c r="Q854" s="212"/>
      <c r="R854" s="212"/>
      <c r="S854" s="212"/>
      <c r="T854" s="212"/>
      <c r="U854" s="212"/>
      <c r="V854" s="212"/>
      <c r="W854" s="212"/>
      <c r="X854" s="212"/>
      <c r="Y854" s="212"/>
      <c r="Z854" s="212"/>
      <c r="AA854" s="212"/>
      <c r="AB854" s="212"/>
      <c r="AC854" s="213">
        <f t="shared" si="416"/>
        <v>0</v>
      </c>
      <c r="AD854" s="214"/>
      <c r="AE854" s="192"/>
      <c r="AF854" s="194"/>
      <c r="AG854" s="194"/>
      <c r="AH854" s="194"/>
      <c r="AI854" s="194"/>
    </row>
    <row r="855" hidden="1">
      <c r="A855" s="732"/>
      <c r="B855" s="195"/>
      <c r="C855" s="222"/>
      <c r="D855" s="250" t="s">
        <v>985</v>
      </c>
      <c r="E855" s="224"/>
      <c r="F855" s="224"/>
      <c r="G855" s="224"/>
      <c r="H855" s="222"/>
      <c r="I855" s="222"/>
      <c r="J855" s="222"/>
      <c r="K855" s="222" t="s">
        <v>730</v>
      </c>
      <c r="L855" s="225"/>
      <c r="M855" s="383"/>
      <c r="N855" s="285"/>
      <c r="O855" s="285"/>
      <c r="P855" s="285"/>
      <c r="Q855" s="238">
        <f>155250060</f>
        <v>155250060</v>
      </c>
      <c r="R855" s="238">
        <f t="shared" ref="R855:S855" si="417">Q855</f>
        <v>155250060</v>
      </c>
      <c r="S855" s="238">
        <f t="shared" si="417"/>
        <v>155250060</v>
      </c>
      <c r="T855" s="238">
        <f>Q855</f>
        <v>155250060</v>
      </c>
      <c r="U855" s="238">
        <f t="shared" ref="U855:V855" si="418">T855</f>
        <v>155250060</v>
      </c>
      <c r="V855" s="238">
        <f t="shared" si="418"/>
        <v>155250060</v>
      </c>
      <c r="W855" s="230"/>
      <c r="X855" s="230"/>
      <c r="Y855" s="230"/>
      <c r="Z855" s="230"/>
      <c r="AA855" s="230"/>
      <c r="AB855" s="230"/>
      <c r="AC855" s="231">
        <f t="shared" si="416"/>
        <v>931500360</v>
      </c>
      <c r="AD855" s="214"/>
      <c r="AE855" s="241"/>
      <c r="AF855" s="194"/>
      <c r="AG855" s="194"/>
      <c r="AH855" s="194"/>
      <c r="AI855" s="194"/>
    </row>
    <row r="856" hidden="1">
      <c r="A856" s="732"/>
      <c r="B856" s="195"/>
      <c r="C856" s="196"/>
      <c r="D856" s="286" t="s">
        <v>194</v>
      </c>
      <c r="E856" s="233"/>
      <c r="F856" s="233"/>
      <c r="G856" s="233"/>
      <c r="H856" s="234"/>
      <c r="I856" s="234"/>
      <c r="J856" s="222"/>
      <c r="K856" s="222" t="s">
        <v>730</v>
      </c>
      <c r="L856" s="346"/>
      <c r="M856" s="255"/>
      <c r="N856" s="365"/>
      <c r="O856" s="365"/>
      <c r="P856" s="365"/>
      <c r="Q856" s="238"/>
      <c r="R856" s="238"/>
      <c r="S856" s="238"/>
      <c r="T856" s="238"/>
      <c r="U856" s="238"/>
      <c r="V856" s="238"/>
      <c r="W856" s="238"/>
      <c r="X856" s="238"/>
      <c r="Y856" s="238"/>
      <c r="Z856" s="238"/>
      <c r="AA856" s="238"/>
      <c r="AB856" s="238"/>
      <c r="AC856" s="378">
        <f t="shared" si="416"/>
        <v>0</v>
      </c>
      <c r="AD856" s="214"/>
      <c r="AE856" s="241"/>
      <c r="AF856" s="194"/>
      <c r="AG856" s="194"/>
      <c r="AH856" s="194"/>
      <c r="AI856" s="194"/>
    </row>
    <row r="857" hidden="1">
      <c r="A857" s="732"/>
      <c r="B857" s="195"/>
      <c r="C857" s="196"/>
      <c r="D857" s="286" t="s">
        <v>986</v>
      </c>
      <c r="E857" s="233"/>
      <c r="F857" s="233"/>
      <c r="G857" s="233"/>
      <c r="H857" s="234"/>
      <c r="I857" s="234"/>
      <c r="J857" s="222"/>
      <c r="K857" s="222" t="s">
        <v>730</v>
      </c>
      <c r="L857" s="346"/>
      <c r="M857" s="255"/>
      <c r="N857" s="365"/>
      <c r="O857" s="365"/>
      <c r="P857" s="365"/>
      <c r="Q857" s="238"/>
      <c r="R857" s="238"/>
      <c r="S857" s="238"/>
      <c r="T857" s="238"/>
      <c r="U857" s="238"/>
      <c r="V857" s="238"/>
      <c r="W857" s="238"/>
      <c r="X857" s="238"/>
      <c r="Y857" s="238"/>
      <c r="Z857" s="238"/>
      <c r="AA857" s="238"/>
      <c r="AB857" s="238"/>
      <c r="AC857" s="378">
        <f t="shared" si="416"/>
        <v>0</v>
      </c>
      <c r="AD857" s="214"/>
      <c r="AE857" s="241"/>
      <c r="AF857" s="194"/>
      <c r="AG857" s="194"/>
      <c r="AH857" s="194"/>
      <c r="AI857" s="194"/>
    </row>
    <row r="858">
      <c r="A858" s="732" t="s">
        <v>756</v>
      </c>
      <c r="B858" s="195"/>
      <c r="C858" s="196">
        <v>45.0</v>
      </c>
      <c r="D858" s="784" t="s">
        <v>987</v>
      </c>
      <c r="E858" s="198" t="s">
        <v>186</v>
      </c>
      <c r="F858" s="198" t="s">
        <v>103</v>
      </c>
      <c r="G858" s="198" t="s">
        <v>86</v>
      </c>
      <c r="H858" s="198" t="s">
        <v>86</v>
      </c>
      <c r="I858" s="198" t="s">
        <v>187</v>
      </c>
      <c r="J858" s="198" t="s">
        <v>188</v>
      </c>
      <c r="K858" s="199" t="s">
        <v>730</v>
      </c>
      <c r="L858" s="347">
        <v>9.60371208E8</v>
      </c>
      <c r="M858" s="257" t="s">
        <v>988</v>
      </c>
      <c r="N858" s="366"/>
      <c r="O858" s="366">
        <v>45261.0</v>
      </c>
      <c r="P858" s="366">
        <v>45626.0</v>
      </c>
      <c r="Q858" s="204">
        <v>8.0030935E7</v>
      </c>
      <c r="R858" s="204">
        <v>8.0030935E7</v>
      </c>
      <c r="S858" s="204">
        <v>8.0030935E7</v>
      </c>
      <c r="T858" s="204">
        <v>8.0030935E7</v>
      </c>
      <c r="U858" s="204">
        <v>8.0030935E7</v>
      </c>
      <c r="V858" s="204">
        <v>8.0030935E7</v>
      </c>
      <c r="W858" s="204">
        <v>8.0030935E7</v>
      </c>
      <c r="X858" s="204">
        <v>8.0030935E7</v>
      </c>
      <c r="Y858" s="204">
        <v>8.0030935E7</v>
      </c>
      <c r="Z858" s="204">
        <v>8.0030935E7</v>
      </c>
      <c r="AA858" s="204">
        <v>8.0030935E7</v>
      </c>
      <c r="AB858" s="204">
        <v>8.0030935E7</v>
      </c>
      <c r="AC858" s="205">
        <v>9.6037122E8</v>
      </c>
      <c r="AD858" s="178">
        <f>SUM(Q858:AB858)-AC858</f>
        <v>0</v>
      </c>
      <c r="AE858" s="241"/>
      <c r="AF858" s="725">
        <v>9.6037122E8</v>
      </c>
      <c r="AG858" s="194"/>
      <c r="AH858" s="194"/>
      <c r="AI858" s="194"/>
    </row>
    <row r="859" hidden="1">
      <c r="A859" s="732"/>
      <c r="B859" s="195"/>
      <c r="C859" s="206"/>
      <c r="D859" s="215" t="s">
        <v>989</v>
      </c>
      <c r="E859" s="207"/>
      <c r="F859" s="207"/>
      <c r="G859" s="207"/>
      <c r="H859" s="206"/>
      <c r="I859" s="206"/>
      <c r="J859" s="221"/>
      <c r="K859" s="221" t="s">
        <v>730</v>
      </c>
      <c r="L859" s="280">
        <f>L858</f>
        <v>960371208</v>
      </c>
      <c r="M859" s="265" t="s">
        <v>990</v>
      </c>
      <c r="N859" s="368"/>
      <c r="O859" s="368">
        <f>P858+1</f>
        <v>45627</v>
      </c>
      <c r="P859" s="283">
        <f>O859+364</f>
        <v>45991</v>
      </c>
      <c r="Q859" s="212">
        <f>L859/12</f>
        <v>80030934</v>
      </c>
      <c r="R859" s="212">
        <v>8.0030934E7</v>
      </c>
      <c r="S859" s="212">
        <v>8.0030934E7</v>
      </c>
      <c r="T859" s="212">
        <v>8.0030934E7</v>
      </c>
      <c r="U859" s="212">
        <v>8.0030934E7</v>
      </c>
      <c r="V859" s="212">
        <v>8.0030934E7</v>
      </c>
      <c r="W859" s="212">
        <v>8.0030934E7</v>
      </c>
      <c r="X859" s="212">
        <v>8.0030934E7</v>
      </c>
      <c r="Y859" s="212">
        <v>8.0030934E7</v>
      </c>
      <c r="Z859" s="212">
        <v>8.0030934E7</v>
      </c>
      <c r="AA859" s="212">
        <v>8.0030934E7</v>
      </c>
      <c r="AB859" s="212"/>
      <c r="AC859" s="213">
        <f t="shared" ref="AC859:AC863" si="419">SUM(Q859:AB859)</f>
        <v>880340274</v>
      </c>
      <c r="AD859" s="214"/>
      <c r="AE859" s="192"/>
      <c r="AF859" s="194"/>
      <c r="AG859" s="194"/>
      <c r="AH859" s="194"/>
      <c r="AI859" s="194"/>
    </row>
    <row r="860" hidden="1">
      <c r="A860" s="732"/>
      <c r="B860" s="195"/>
      <c r="C860" s="206"/>
      <c r="D860" s="207"/>
      <c r="E860" s="207"/>
      <c r="F860" s="207"/>
      <c r="G860" s="207"/>
      <c r="H860" s="206"/>
      <c r="I860" s="206"/>
      <c r="J860" s="497"/>
      <c r="K860" s="497" t="s">
        <v>730</v>
      </c>
      <c r="L860" s="280"/>
      <c r="M860" s="265"/>
      <c r="N860" s="368"/>
      <c r="O860" s="368"/>
      <c r="P860" s="283"/>
      <c r="Q860" s="212"/>
      <c r="R860" s="212"/>
      <c r="S860" s="212"/>
      <c r="T860" s="212"/>
      <c r="U860" s="212"/>
      <c r="V860" s="212"/>
      <c r="W860" s="212"/>
      <c r="X860" s="212"/>
      <c r="Y860" s="212"/>
      <c r="Z860" s="212"/>
      <c r="AA860" s="212"/>
      <c r="AB860" s="212"/>
      <c r="AC860" s="213">
        <f t="shared" si="419"/>
        <v>0</v>
      </c>
      <c r="AD860" s="214"/>
      <c r="AE860" s="192"/>
      <c r="AF860" s="194"/>
      <c r="AG860" s="194"/>
      <c r="AH860" s="194"/>
      <c r="AI860" s="194"/>
    </row>
    <row r="861" hidden="1">
      <c r="A861" s="732"/>
      <c r="B861" s="195"/>
      <c r="C861" s="222"/>
      <c r="D861" s="250" t="s">
        <v>991</v>
      </c>
      <c r="E861" s="224"/>
      <c r="F861" s="224"/>
      <c r="G861" s="224"/>
      <c r="H861" s="222"/>
      <c r="I861" s="222"/>
      <c r="J861" s="222"/>
      <c r="K861" s="222" t="s">
        <v>730</v>
      </c>
      <c r="L861" s="225"/>
      <c r="M861" s="383"/>
      <c r="N861" s="285"/>
      <c r="O861" s="285"/>
      <c r="P861" s="285"/>
      <c r="Q861" s="238">
        <f t="shared" ref="Q861:S861" si="420">Q859</f>
        <v>80030934</v>
      </c>
      <c r="R861" s="238">
        <f t="shared" si="420"/>
        <v>80030934</v>
      </c>
      <c r="S861" s="238">
        <f t="shared" si="420"/>
        <v>80030934</v>
      </c>
      <c r="T861" s="238">
        <f>Q859</f>
        <v>80030934</v>
      </c>
      <c r="U861" s="238">
        <f t="shared" ref="U861:V861" si="421">T861</f>
        <v>80030934</v>
      </c>
      <c r="V861" s="238">
        <f t="shared" si="421"/>
        <v>80030934</v>
      </c>
      <c r="W861" s="230"/>
      <c r="X861" s="230"/>
      <c r="Y861" s="230"/>
      <c r="Z861" s="230"/>
      <c r="AA861" s="230"/>
      <c r="AB861" s="230"/>
      <c r="AC861" s="231">
        <f t="shared" si="419"/>
        <v>480185604</v>
      </c>
      <c r="AD861" s="214"/>
      <c r="AE861" s="241"/>
      <c r="AF861" s="194"/>
      <c r="AG861" s="194"/>
      <c r="AH861" s="194"/>
      <c r="AI861" s="194"/>
    </row>
    <row r="862" hidden="1">
      <c r="A862" s="732"/>
      <c r="B862" s="392"/>
      <c r="C862" s="433"/>
      <c r="D862" s="286" t="s">
        <v>194</v>
      </c>
      <c r="E862" s="509"/>
      <c r="F862" s="509"/>
      <c r="G862" s="509"/>
      <c r="H862" s="510"/>
      <c r="I862" s="510"/>
      <c r="J862" s="511"/>
      <c r="K862" s="222" t="s">
        <v>730</v>
      </c>
      <c r="L862" s="457"/>
      <c r="M862" s="513"/>
      <c r="N862" s="514"/>
      <c r="O862" s="514"/>
      <c r="P862" s="514"/>
      <c r="Q862" s="452"/>
      <c r="R862" s="452"/>
      <c r="S862" s="452"/>
      <c r="T862" s="452"/>
      <c r="U862" s="452"/>
      <c r="V862" s="452"/>
      <c r="W862" s="452"/>
      <c r="X862" s="452"/>
      <c r="Y862" s="452"/>
      <c r="Z862" s="452"/>
      <c r="AA862" s="452"/>
      <c r="AB862" s="452"/>
      <c r="AC862" s="378">
        <f t="shared" si="419"/>
        <v>0</v>
      </c>
      <c r="AD862" s="271"/>
      <c r="AE862" s="241"/>
      <c r="AF862" s="194"/>
      <c r="AG862" s="194"/>
      <c r="AH862" s="194"/>
      <c r="AI862" s="194"/>
    </row>
    <row r="863" hidden="1">
      <c r="A863" s="732"/>
      <c r="B863" s="392"/>
      <c r="C863" s="433"/>
      <c r="D863" s="286" t="s">
        <v>992</v>
      </c>
      <c r="E863" s="509"/>
      <c r="F863" s="509"/>
      <c r="G863" s="509"/>
      <c r="H863" s="510"/>
      <c r="I863" s="510"/>
      <c r="J863" s="511"/>
      <c r="K863" s="222" t="s">
        <v>730</v>
      </c>
      <c r="L863" s="457"/>
      <c r="M863" s="513"/>
      <c r="N863" s="514"/>
      <c r="O863" s="514"/>
      <c r="P863" s="514"/>
      <c r="Q863" s="452"/>
      <c r="R863" s="452"/>
      <c r="S863" s="452"/>
      <c r="T863" s="452"/>
      <c r="U863" s="452"/>
      <c r="V863" s="452"/>
      <c r="W863" s="452"/>
      <c r="X863" s="452"/>
      <c r="Y863" s="452"/>
      <c r="Z863" s="452"/>
      <c r="AA863" s="452"/>
      <c r="AB863" s="452"/>
      <c r="AC863" s="378">
        <f t="shared" si="419"/>
        <v>0</v>
      </c>
      <c r="AD863" s="271"/>
      <c r="AE863" s="241"/>
      <c r="AF863" s="194"/>
      <c r="AG863" s="194"/>
      <c r="AH863" s="194"/>
      <c r="AI863" s="194"/>
    </row>
    <row r="864">
      <c r="A864" s="732" t="s">
        <v>756</v>
      </c>
      <c r="B864" s="392"/>
      <c r="C864" s="196">
        <v>46.0</v>
      </c>
      <c r="D864" s="788" t="s">
        <v>993</v>
      </c>
      <c r="E864" s="198" t="s">
        <v>994</v>
      </c>
      <c r="F864" s="198" t="s">
        <v>88</v>
      </c>
      <c r="G864" s="198" t="s">
        <v>88</v>
      </c>
      <c r="H864" s="198" t="s">
        <v>218</v>
      </c>
      <c r="I864" s="198" t="s">
        <v>187</v>
      </c>
      <c r="J864" s="198" t="s">
        <v>188</v>
      </c>
      <c r="K864" s="517" t="s">
        <v>730</v>
      </c>
      <c r="L864" s="789">
        <v>8.24142136E9</v>
      </c>
      <c r="M864" s="790" t="s">
        <v>995</v>
      </c>
      <c r="N864" s="791"/>
      <c r="O864" s="791">
        <v>45474.0</v>
      </c>
      <c r="P864" s="791">
        <v>45838.0</v>
      </c>
      <c r="Q864" s="400">
        <v>1.354437354E9</v>
      </c>
      <c r="R864" s="400">
        <v>1.354437354E9</v>
      </c>
      <c r="S864" s="400">
        <v>1.354437354E9</v>
      </c>
      <c r="T864" s="400">
        <v>1.354437354E9</v>
      </c>
      <c r="U864" s="400">
        <v>1.354437354E9</v>
      </c>
      <c r="V864" s="400">
        <v>1.354437354E9</v>
      </c>
      <c r="W864" s="400">
        <v>1.354437354E9</v>
      </c>
      <c r="X864" s="400">
        <v>1.354437354E9</v>
      </c>
      <c r="Y864" s="400">
        <v>1.354437354E9</v>
      </c>
      <c r="Z864" s="400">
        <v>1.354437354E9</v>
      </c>
      <c r="AA864" s="400">
        <v>1.354437354E9</v>
      </c>
      <c r="AB864" s="400">
        <v>1.354437354E9</v>
      </c>
      <c r="AC864" s="522">
        <v>1.6253248248E10</v>
      </c>
      <c r="AD864" s="271"/>
      <c r="AE864" s="241"/>
      <c r="AF864" s="725">
        <v>1.6253248248E10</v>
      </c>
      <c r="AG864" s="194"/>
      <c r="AH864" s="194"/>
      <c r="AI864" s="194"/>
    </row>
    <row r="865" hidden="1">
      <c r="A865" s="732"/>
      <c r="B865" s="392"/>
      <c r="C865" s="242"/>
      <c r="D865" s="207"/>
      <c r="E865" s="534"/>
      <c r="F865" s="534"/>
      <c r="G865" s="534"/>
      <c r="H865" s="523"/>
      <c r="I865" s="523"/>
      <c r="J865" s="596"/>
      <c r="K865" s="596" t="s">
        <v>730</v>
      </c>
      <c r="L865" s="463"/>
      <c r="M865" s="535"/>
      <c r="N865" s="464"/>
      <c r="O865" s="464"/>
      <c r="P865" s="464">
        <f>P864</f>
        <v>45838</v>
      </c>
      <c r="Q865" s="447">
        <f>L864/12</f>
        <v>686785113.3</v>
      </c>
      <c r="R865" s="447">
        <f t="shared" ref="R865:V865" si="422">Q865</f>
        <v>686785113.3</v>
      </c>
      <c r="S865" s="447">
        <f t="shared" si="422"/>
        <v>686785113.3</v>
      </c>
      <c r="T865" s="447">
        <f t="shared" si="422"/>
        <v>686785113.3</v>
      </c>
      <c r="U865" s="447">
        <f t="shared" si="422"/>
        <v>686785113.3</v>
      </c>
      <c r="V865" s="447">
        <f t="shared" si="422"/>
        <v>686785113.3</v>
      </c>
      <c r="W865" s="447"/>
      <c r="X865" s="447"/>
      <c r="Y865" s="447"/>
      <c r="Z865" s="447"/>
      <c r="AA865" s="447"/>
      <c r="AB865" s="448">
        <v>1.6253248248E10</v>
      </c>
      <c r="AC865" s="449">
        <f t="shared" ref="AC865:AC871" si="423">SUM(Q865:AB865)</f>
        <v>20373958928</v>
      </c>
      <c r="AD865" s="264"/>
      <c r="AE865" s="241"/>
      <c r="AF865" s="194"/>
      <c r="AG865" s="194"/>
      <c r="AH865" s="194"/>
      <c r="AI865" s="194"/>
    </row>
    <row r="866" hidden="1">
      <c r="A866" s="732"/>
      <c r="B866" s="392"/>
      <c r="C866" s="242"/>
      <c r="D866" s="220" t="s">
        <v>996</v>
      </c>
      <c r="E866" s="534"/>
      <c r="F866" s="534"/>
      <c r="G866" s="534"/>
      <c r="H866" s="523"/>
      <c r="I866" s="523"/>
      <c r="J866" s="497"/>
      <c r="K866" s="497" t="s">
        <v>730</v>
      </c>
      <c r="L866" s="282">
        <v>7.5517501E8</v>
      </c>
      <c r="M866" s="265" t="s">
        <v>997</v>
      </c>
      <c r="N866" s="283"/>
      <c r="O866" s="283">
        <f t="shared" ref="O866:O867" si="424">P865+1</f>
        <v>45839</v>
      </c>
      <c r="P866" s="283">
        <f>O866+30</f>
        <v>45869</v>
      </c>
      <c r="Q866" s="448"/>
      <c r="R866" s="448"/>
      <c r="S866" s="448"/>
      <c r="T866" s="448"/>
      <c r="U866" s="448"/>
      <c r="V866" s="448"/>
      <c r="W866" s="448">
        <f>L866</f>
        <v>755175010</v>
      </c>
      <c r="X866" s="448"/>
      <c r="Y866" s="447"/>
      <c r="Z866" s="447"/>
      <c r="AA866" s="447"/>
      <c r="AB866" s="447"/>
      <c r="AC866" s="449">
        <f t="shared" si="423"/>
        <v>755175010</v>
      </c>
      <c r="AD866" s="214"/>
      <c r="AE866" s="192"/>
      <c r="AF866" s="194"/>
      <c r="AG866" s="194"/>
      <c r="AH866" s="194"/>
      <c r="AI866" s="194"/>
    </row>
    <row r="867" hidden="1">
      <c r="A867" s="732"/>
      <c r="B867" s="392"/>
      <c r="C867" s="242"/>
      <c r="D867" s="220" t="s">
        <v>998</v>
      </c>
      <c r="E867" s="534"/>
      <c r="F867" s="534"/>
      <c r="G867" s="534"/>
      <c r="H867" s="523"/>
      <c r="I867" s="523"/>
      <c r="J867" s="497"/>
      <c r="K867" s="497" t="s">
        <v>730</v>
      </c>
      <c r="L867" s="280"/>
      <c r="M867" s="265"/>
      <c r="N867" s="283"/>
      <c r="O867" s="283">
        <f t="shared" si="424"/>
        <v>45870</v>
      </c>
      <c r="P867" s="368">
        <v>46234.0</v>
      </c>
      <c r="Q867" s="448"/>
      <c r="R867" s="448"/>
      <c r="S867" s="448"/>
      <c r="T867" s="448"/>
      <c r="U867" s="448"/>
      <c r="V867" s="448"/>
      <c r="W867" s="448"/>
      <c r="X867" s="448"/>
      <c r="Y867" s="447"/>
      <c r="Z867" s="447"/>
      <c r="AA867" s="447"/>
      <c r="AB867" s="447"/>
      <c r="AC867" s="449">
        <f t="shared" si="423"/>
        <v>0</v>
      </c>
      <c r="AD867" s="214"/>
      <c r="AE867" s="192"/>
      <c r="AF867" s="194"/>
      <c r="AG867" s="194"/>
      <c r="AH867" s="194"/>
      <c r="AI867" s="194"/>
    </row>
    <row r="868" hidden="1">
      <c r="A868" s="732"/>
      <c r="B868" s="392"/>
      <c r="C868" s="196"/>
      <c r="D868" s="250" t="s">
        <v>999</v>
      </c>
      <c r="E868" s="470"/>
      <c r="F868" s="470"/>
      <c r="G868" s="470"/>
      <c r="H868" s="456"/>
      <c r="I868" s="456"/>
      <c r="J868" s="222"/>
      <c r="K868" s="222" t="s">
        <v>730</v>
      </c>
      <c r="L868" s="536"/>
      <c r="M868" s="473" t="s">
        <v>1000</v>
      </c>
      <c r="N868" s="537"/>
      <c r="O868" s="537"/>
      <c r="P868" s="537"/>
      <c r="Q868" s="600">
        <v>7.29288911E8</v>
      </c>
      <c r="R868" s="600">
        <v>7.29288911E8</v>
      </c>
      <c r="S868" s="600">
        <v>7.29288911E8</v>
      </c>
      <c r="T868" s="600">
        <v>7.29288911E8</v>
      </c>
      <c r="U868" s="600">
        <v>7.29288911E8</v>
      </c>
      <c r="V868" s="229">
        <v>7.29288911E8</v>
      </c>
      <c r="W868" s="600"/>
      <c r="X868" s="600"/>
      <c r="Y868" s="452"/>
      <c r="Z868" s="452"/>
      <c r="AA868" s="452"/>
      <c r="AB868" s="452"/>
      <c r="AC868" s="538">
        <f t="shared" si="423"/>
        <v>4375733466</v>
      </c>
      <c r="AD868" s="214"/>
      <c r="AE868" s="192"/>
      <c r="AF868" s="194"/>
      <c r="AG868" s="194"/>
      <c r="AH868" s="194"/>
      <c r="AI868" s="194"/>
    </row>
    <row r="869" hidden="1">
      <c r="A869" s="732"/>
      <c r="B869" s="392"/>
      <c r="C869" s="433"/>
      <c r="D869" s="286" t="s">
        <v>194</v>
      </c>
      <c r="E869" s="509"/>
      <c r="F869" s="509"/>
      <c r="G869" s="509"/>
      <c r="H869" s="510"/>
      <c r="I869" s="510"/>
      <c r="J869" s="511"/>
      <c r="K869" s="222" t="s">
        <v>730</v>
      </c>
      <c r="L869" s="457"/>
      <c r="M869" s="513"/>
      <c r="N869" s="514"/>
      <c r="O869" s="514"/>
      <c r="P869" s="514"/>
      <c r="Q869" s="600">
        <v>7.29288911E8</v>
      </c>
      <c r="R869" s="600">
        <v>7.29288911E8</v>
      </c>
      <c r="S869" s="600">
        <v>7.29288911E8</v>
      </c>
      <c r="T869" s="229">
        <v>7.29288911E8</v>
      </c>
      <c r="U869" s="229">
        <v>7.29288911E8</v>
      </c>
      <c r="V869" s="452"/>
      <c r="W869" s="452"/>
      <c r="X869" s="452"/>
      <c r="Y869" s="452"/>
      <c r="Z869" s="452"/>
      <c r="AA869" s="452"/>
      <c r="AB869" s="452"/>
      <c r="AC869" s="378">
        <f t="shared" si="423"/>
        <v>3646444555</v>
      </c>
      <c r="AD869" s="214"/>
      <c r="AE869" s="192"/>
      <c r="AF869" s="194"/>
      <c r="AG869" s="194"/>
      <c r="AH869" s="194"/>
      <c r="AI869" s="194"/>
    </row>
    <row r="870" hidden="1">
      <c r="A870" s="732"/>
      <c r="B870" s="392"/>
      <c r="C870" s="433"/>
      <c r="D870" s="286" t="s">
        <v>1001</v>
      </c>
      <c r="E870" s="509"/>
      <c r="F870" s="509"/>
      <c r="G870" s="509"/>
      <c r="H870" s="510"/>
      <c r="I870" s="510"/>
      <c r="J870" s="511"/>
      <c r="K870" s="222" t="s">
        <v>730</v>
      </c>
      <c r="L870" s="457"/>
      <c r="M870" s="513"/>
      <c r="N870" s="514"/>
      <c r="O870" s="514"/>
      <c r="P870" s="514"/>
      <c r="Q870" s="600">
        <v>7.29288911E8</v>
      </c>
      <c r="R870" s="600">
        <v>7.29288911E8</v>
      </c>
      <c r="S870" s="600">
        <v>7.29288911E8</v>
      </c>
      <c r="T870" s="452"/>
      <c r="U870" s="452"/>
      <c r="V870" s="452"/>
      <c r="W870" s="452"/>
      <c r="X870" s="452"/>
      <c r="Y870" s="452"/>
      <c r="Z870" s="452"/>
      <c r="AA870" s="452"/>
      <c r="AB870" s="452"/>
      <c r="AC870" s="378">
        <f t="shared" si="423"/>
        <v>2187866733</v>
      </c>
      <c r="AD870" s="214"/>
      <c r="AE870" s="192"/>
      <c r="AF870" s="194"/>
      <c r="AG870" s="194"/>
      <c r="AH870" s="194"/>
      <c r="AI870" s="194"/>
    </row>
    <row r="871">
      <c r="A871" s="391"/>
      <c r="B871" s="393"/>
      <c r="C871" s="196">
        <v>47.0</v>
      </c>
      <c r="D871" s="792" t="s">
        <v>1002</v>
      </c>
      <c r="E871" s="198" t="s">
        <v>186</v>
      </c>
      <c r="F871" s="198" t="s">
        <v>305</v>
      </c>
      <c r="G871" s="198" t="s">
        <v>94</v>
      </c>
      <c r="H871" s="198" t="s">
        <v>963</v>
      </c>
      <c r="I871" s="198" t="s">
        <v>1003</v>
      </c>
      <c r="J871" s="198" t="s">
        <v>188</v>
      </c>
      <c r="K871" s="396" t="s">
        <v>730</v>
      </c>
      <c r="L871" s="397"/>
      <c r="M871" s="398"/>
      <c r="N871" s="399"/>
      <c r="O871" s="399"/>
      <c r="P871" s="399"/>
      <c r="Q871" s="793"/>
      <c r="R871" s="793"/>
      <c r="S871" s="793"/>
      <c r="T871" s="793"/>
      <c r="U871" s="793"/>
      <c r="V871" s="793"/>
      <c r="W871" s="793">
        <v>4.7814425E7</v>
      </c>
      <c r="X871" s="793">
        <v>4.7814425E7</v>
      </c>
      <c r="Y871" s="793">
        <v>4.7814425E7</v>
      </c>
      <c r="Z871" s="793">
        <v>4.7814425E7</v>
      </c>
      <c r="AA871" s="793">
        <v>4.7814425E7</v>
      </c>
      <c r="AB871" s="793">
        <v>4.7814425E7</v>
      </c>
      <c r="AC871" s="794">
        <f t="shared" si="423"/>
        <v>286886550</v>
      </c>
      <c r="AD871" s="273">
        <f>SUM(Q871:AB871)-AC871</f>
        <v>0</v>
      </c>
      <c r="AE871" s="241"/>
      <c r="AF871" s="725">
        <v>2.8688655E8</v>
      </c>
      <c r="AG871" s="194"/>
      <c r="AH871" s="194"/>
      <c r="AI871" s="194"/>
    </row>
    <row r="872" hidden="1">
      <c r="A872" s="391"/>
      <c r="B872" s="393"/>
      <c r="C872" s="402"/>
      <c r="D872" s="795"/>
      <c r="E872" s="403"/>
      <c r="F872" s="403"/>
      <c r="G872" s="403"/>
      <c r="H872" s="404"/>
      <c r="I872" s="404"/>
      <c r="J872" s="405"/>
      <c r="K872" s="406" t="s">
        <v>730</v>
      </c>
      <c r="L872" s="407"/>
      <c r="M872" s="796"/>
      <c r="N872" s="733"/>
      <c r="O872" s="733"/>
      <c r="P872" s="733"/>
      <c r="Q872" s="267"/>
      <c r="R872" s="267"/>
      <c r="S872" s="267"/>
      <c r="T872" s="268"/>
      <c r="U872" s="268"/>
      <c r="V872" s="268"/>
      <c r="W872" s="268"/>
      <c r="X872" s="268"/>
      <c r="Y872" s="268"/>
      <c r="Z872" s="268"/>
      <c r="AA872" s="268"/>
      <c r="AB872" s="268"/>
      <c r="AC872" s="637"/>
      <c r="AD872" s="420"/>
      <c r="AE872" s="411"/>
      <c r="AF872" s="412"/>
      <c r="AG872" s="412"/>
      <c r="AH872" s="412"/>
      <c r="AI872" s="412"/>
    </row>
    <row r="873" hidden="1">
      <c r="A873" s="126"/>
      <c r="B873" s="393"/>
      <c r="C873" s="413"/>
      <c r="D873" s="250" t="s">
        <v>1004</v>
      </c>
      <c r="E873" s="414"/>
      <c r="F873" s="414"/>
      <c r="G873" s="414"/>
      <c r="H873" s="415"/>
      <c r="I873" s="415"/>
      <c r="J873" s="797"/>
      <c r="K873" s="196" t="s">
        <v>730</v>
      </c>
      <c r="L873" s="798"/>
      <c r="M873" s="799"/>
      <c r="N873" s="800"/>
      <c r="O873" s="800"/>
      <c r="P873" s="800"/>
      <c r="Q873" s="229"/>
      <c r="R873" s="229"/>
      <c r="S873" s="229"/>
      <c r="T873" s="600"/>
      <c r="U873" s="452"/>
      <c r="V873" s="452"/>
      <c r="W873" s="452"/>
      <c r="X873" s="452"/>
      <c r="Y873" s="452"/>
      <c r="Z873" s="452"/>
      <c r="AA873" s="452"/>
      <c r="AB873" s="452"/>
      <c r="AC873" s="378">
        <f t="shared" ref="AC873:AC876" si="425">SUM(Q873:AB873)</f>
        <v>0</v>
      </c>
      <c r="AD873" s="420"/>
      <c r="AE873" s="241"/>
      <c r="AF873" s="194"/>
      <c r="AG873" s="194"/>
      <c r="AH873" s="194"/>
      <c r="AI873" s="194"/>
    </row>
    <row r="874" hidden="1">
      <c r="A874" s="126"/>
      <c r="B874" s="393"/>
      <c r="C874" s="413"/>
      <c r="D874" s="286" t="s">
        <v>194</v>
      </c>
      <c r="E874" s="414"/>
      <c r="F874" s="414"/>
      <c r="G874" s="414"/>
      <c r="H874" s="415"/>
      <c r="I874" s="415"/>
      <c r="J874" s="797"/>
      <c r="K874" s="196" t="s">
        <v>730</v>
      </c>
      <c r="L874" s="417"/>
      <c r="M874" s="799"/>
      <c r="N874" s="800"/>
      <c r="O874" s="800"/>
      <c r="P874" s="800"/>
      <c r="Q874" s="229"/>
      <c r="R874" s="229"/>
      <c r="S874" s="229"/>
      <c r="T874" s="600"/>
      <c r="U874" s="452"/>
      <c r="V874" s="452"/>
      <c r="W874" s="452"/>
      <c r="X874" s="452"/>
      <c r="Y874" s="452"/>
      <c r="Z874" s="452"/>
      <c r="AA874" s="452"/>
      <c r="AB874" s="452"/>
      <c r="AC874" s="378">
        <f t="shared" si="425"/>
        <v>0</v>
      </c>
      <c r="AD874" s="420"/>
      <c r="AE874" s="241"/>
      <c r="AF874" s="194"/>
      <c r="AG874" s="194"/>
      <c r="AH874" s="194"/>
      <c r="AI874" s="194"/>
    </row>
    <row r="875" hidden="1">
      <c r="A875" s="126"/>
      <c r="B875" s="393"/>
      <c r="C875" s="413"/>
      <c r="D875" s="286" t="s">
        <v>1005</v>
      </c>
      <c r="E875" s="414"/>
      <c r="F875" s="414"/>
      <c r="G875" s="414"/>
      <c r="H875" s="415"/>
      <c r="I875" s="415"/>
      <c r="J875" s="797"/>
      <c r="K875" s="196" t="s">
        <v>730</v>
      </c>
      <c r="L875" s="417"/>
      <c r="M875" s="799"/>
      <c r="N875" s="800"/>
      <c r="O875" s="800"/>
      <c r="P875" s="800"/>
      <c r="Q875" s="229"/>
      <c r="R875" s="229"/>
      <c r="S875" s="229"/>
      <c r="T875" s="600"/>
      <c r="U875" s="452"/>
      <c r="V875" s="452"/>
      <c r="W875" s="452"/>
      <c r="X875" s="452"/>
      <c r="Y875" s="452"/>
      <c r="Z875" s="452"/>
      <c r="AA875" s="452"/>
      <c r="AB875" s="452"/>
      <c r="AC875" s="378">
        <f t="shared" si="425"/>
        <v>0</v>
      </c>
      <c r="AD875" s="420"/>
      <c r="AE875" s="241"/>
      <c r="AF875" s="194"/>
      <c r="AG875" s="194"/>
      <c r="AH875" s="194"/>
      <c r="AI875" s="194"/>
    </row>
    <row r="876">
      <c r="A876" s="391"/>
      <c r="B876" s="393"/>
      <c r="C876" s="433">
        <v>48.0</v>
      </c>
      <c r="D876" s="792" t="s">
        <v>1006</v>
      </c>
      <c r="E876" s="198" t="s">
        <v>186</v>
      </c>
      <c r="F876" s="198" t="s">
        <v>305</v>
      </c>
      <c r="G876" s="198" t="s">
        <v>94</v>
      </c>
      <c r="H876" s="198" t="s">
        <v>963</v>
      </c>
      <c r="I876" s="198" t="s">
        <v>1003</v>
      </c>
      <c r="J876" s="198" t="s">
        <v>188</v>
      </c>
      <c r="K876" s="396" t="s">
        <v>730</v>
      </c>
      <c r="L876" s="397"/>
      <c r="M876" s="398"/>
      <c r="N876" s="399"/>
      <c r="O876" s="399"/>
      <c r="P876" s="399"/>
      <c r="Q876" s="793"/>
      <c r="R876" s="793"/>
      <c r="S876" s="793"/>
      <c r="T876" s="793"/>
      <c r="U876" s="793"/>
      <c r="V876" s="793"/>
      <c r="W876" s="793">
        <v>2.35778219E8</v>
      </c>
      <c r="X876" s="793">
        <v>2.35778219E8</v>
      </c>
      <c r="Y876" s="793">
        <v>2.35778219E8</v>
      </c>
      <c r="Z876" s="793">
        <v>2.35778219E8</v>
      </c>
      <c r="AA876" s="793">
        <v>2.35778219E8</v>
      </c>
      <c r="AB876" s="793">
        <v>2.35778219E8</v>
      </c>
      <c r="AC876" s="794">
        <f t="shared" si="425"/>
        <v>1414669314</v>
      </c>
      <c r="AD876" s="273">
        <f>SUM(Q876:AB876)-AC876</f>
        <v>0</v>
      </c>
      <c r="AE876" s="241"/>
      <c r="AF876" s="725">
        <v>1.414669314E9</v>
      </c>
      <c r="AG876" s="194"/>
      <c r="AH876" s="194"/>
      <c r="AI876" s="194"/>
    </row>
    <row r="877" hidden="1">
      <c r="A877" s="391"/>
      <c r="B877" s="393"/>
      <c r="C877" s="402"/>
      <c r="D877" s="801"/>
      <c r="E877" s="403"/>
      <c r="F877" s="403"/>
      <c r="G877" s="403"/>
      <c r="H877" s="404"/>
      <c r="I877" s="404"/>
      <c r="J877" s="405"/>
      <c r="K877" s="406" t="s">
        <v>730</v>
      </c>
      <c r="L877" s="407"/>
      <c r="M877" s="796"/>
      <c r="N877" s="733"/>
      <c r="O877" s="733"/>
      <c r="P877" s="733"/>
      <c r="Q877" s="267"/>
      <c r="R877" s="267"/>
      <c r="S877" s="267"/>
      <c r="T877" s="268"/>
      <c r="U877" s="268"/>
      <c r="V877" s="268"/>
      <c r="W877" s="268"/>
      <c r="X877" s="268"/>
      <c r="Y877" s="268"/>
      <c r="Z877" s="268"/>
      <c r="AA877" s="268"/>
      <c r="AB877" s="268"/>
      <c r="AC877" s="637"/>
      <c r="AD877" s="420"/>
      <c r="AE877" s="411"/>
      <c r="AF877" s="412"/>
      <c r="AG877" s="412"/>
      <c r="AH877" s="412"/>
      <c r="AI877" s="412"/>
    </row>
    <row r="878" hidden="1">
      <c r="A878" s="126"/>
      <c r="B878" s="393"/>
      <c r="C878" s="413"/>
      <c r="D878" s="250" t="s">
        <v>1007</v>
      </c>
      <c r="E878" s="414"/>
      <c r="F878" s="414"/>
      <c r="G878" s="414"/>
      <c r="H878" s="415"/>
      <c r="I878" s="415"/>
      <c r="J878" s="797"/>
      <c r="K878" s="196" t="s">
        <v>730</v>
      </c>
      <c r="L878" s="798"/>
      <c r="M878" s="799"/>
      <c r="N878" s="800"/>
      <c r="O878" s="800"/>
      <c r="P878" s="800"/>
      <c r="Q878" s="229"/>
      <c r="R878" s="229"/>
      <c r="S878" s="229"/>
      <c r="T878" s="600"/>
      <c r="U878" s="452"/>
      <c r="V878" s="452"/>
      <c r="W878" s="452"/>
      <c r="X878" s="452"/>
      <c r="Y878" s="452"/>
      <c r="Z878" s="452"/>
      <c r="AA878" s="452"/>
      <c r="AB878" s="452"/>
      <c r="AC878" s="378">
        <f t="shared" ref="AC878:AC970" si="426">SUM(Q878:AB878)</f>
        <v>0</v>
      </c>
      <c r="AD878" s="420"/>
      <c r="AE878" s="241"/>
      <c r="AF878" s="194"/>
      <c r="AG878" s="194"/>
      <c r="AH878" s="194"/>
      <c r="AI878" s="194"/>
    </row>
    <row r="879" hidden="1">
      <c r="A879" s="126"/>
      <c r="B879" s="393"/>
      <c r="C879" s="413"/>
      <c r="D879" s="286" t="s">
        <v>194</v>
      </c>
      <c r="E879" s="414"/>
      <c r="F879" s="414"/>
      <c r="G879" s="414"/>
      <c r="H879" s="415"/>
      <c r="I879" s="415"/>
      <c r="J879" s="797"/>
      <c r="K879" s="196" t="s">
        <v>730</v>
      </c>
      <c r="L879" s="417"/>
      <c r="M879" s="799"/>
      <c r="N879" s="800"/>
      <c r="O879" s="800"/>
      <c r="P879" s="800"/>
      <c r="Q879" s="229"/>
      <c r="R879" s="229"/>
      <c r="S879" s="229"/>
      <c r="T879" s="600"/>
      <c r="U879" s="452"/>
      <c r="V879" s="452"/>
      <c r="W879" s="452"/>
      <c r="X879" s="452"/>
      <c r="Y879" s="452"/>
      <c r="Z879" s="452"/>
      <c r="AA879" s="452"/>
      <c r="AB879" s="452"/>
      <c r="AC879" s="378">
        <f t="shared" si="426"/>
        <v>0</v>
      </c>
      <c r="AD879" s="420"/>
      <c r="AE879" s="241"/>
      <c r="AF879" s="194"/>
      <c r="AG879" s="194"/>
      <c r="AH879" s="194"/>
      <c r="AI879" s="194"/>
    </row>
    <row r="880" hidden="1">
      <c r="A880" s="126"/>
      <c r="B880" s="393"/>
      <c r="C880" s="413"/>
      <c r="D880" s="286" t="s">
        <v>1008</v>
      </c>
      <c r="E880" s="414"/>
      <c r="F880" s="414"/>
      <c r="G880" s="414"/>
      <c r="H880" s="415"/>
      <c r="I880" s="415"/>
      <c r="J880" s="797"/>
      <c r="K880" s="196" t="s">
        <v>730</v>
      </c>
      <c r="L880" s="417"/>
      <c r="M880" s="799"/>
      <c r="N880" s="800"/>
      <c r="O880" s="800"/>
      <c r="P880" s="800"/>
      <c r="Q880" s="229"/>
      <c r="R880" s="229"/>
      <c r="S880" s="229"/>
      <c r="T880" s="600"/>
      <c r="U880" s="452"/>
      <c r="V880" s="452"/>
      <c r="W880" s="452"/>
      <c r="X880" s="452"/>
      <c r="Y880" s="452"/>
      <c r="Z880" s="452"/>
      <c r="AA880" s="452"/>
      <c r="AB880" s="452"/>
      <c r="AC880" s="378">
        <f t="shared" si="426"/>
        <v>0</v>
      </c>
      <c r="AD880" s="420"/>
      <c r="AE880" s="241"/>
      <c r="AF880" s="194"/>
      <c r="AG880" s="194"/>
      <c r="AH880" s="194"/>
      <c r="AI880" s="194"/>
    </row>
    <row r="881">
      <c r="A881" s="732" t="s">
        <v>756</v>
      </c>
      <c r="B881" s="555"/>
      <c r="C881" s="394">
        <v>49.0</v>
      </c>
      <c r="D881" s="603" t="s">
        <v>1009</v>
      </c>
      <c r="E881" s="198" t="s">
        <v>186</v>
      </c>
      <c r="F881" s="198" t="s">
        <v>135</v>
      </c>
      <c r="G881" s="198" t="s">
        <v>135</v>
      </c>
      <c r="H881" s="198" t="s">
        <v>203</v>
      </c>
      <c r="I881" s="198" t="s">
        <v>1010</v>
      </c>
      <c r="J881" s="198" t="s">
        <v>188</v>
      </c>
      <c r="K881" s="529" t="s">
        <v>730</v>
      </c>
      <c r="L881" s="436">
        <v>4.335564978E9</v>
      </c>
      <c r="M881" s="531"/>
      <c r="N881" s="532"/>
      <c r="O881" s="532">
        <v>45778.0</v>
      </c>
      <c r="P881" s="532">
        <v>45931.0</v>
      </c>
      <c r="Q881" s="439"/>
      <c r="R881" s="439"/>
      <c r="S881" s="439"/>
      <c r="T881" s="439"/>
      <c r="U881" s="439"/>
      <c r="V881" s="439"/>
      <c r="W881" s="439"/>
      <c r="X881" s="439"/>
      <c r="Y881" s="439"/>
      <c r="Z881" s="439"/>
      <c r="AA881" s="439"/>
      <c r="AB881" s="439"/>
      <c r="AC881" s="440">
        <f t="shared" si="426"/>
        <v>0</v>
      </c>
      <c r="AD881" s="214"/>
      <c r="AE881" s="192"/>
      <c r="AF881" s="754"/>
      <c r="AG881" s="194"/>
      <c r="AH881" s="194"/>
      <c r="AI881" s="194"/>
    </row>
    <row r="882" hidden="1">
      <c r="A882" s="732"/>
      <c r="B882" s="555"/>
      <c r="C882" s="242"/>
      <c r="D882" s="215" t="s">
        <v>1011</v>
      </c>
      <c r="E882" s="260"/>
      <c r="F882" s="207"/>
      <c r="G882" s="260"/>
      <c r="H882" s="206"/>
      <c r="I882" s="206"/>
      <c r="J882" s="596"/>
      <c r="K882" s="596" t="s">
        <v>730</v>
      </c>
      <c r="L882" s="463"/>
      <c r="M882" s="485" t="s">
        <v>1012</v>
      </c>
      <c r="N882" s="464"/>
      <c r="O882" s="464"/>
      <c r="P882" s="464">
        <f>P881</f>
        <v>45931</v>
      </c>
      <c r="Q882" s="447"/>
      <c r="R882" s="447"/>
      <c r="S882" s="447"/>
      <c r="T882" s="447"/>
      <c r="U882" s="447">
        <f>L881/6</f>
        <v>722594163</v>
      </c>
      <c r="V882" s="447">
        <f t="shared" ref="V882:Z882" si="427">U882</f>
        <v>722594163</v>
      </c>
      <c r="W882" s="447">
        <f t="shared" si="427"/>
        <v>722594163</v>
      </c>
      <c r="X882" s="447">
        <f t="shared" si="427"/>
        <v>722594163</v>
      </c>
      <c r="Y882" s="447">
        <f t="shared" si="427"/>
        <v>722594163</v>
      </c>
      <c r="Z882" s="447">
        <f t="shared" si="427"/>
        <v>722594163</v>
      </c>
      <c r="AA882" s="447"/>
      <c r="AB882" s="447"/>
      <c r="AC882" s="449">
        <f t="shared" si="426"/>
        <v>4335564978</v>
      </c>
      <c r="AD882" s="214"/>
      <c r="AE882" s="241"/>
      <c r="AF882" s="194"/>
      <c r="AG882" s="194"/>
      <c r="AH882" s="194"/>
      <c r="AI882" s="194"/>
    </row>
    <row r="883" hidden="1">
      <c r="A883" s="732"/>
      <c r="B883" s="555"/>
      <c r="C883" s="242"/>
      <c r="D883" s="207"/>
      <c r="E883" s="260"/>
      <c r="F883" s="207"/>
      <c r="G883" s="260"/>
      <c r="H883" s="206"/>
      <c r="I883" s="206"/>
      <c r="J883" s="497"/>
      <c r="K883" s="596" t="s">
        <v>730</v>
      </c>
      <c r="L883" s="463"/>
      <c r="M883" s="535"/>
      <c r="N883" s="464"/>
      <c r="O883" s="464">
        <f>P882+1</f>
        <v>45932</v>
      </c>
      <c r="P883" s="464"/>
      <c r="Q883" s="447"/>
      <c r="R883" s="447"/>
      <c r="S883" s="447"/>
      <c r="T883" s="447"/>
      <c r="U883" s="448"/>
      <c r="V883" s="448"/>
      <c r="W883" s="448"/>
      <c r="X883" s="447"/>
      <c r="Y883" s="447"/>
      <c r="Z883" s="447"/>
      <c r="AA883" s="447"/>
      <c r="AB883" s="447"/>
      <c r="AC883" s="449">
        <f t="shared" si="426"/>
        <v>0</v>
      </c>
      <c r="AD883" s="271"/>
      <c r="AE883" s="241"/>
      <c r="AF883" s="194"/>
      <c r="AG883" s="194"/>
      <c r="AH883" s="194"/>
      <c r="AI883" s="194"/>
    </row>
    <row r="884" hidden="1">
      <c r="A884" s="732"/>
      <c r="B884" s="555"/>
      <c r="C884" s="196"/>
      <c r="D884" s="250" t="s">
        <v>1013</v>
      </c>
      <c r="E884" s="233"/>
      <c r="F884" s="224"/>
      <c r="G884" s="233"/>
      <c r="H884" s="222"/>
      <c r="I884" s="222"/>
      <c r="J884" s="222"/>
      <c r="K884" s="222" t="s">
        <v>730</v>
      </c>
      <c r="L884" s="225"/>
      <c r="M884" s="236"/>
      <c r="N884" s="285"/>
      <c r="O884" s="285"/>
      <c r="P884" s="285"/>
      <c r="Q884" s="452"/>
      <c r="R884" s="452"/>
      <c r="S884" s="452"/>
      <c r="T884" s="452"/>
      <c r="U884" s="600">
        <v>7.22594163E8</v>
      </c>
      <c r="V884" s="600">
        <v>7.22594163E8</v>
      </c>
      <c r="W884" s="600"/>
      <c r="X884" s="452"/>
      <c r="Y884" s="452"/>
      <c r="Z884" s="452"/>
      <c r="AA884" s="452"/>
      <c r="AB884" s="452"/>
      <c r="AC884" s="538">
        <f t="shared" si="426"/>
        <v>1445188326</v>
      </c>
      <c r="AD884" s="264"/>
      <c r="AE884" s="241"/>
      <c r="AF884" s="194"/>
      <c r="AG884" s="194"/>
      <c r="AH884" s="194"/>
      <c r="AI884" s="194"/>
    </row>
    <row r="885" hidden="1">
      <c r="A885" s="732"/>
      <c r="B885" s="555"/>
      <c r="C885" s="802"/>
      <c r="D885" s="286" t="s">
        <v>194</v>
      </c>
      <c r="E885" s="509"/>
      <c r="F885" s="509"/>
      <c r="G885" s="509"/>
      <c r="H885" s="510"/>
      <c r="I885" s="510"/>
      <c r="J885" s="511"/>
      <c r="K885" s="222" t="s">
        <v>730</v>
      </c>
      <c r="L885" s="803"/>
      <c r="M885" s="383"/>
      <c r="N885" s="365"/>
      <c r="O885" s="365"/>
      <c r="P885" s="365"/>
      <c r="Q885" s="600"/>
      <c r="R885" s="600"/>
      <c r="S885" s="600"/>
      <c r="T885" s="600"/>
      <c r="U885" s="600"/>
      <c r="V885" s="600"/>
      <c r="W885" s="600"/>
      <c r="X885" s="600"/>
      <c r="Y885" s="600"/>
      <c r="Z885" s="600"/>
      <c r="AA885" s="600"/>
      <c r="AB885" s="600"/>
      <c r="AC885" s="378">
        <f t="shared" si="426"/>
        <v>0</v>
      </c>
      <c r="AD885" s="214"/>
      <c r="AE885" s="192"/>
      <c r="AF885" s="194"/>
      <c r="AG885" s="194"/>
      <c r="AH885" s="194"/>
      <c r="AI885" s="194"/>
    </row>
    <row r="886" hidden="1">
      <c r="A886" s="732"/>
      <c r="B886" s="555"/>
      <c r="C886" s="802"/>
      <c r="D886" s="286" t="s">
        <v>1014</v>
      </c>
      <c r="E886" s="509"/>
      <c r="F886" s="509"/>
      <c r="G886" s="509"/>
      <c r="H886" s="510"/>
      <c r="I886" s="510"/>
      <c r="J886" s="511"/>
      <c r="K886" s="222" t="s">
        <v>730</v>
      </c>
      <c r="L886" s="803"/>
      <c r="M886" s="383"/>
      <c r="N886" s="365"/>
      <c r="O886" s="365"/>
      <c r="P886" s="365"/>
      <c r="Q886" s="600"/>
      <c r="R886" s="600"/>
      <c r="S886" s="600"/>
      <c r="T886" s="600"/>
      <c r="U886" s="600"/>
      <c r="V886" s="600"/>
      <c r="W886" s="600"/>
      <c r="X886" s="600"/>
      <c r="Y886" s="600"/>
      <c r="Z886" s="600"/>
      <c r="AA886" s="600"/>
      <c r="AB886" s="600"/>
      <c r="AC886" s="378">
        <f t="shared" si="426"/>
        <v>0</v>
      </c>
      <c r="AD886" s="214"/>
      <c r="AE886" s="192"/>
      <c r="AF886" s="194"/>
      <c r="AG886" s="194"/>
      <c r="AH886" s="194"/>
      <c r="AI886" s="194"/>
    </row>
    <row r="887">
      <c r="A887" s="732" t="s">
        <v>756</v>
      </c>
      <c r="B887" s="421"/>
      <c r="C887" s="394">
        <v>50.0</v>
      </c>
      <c r="D887" s="804" t="s">
        <v>1015</v>
      </c>
      <c r="E887" s="198" t="s">
        <v>994</v>
      </c>
      <c r="F887" s="198" t="s">
        <v>88</v>
      </c>
      <c r="G887" s="198" t="s">
        <v>88</v>
      </c>
      <c r="H887" s="198" t="s">
        <v>218</v>
      </c>
      <c r="I887" s="198" t="s">
        <v>253</v>
      </c>
      <c r="J887" s="198" t="s">
        <v>254</v>
      </c>
      <c r="K887" s="805" t="s">
        <v>735</v>
      </c>
      <c r="L887" s="806">
        <f>934168129</f>
        <v>934168129</v>
      </c>
      <c r="M887" s="807" t="s">
        <v>1016</v>
      </c>
      <c r="N887" s="808"/>
      <c r="O887" s="808">
        <v>45492.0</v>
      </c>
      <c r="P887" s="808">
        <v>45856.0</v>
      </c>
      <c r="Q887" s="809">
        <v>8.0143208E7</v>
      </c>
      <c r="R887" s="809">
        <v>8.0143208E7</v>
      </c>
      <c r="S887" s="809">
        <v>8.0143208E7</v>
      </c>
      <c r="T887" s="809">
        <v>8.0143208E7</v>
      </c>
      <c r="U887" s="809">
        <v>8.0143208E7</v>
      </c>
      <c r="V887" s="809">
        <v>8.0143208E7</v>
      </c>
      <c r="W887" s="809">
        <v>8.0143208E7</v>
      </c>
      <c r="X887" s="809">
        <v>8.0143208E7</v>
      </c>
      <c r="Y887" s="809">
        <v>8.0143208E7</v>
      </c>
      <c r="Z887" s="809">
        <v>8.0143208E7</v>
      </c>
      <c r="AA887" s="809">
        <v>8.0143208E7</v>
      </c>
      <c r="AB887" s="809">
        <v>8.0143208E7</v>
      </c>
      <c r="AC887" s="205">
        <f t="shared" si="426"/>
        <v>961718496</v>
      </c>
      <c r="AD887" s="178">
        <f>SUM(Q887:AB887)-AC887</f>
        <v>0</v>
      </c>
      <c r="AE887" s="241"/>
      <c r="AF887" s="725">
        <v>9.61718496E8</v>
      </c>
      <c r="AG887" s="194"/>
      <c r="AH887" s="194"/>
      <c r="AI887" s="194"/>
    </row>
    <row r="888" hidden="1">
      <c r="A888" s="732"/>
      <c r="B888" s="421"/>
      <c r="C888" s="402"/>
      <c r="D888" s="810"/>
      <c r="E888" s="757"/>
      <c r="F888" s="758"/>
      <c r="G888" s="757"/>
      <c r="H888" s="811"/>
      <c r="I888" s="811"/>
      <c r="J888" s="760"/>
      <c r="K888" s="761" t="s">
        <v>735</v>
      </c>
      <c r="L888" s="762"/>
      <c r="M888" s="763"/>
      <c r="N888" s="764"/>
      <c r="O888" s="764"/>
      <c r="P888" s="764">
        <f>P887</f>
        <v>45856</v>
      </c>
      <c r="Q888" s="448">
        <v>7.784734408333333E7</v>
      </c>
      <c r="R888" s="448">
        <v>7.784734408333333E7</v>
      </c>
      <c r="S888" s="448">
        <v>7.784734408333333E7</v>
      </c>
      <c r="T888" s="448">
        <v>7.784734408333333E7</v>
      </c>
      <c r="U888" s="448">
        <v>7.784734408333333E7</v>
      </c>
      <c r="V888" s="448">
        <v>7.784734408333333E7</v>
      </c>
      <c r="W888" s="448">
        <v>7.784734408333333E7</v>
      </c>
      <c r="X888" s="448"/>
      <c r="Y888" s="448"/>
      <c r="Z888" s="448"/>
      <c r="AA888" s="448"/>
      <c r="AB888" s="448"/>
      <c r="AC888" s="449">
        <f t="shared" si="426"/>
        <v>544931408.6</v>
      </c>
      <c r="AD888" s="420"/>
      <c r="AE888" s="241"/>
      <c r="AF888" s="194"/>
      <c r="AG888" s="194"/>
      <c r="AH888" s="194"/>
      <c r="AI888" s="194"/>
    </row>
    <row r="889" hidden="1">
      <c r="A889" s="732"/>
      <c r="B889" s="421"/>
      <c r="C889" s="402"/>
      <c r="D889" s="812" t="s">
        <v>1017</v>
      </c>
      <c r="E889" s="757"/>
      <c r="F889" s="758"/>
      <c r="G889" s="757"/>
      <c r="H889" s="811"/>
      <c r="I889" s="811"/>
      <c r="J889" s="760"/>
      <c r="K889" s="761" t="s">
        <v>735</v>
      </c>
      <c r="L889" s="762"/>
      <c r="M889" s="560"/>
      <c r="N889" s="764"/>
      <c r="O889" s="764">
        <f>P888+1</f>
        <v>45857</v>
      </c>
      <c r="P889" s="764"/>
      <c r="Q889" s="448"/>
      <c r="R889" s="448"/>
      <c r="S889" s="448"/>
      <c r="T889" s="448"/>
      <c r="U889" s="448"/>
      <c r="V889" s="448"/>
      <c r="W889" s="448"/>
      <c r="X889" s="448"/>
      <c r="Y889" s="448"/>
      <c r="Z889" s="448"/>
      <c r="AA889" s="448"/>
      <c r="AB889" s="448"/>
      <c r="AC889" s="449">
        <f t="shared" si="426"/>
        <v>0</v>
      </c>
      <c r="AD889" s="420"/>
      <c r="AE889" s="241"/>
      <c r="AF889" s="194"/>
      <c r="AG889" s="194"/>
      <c r="AH889" s="194"/>
      <c r="AI889" s="194"/>
    </row>
    <row r="890" hidden="1">
      <c r="A890" s="732"/>
      <c r="B890" s="421"/>
      <c r="C890" s="413"/>
      <c r="D890" s="250" t="s">
        <v>1018</v>
      </c>
      <c r="E890" s="766"/>
      <c r="F890" s="767"/>
      <c r="G890" s="766"/>
      <c r="H890" s="813"/>
      <c r="I890" s="813"/>
      <c r="J890" s="416"/>
      <c r="K890" s="222" t="s">
        <v>735</v>
      </c>
      <c r="L890" s="769"/>
      <c r="M890" s="513"/>
      <c r="N890" s="771"/>
      <c r="O890" s="771"/>
      <c r="P890" s="771"/>
      <c r="Q890" s="600">
        <f t="shared" ref="Q890:S890" si="428">77218159</f>
        <v>77218159</v>
      </c>
      <c r="R890" s="600">
        <f t="shared" si="428"/>
        <v>77218159</v>
      </c>
      <c r="S890" s="600">
        <f t="shared" si="428"/>
        <v>77218159</v>
      </c>
      <c r="T890" s="600">
        <f t="shared" ref="T890:V890" si="429">S890</f>
        <v>77218159</v>
      </c>
      <c r="U890" s="270">
        <f t="shared" si="429"/>
        <v>77218159</v>
      </c>
      <c r="V890" s="229">
        <f t="shared" si="429"/>
        <v>77218159</v>
      </c>
      <c r="W890" s="600"/>
      <c r="X890" s="600"/>
      <c r="Y890" s="600"/>
      <c r="Z890" s="600"/>
      <c r="AA890" s="600"/>
      <c r="AB890" s="600"/>
      <c r="AC890" s="538">
        <f t="shared" si="426"/>
        <v>463308954</v>
      </c>
      <c r="AD890" s="420"/>
      <c r="AE890" s="241"/>
      <c r="AF890" s="194"/>
      <c r="AG890" s="194"/>
      <c r="AH890" s="194"/>
      <c r="AI890" s="194"/>
    </row>
    <row r="891" hidden="1">
      <c r="A891" s="732"/>
      <c r="B891" s="421"/>
      <c r="C891" s="394"/>
      <c r="D891" s="286" t="s">
        <v>194</v>
      </c>
      <c r="E891" s="773"/>
      <c r="F891" s="773"/>
      <c r="G891" s="773"/>
      <c r="H891" s="774"/>
      <c r="I891" s="774"/>
      <c r="J891" s="416"/>
      <c r="K891" s="222" t="s">
        <v>735</v>
      </c>
      <c r="L891" s="457"/>
      <c r="M891" s="473"/>
      <c r="N891" s="459"/>
      <c r="O891" s="459"/>
      <c r="P891" s="459"/>
      <c r="Q891" s="600">
        <f t="shared" ref="Q891:S891" si="430">77218159</f>
        <v>77218159</v>
      </c>
      <c r="R891" s="600">
        <f t="shared" si="430"/>
        <v>77218159</v>
      </c>
      <c r="S891" s="600">
        <f t="shared" si="430"/>
        <v>77218159</v>
      </c>
      <c r="T891" s="600">
        <f t="shared" ref="T891:U891" si="431">S891</f>
        <v>77218159</v>
      </c>
      <c r="U891" s="229">
        <f t="shared" si="431"/>
        <v>77218159</v>
      </c>
      <c r="V891" s="600"/>
      <c r="W891" s="600"/>
      <c r="X891" s="600"/>
      <c r="Y891" s="600"/>
      <c r="Z891" s="600"/>
      <c r="AA891" s="600"/>
      <c r="AB891" s="600"/>
      <c r="AC891" s="378">
        <f t="shared" si="426"/>
        <v>386090795</v>
      </c>
      <c r="AD891" s="420"/>
      <c r="AE891" s="241"/>
      <c r="AF891" s="194"/>
      <c r="AG891" s="194"/>
      <c r="AH891" s="194"/>
      <c r="AI891" s="194"/>
    </row>
    <row r="892" hidden="1">
      <c r="A892" s="732"/>
      <c r="B892" s="421"/>
      <c r="C892" s="394"/>
      <c r="D892" s="286" t="s">
        <v>1019</v>
      </c>
      <c r="E892" s="773"/>
      <c r="F892" s="773"/>
      <c r="G892" s="773"/>
      <c r="H892" s="774"/>
      <c r="I892" s="774"/>
      <c r="J892" s="416"/>
      <c r="K892" s="222" t="s">
        <v>735</v>
      </c>
      <c r="L892" s="457"/>
      <c r="M892" s="473"/>
      <c r="N892" s="459"/>
      <c r="O892" s="459"/>
      <c r="P892" s="459"/>
      <c r="Q892" s="600">
        <f t="shared" ref="Q892:S892" si="432">77218159</f>
        <v>77218159</v>
      </c>
      <c r="R892" s="600">
        <f t="shared" si="432"/>
        <v>77218159</v>
      </c>
      <c r="S892" s="600">
        <f t="shared" si="432"/>
        <v>77218159</v>
      </c>
      <c r="T892" s="600">
        <f>S892</f>
        <v>77218159</v>
      </c>
      <c r="U892" s="600"/>
      <c r="V892" s="600"/>
      <c r="W892" s="600"/>
      <c r="X892" s="600"/>
      <c r="Y892" s="600"/>
      <c r="Z892" s="600"/>
      <c r="AA892" s="600"/>
      <c r="AB892" s="600"/>
      <c r="AC892" s="378">
        <f t="shared" si="426"/>
        <v>308872636</v>
      </c>
      <c r="AD892" s="420"/>
      <c r="AE892" s="241"/>
      <c r="AF892" s="194"/>
      <c r="AG892" s="194"/>
      <c r="AH892" s="194"/>
      <c r="AI892" s="194"/>
    </row>
    <row r="893">
      <c r="A893" s="126"/>
      <c r="B893" s="591"/>
      <c r="C893" s="433">
        <v>51.0</v>
      </c>
      <c r="D893" s="603" t="s">
        <v>1020</v>
      </c>
      <c r="E893" s="198" t="s">
        <v>186</v>
      </c>
      <c r="F893" s="198" t="s">
        <v>135</v>
      </c>
      <c r="G893" s="198" t="s">
        <v>135</v>
      </c>
      <c r="H893" s="198" t="s">
        <v>218</v>
      </c>
      <c r="I893" s="198" t="s">
        <v>187</v>
      </c>
      <c r="J893" s="198" t="s">
        <v>188</v>
      </c>
      <c r="K893" s="529" t="s">
        <v>735</v>
      </c>
      <c r="L893" s="436">
        <v>1.16321647927928E9</v>
      </c>
      <c r="M893" s="479" t="s">
        <v>1021</v>
      </c>
      <c r="N893" s="438"/>
      <c r="O893" s="438">
        <v>45541.0</v>
      </c>
      <c r="P893" s="438">
        <v>45693.0</v>
      </c>
      <c r="Q893" s="710"/>
      <c r="R893" s="710"/>
      <c r="S893" s="710"/>
      <c r="T893" s="480"/>
      <c r="U893" s="480"/>
      <c r="V893" s="480"/>
      <c r="W893" s="480"/>
      <c r="X893" s="480"/>
      <c r="Y893" s="480"/>
      <c r="Z893" s="480"/>
      <c r="AA893" s="480"/>
      <c r="AB893" s="480"/>
      <c r="AC893" s="440">
        <f t="shared" si="426"/>
        <v>0</v>
      </c>
      <c r="AD893" s="420"/>
      <c r="AE893" s="241"/>
      <c r="AF893" s="754"/>
      <c r="AG893" s="194"/>
      <c r="AH893" s="194"/>
      <c r="AI893" s="194"/>
    </row>
    <row r="894" hidden="1">
      <c r="A894" s="126"/>
      <c r="B894" s="591"/>
      <c r="C894" s="755"/>
      <c r="D894" s="814"/>
      <c r="E894" s="758"/>
      <c r="F894" s="758"/>
      <c r="G894" s="758"/>
      <c r="H894" s="759"/>
      <c r="I894" s="759"/>
      <c r="J894" s="760"/>
      <c r="K894" s="761" t="s">
        <v>735</v>
      </c>
      <c r="L894" s="815">
        <v>4.67810145E8</v>
      </c>
      <c r="M894" s="560" t="s">
        <v>1022</v>
      </c>
      <c r="N894" s="561"/>
      <c r="O894" s="561">
        <v>45694.0</v>
      </c>
      <c r="P894" s="561">
        <v>45747.0</v>
      </c>
      <c r="Q894" s="448">
        <v>1.69674476E8</v>
      </c>
      <c r="R894" s="448">
        <v>2.339050725E8</v>
      </c>
      <c r="S894" s="448">
        <v>2.339050725E8</v>
      </c>
      <c r="T894" s="482"/>
      <c r="U894" s="482"/>
      <c r="V894" s="482"/>
      <c r="W894" s="482"/>
      <c r="X894" s="482"/>
      <c r="Y894" s="482"/>
      <c r="Z894" s="482"/>
      <c r="AA894" s="482"/>
      <c r="AB894" s="482"/>
      <c r="AC894" s="449">
        <f t="shared" si="426"/>
        <v>637484621</v>
      </c>
      <c r="AD894" s="420"/>
      <c r="AE894" s="692"/>
      <c r="AF894" s="273"/>
      <c r="AG894" s="273"/>
      <c r="AH894" s="273"/>
      <c r="AI894" s="273"/>
    </row>
    <row r="895" hidden="1">
      <c r="A895" s="126"/>
      <c r="B895" s="591"/>
      <c r="C895" s="755"/>
      <c r="D895" s="814"/>
      <c r="E895" s="758"/>
      <c r="F895" s="758"/>
      <c r="G895" s="758"/>
      <c r="H895" s="759"/>
      <c r="I895" s="759"/>
      <c r="J895" s="760"/>
      <c r="K895" s="761" t="s">
        <v>735</v>
      </c>
      <c r="L895" s="815">
        <v>5.64428028E8</v>
      </c>
      <c r="M895" s="560" t="s">
        <v>1023</v>
      </c>
      <c r="N895" s="561"/>
      <c r="O895" s="561">
        <v>45748.0</v>
      </c>
      <c r="P895" s="561">
        <v>45838.0</v>
      </c>
      <c r="Q895" s="448"/>
      <c r="R895" s="448"/>
      <c r="S895" s="448"/>
      <c r="T895" s="447">
        <f>L895/3</f>
        <v>188142676</v>
      </c>
      <c r="U895" s="447">
        <v>1.88142676E8</v>
      </c>
      <c r="V895" s="447">
        <v>1.88142676E8</v>
      </c>
      <c r="W895" s="482"/>
      <c r="X895" s="482"/>
      <c r="Y895" s="482"/>
      <c r="Z895" s="482"/>
      <c r="AA895" s="482"/>
      <c r="AB895" s="482"/>
      <c r="AC895" s="449">
        <f t="shared" si="426"/>
        <v>564428028</v>
      </c>
      <c r="AD895" s="420"/>
      <c r="AE895" s="692"/>
      <c r="AF895" s="273"/>
      <c r="AG895" s="273"/>
      <c r="AH895" s="273"/>
      <c r="AI895" s="273"/>
    </row>
    <row r="896" hidden="1">
      <c r="A896" s="126"/>
      <c r="B896" s="591"/>
      <c r="C896" s="816"/>
      <c r="D896" s="265" t="s">
        <v>948</v>
      </c>
      <c r="E896" s="757"/>
      <c r="F896" s="758"/>
      <c r="G896" s="757"/>
      <c r="H896" s="759"/>
      <c r="I896" s="759"/>
      <c r="J896" s="760"/>
      <c r="K896" s="761" t="s">
        <v>735</v>
      </c>
      <c r="L896" s="762"/>
      <c r="M896" s="560"/>
      <c r="N896" s="764"/>
      <c r="O896" s="764">
        <f>P895+1</f>
        <v>45839</v>
      </c>
      <c r="P896" s="561">
        <v>45900.0</v>
      </c>
      <c r="Q896" s="448"/>
      <c r="R896" s="448"/>
      <c r="S896" s="448"/>
      <c r="T896" s="448"/>
      <c r="U896" s="448"/>
      <c r="V896" s="448"/>
      <c r="W896" s="482"/>
      <c r="X896" s="482"/>
      <c r="Y896" s="482"/>
      <c r="Z896" s="482"/>
      <c r="AA896" s="482"/>
      <c r="AB896" s="482"/>
      <c r="AC896" s="449">
        <f t="shared" si="426"/>
        <v>0</v>
      </c>
      <c r="AD896" s="420"/>
      <c r="AE896" s="692"/>
      <c r="AF896" s="273"/>
      <c r="AG896" s="273"/>
      <c r="AH896" s="273"/>
      <c r="AI896" s="273"/>
    </row>
    <row r="897" hidden="1">
      <c r="A897" s="126"/>
      <c r="B897" s="591"/>
      <c r="C897" s="765"/>
      <c r="D897" s="250" t="s">
        <v>1024</v>
      </c>
      <c r="E897" s="766"/>
      <c r="F897" s="767"/>
      <c r="G897" s="766"/>
      <c r="H897" s="768"/>
      <c r="I897" s="768"/>
      <c r="J897" s="416"/>
      <c r="K897" s="222" t="s">
        <v>735</v>
      </c>
      <c r="L897" s="769"/>
      <c r="M897" s="770"/>
      <c r="N897" s="771"/>
      <c r="O897" s="771"/>
      <c r="P897" s="771"/>
      <c r="Q897" s="600">
        <v>1.69674476E8</v>
      </c>
      <c r="R897" s="600">
        <v>1.95593731E8</v>
      </c>
      <c r="S897" s="600">
        <v>1.75288318E8</v>
      </c>
      <c r="T897" s="600">
        <f t="shared" ref="T897:T899" si="433">196858298</f>
        <v>196858298</v>
      </c>
      <c r="U897" s="600">
        <f t="shared" ref="U897:U899" si="434">194669280</f>
        <v>194669280</v>
      </c>
      <c r="V897" s="229">
        <v>1.76210568E8</v>
      </c>
      <c r="W897" s="772"/>
      <c r="X897" s="772"/>
      <c r="Y897" s="772"/>
      <c r="Z897" s="772"/>
      <c r="AA897" s="772"/>
      <c r="AB897" s="772"/>
      <c r="AC897" s="538">
        <f t="shared" si="426"/>
        <v>1108294671</v>
      </c>
      <c r="AD897" s="420"/>
      <c r="AE897" s="692"/>
      <c r="AF897" s="194"/>
      <c r="AG897" s="273"/>
      <c r="AH897" s="273"/>
      <c r="AI897" s="273"/>
    </row>
    <row r="898" hidden="1">
      <c r="A898" s="126"/>
      <c r="B898" s="591"/>
      <c r="C898" s="394"/>
      <c r="D898" s="286" t="s">
        <v>194</v>
      </c>
      <c r="E898" s="773"/>
      <c r="F898" s="767"/>
      <c r="G898" s="773"/>
      <c r="H898" s="774"/>
      <c r="I898" s="774"/>
      <c r="J898" s="416"/>
      <c r="K898" s="222" t="s">
        <v>735</v>
      </c>
      <c r="L898" s="457"/>
      <c r="M898" s="473"/>
      <c r="N898" s="459"/>
      <c r="O898" s="459"/>
      <c r="P898" s="459"/>
      <c r="Q898" s="600">
        <v>1.69674476E8</v>
      </c>
      <c r="R898" s="600">
        <v>1.95593731E8</v>
      </c>
      <c r="S898" s="600">
        <v>1.75288318E8</v>
      </c>
      <c r="T898" s="600">
        <f t="shared" si="433"/>
        <v>196858298</v>
      </c>
      <c r="U898" s="600">
        <f t="shared" si="434"/>
        <v>194669280</v>
      </c>
      <c r="V898" s="600"/>
      <c r="W898" s="772"/>
      <c r="X898" s="772"/>
      <c r="Y898" s="772"/>
      <c r="Z898" s="772"/>
      <c r="AA898" s="772"/>
      <c r="AB898" s="772"/>
      <c r="AC898" s="378">
        <f t="shared" si="426"/>
        <v>932084103</v>
      </c>
      <c r="AD898" s="420"/>
      <c r="AE898" s="692"/>
      <c r="AF898" s="194"/>
      <c r="AG898" s="273"/>
      <c r="AH898" s="273"/>
      <c r="AI898" s="273"/>
    </row>
    <row r="899" hidden="1">
      <c r="A899" s="126"/>
      <c r="B899" s="591"/>
      <c r="C899" s="394"/>
      <c r="D899" s="286" t="s">
        <v>1025</v>
      </c>
      <c r="E899" s="773"/>
      <c r="F899" s="767"/>
      <c r="G899" s="773"/>
      <c r="H899" s="774"/>
      <c r="I899" s="774"/>
      <c r="J899" s="416"/>
      <c r="K899" s="222" t="s">
        <v>735</v>
      </c>
      <c r="L899" s="457"/>
      <c r="M899" s="473"/>
      <c r="N899" s="459"/>
      <c r="O899" s="459"/>
      <c r="P899" s="459"/>
      <c r="Q899" s="600">
        <v>1.69674476E8</v>
      </c>
      <c r="R899" s="600">
        <v>1.95593731E8</v>
      </c>
      <c r="S899" s="600">
        <v>1.75288318E8</v>
      </c>
      <c r="T899" s="600">
        <f t="shared" si="433"/>
        <v>196858298</v>
      </c>
      <c r="U899" s="600">
        <f t="shared" si="434"/>
        <v>194669280</v>
      </c>
      <c r="V899" s="600"/>
      <c r="W899" s="772"/>
      <c r="X899" s="772"/>
      <c r="Y899" s="772"/>
      <c r="Z899" s="772"/>
      <c r="AA899" s="772"/>
      <c r="AB899" s="772"/>
      <c r="AC899" s="378">
        <f t="shared" si="426"/>
        <v>932084103</v>
      </c>
      <c r="AD899" s="420"/>
      <c r="AE899" s="692"/>
      <c r="AF899" s="194"/>
      <c r="AG899" s="273"/>
      <c r="AH899" s="273"/>
      <c r="AI899" s="273"/>
    </row>
    <row r="900">
      <c r="A900" s="126"/>
      <c r="B900" s="591"/>
      <c r="C900" s="394">
        <v>52.0</v>
      </c>
      <c r="D900" s="817" t="s">
        <v>1026</v>
      </c>
      <c r="E900" s="198" t="s">
        <v>186</v>
      </c>
      <c r="F900" s="198" t="s">
        <v>305</v>
      </c>
      <c r="G900" s="198" t="s">
        <v>92</v>
      </c>
      <c r="H900" s="198" t="s">
        <v>306</v>
      </c>
      <c r="I900" s="198" t="s">
        <v>187</v>
      </c>
      <c r="J900" s="198" t="s">
        <v>188</v>
      </c>
      <c r="K900" s="529" t="s">
        <v>735</v>
      </c>
      <c r="L900" s="436">
        <v>1.6735888E9</v>
      </c>
      <c r="M900" s="479" t="s">
        <v>1027</v>
      </c>
      <c r="N900" s="438"/>
      <c r="O900" s="438">
        <v>45474.0</v>
      </c>
      <c r="P900" s="438">
        <v>45838.0</v>
      </c>
      <c r="Q900" s="710"/>
      <c r="R900" s="710"/>
      <c r="S900" s="710"/>
      <c r="T900" s="710"/>
      <c r="U900" s="710"/>
      <c r="V900" s="710"/>
      <c r="W900" s="480"/>
      <c r="X900" s="480"/>
      <c r="Y900" s="480"/>
      <c r="Z900" s="480"/>
      <c r="AA900" s="480"/>
      <c r="AB900" s="480"/>
      <c r="AC900" s="440">
        <f t="shared" si="426"/>
        <v>0</v>
      </c>
      <c r="AD900" s="420"/>
      <c r="AE900" s="692"/>
      <c r="AF900" s="754"/>
      <c r="AG900" s="273"/>
      <c r="AH900" s="273"/>
      <c r="AI900" s="273"/>
    </row>
    <row r="901" hidden="1">
      <c r="A901" s="126"/>
      <c r="B901" s="591"/>
      <c r="C901" s="755"/>
      <c r="D901" s="812" t="s">
        <v>1028</v>
      </c>
      <c r="E901" s="757"/>
      <c r="F901" s="758"/>
      <c r="G901" s="757"/>
      <c r="H901" s="759"/>
      <c r="I901" s="759"/>
      <c r="J901" s="760"/>
      <c r="K901" s="761" t="s">
        <v>735</v>
      </c>
      <c r="L901" s="762"/>
      <c r="M901" s="818" t="s">
        <v>1029</v>
      </c>
      <c r="N901" s="819"/>
      <c r="O901" s="764">
        <f>P900+1</f>
        <v>45839</v>
      </c>
      <c r="P901" s="764">
        <f>P900</f>
        <v>45838</v>
      </c>
      <c r="Q901" s="448">
        <v>1.39465733E8</v>
      </c>
      <c r="R901" s="448">
        <v>1.39465733E8</v>
      </c>
      <c r="S901" s="448">
        <v>1.39465733E8</v>
      </c>
      <c r="T901" s="448">
        <v>1.39465733E8</v>
      </c>
      <c r="U901" s="448">
        <v>1.39465733E8</v>
      </c>
      <c r="V901" s="448">
        <v>1.39465733E8</v>
      </c>
      <c r="W901" s="482"/>
      <c r="X901" s="482"/>
      <c r="Y901" s="482"/>
      <c r="Z901" s="482"/>
      <c r="AA901" s="482"/>
      <c r="AB901" s="482"/>
      <c r="AC901" s="449">
        <f t="shared" si="426"/>
        <v>836794398</v>
      </c>
      <c r="AD901" s="420"/>
      <c r="AE901" s="692"/>
      <c r="AF901" s="273"/>
      <c r="AG901" s="273"/>
      <c r="AH901" s="273"/>
      <c r="AI901" s="273"/>
    </row>
    <row r="902" hidden="1">
      <c r="A902" s="391"/>
      <c r="B902" s="591"/>
      <c r="C902" s="816"/>
      <c r="D902" s="820" t="s">
        <v>1030</v>
      </c>
      <c r="E902" s="757"/>
      <c r="F902" s="758"/>
      <c r="G902" s="757"/>
      <c r="H902" s="759"/>
      <c r="I902" s="759"/>
      <c r="J902" s="760"/>
      <c r="K902" s="761" t="s">
        <v>735</v>
      </c>
      <c r="L902" s="762"/>
      <c r="M902" s="821"/>
      <c r="N902" s="819"/>
      <c r="O902" s="764">
        <f>O901</f>
        <v>45839</v>
      </c>
      <c r="P902" s="764"/>
      <c r="Q902" s="448"/>
      <c r="R902" s="448"/>
      <c r="S902" s="448"/>
      <c r="T902" s="448"/>
      <c r="U902" s="448"/>
      <c r="V902" s="448"/>
      <c r="W902" s="448"/>
      <c r="X902" s="448"/>
      <c r="Y902" s="448"/>
      <c r="Z902" s="448"/>
      <c r="AA902" s="448"/>
      <c r="AB902" s="448"/>
      <c r="AC902" s="449">
        <f t="shared" si="426"/>
        <v>0</v>
      </c>
      <c r="AD902" s="420"/>
      <c r="AE902" s="692"/>
      <c r="AF902" s="273"/>
      <c r="AG902" s="273"/>
      <c r="AH902" s="273"/>
      <c r="AI902" s="273"/>
    </row>
    <row r="903" hidden="1">
      <c r="A903" s="126"/>
      <c r="B903" s="591"/>
      <c r="C903" s="765"/>
      <c r="D903" s="250" t="s">
        <v>1031</v>
      </c>
      <c r="E903" s="766"/>
      <c r="F903" s="767"/>
      <c r="G903" s="766"/>
      <c r="H903" s="768"/>
      <c r="I903" s="768"/>
      <c r="J903" s="416"/>
      <c r="K903" s="222" t="s">
        <v>735</v>
      </c>
      <c r="L903" s="769"/>
      <c r="M903" s="770"/>
      <c r="N903" s="771"/>
      <c r="O903" s="771"/>
      <c r="P903" s="771"/>
      <c r="Q903" s="229">
        <f>Q901</f>
        <v>139465733</v>
      </c>
      <c r="R903" s="229">
        <v>1.39465733E8</v>
      </c>
      <c r="S903" s="229">
        <f>R903</f>
        <v>139465733</v>
      </c>
      <c r="T903" s="229">
        <v>1.39627487E8</v>
      </c>
      <c r="U903" s="229">
        <v>1.3E8</v>
      </c>
      <c r="V903" s="229">
        <v>1.1E8</v>
      </c>
      <c r="W903" s="229"/>
      <c r="X903" s="600"/>
      <c r="Y903" s="600"/>
      <c r="Z903" s="600"/>
      <c r="AA903" s="600"/>
      <c r="AB903" s="600"/>
      <c r="AC903" s="538">
        <f t="shared" si="426"/>
        <v>798024686</v>
      </c>
      <c r="AD903" s="420"/>
      <c r="AE903" s="692"/>
      <c r="AF903" s="194"/>
      <c r="AG903" s="273"/>
      <c r="AH903" s="273"/>
      <c r="AI903" s="273"/>
    </row>
    <row r="904" hidden="1">
      <c r="A904" s="126"/>
      <c r="B904" s="591"/>
      <c r="C904" s="394"/>
      <c r="D904" s="286" t="s">
        <v>194</v>
      </c>
      <c r="E904" s="773"/>
      <c r="F904" s="767"/>
      <c r="G904" s="773"/>
      <c r="H904" s="774"/>
      <c r="I904" s="774"/>
      <c r="J904" s="416"/>
      <c r="K904" s="222" t="s">
        <v>735</v>
      </c>
      <c r="L904" s="457"/>
      <c r="M904" s="473"/>
      <c r="N904" s="459"/>
      <c r="O904" s="459"/>
      <c r="P904" s="459"/>
      <c r="Q904" s="600"/>
      <c r="R904" s="600"/>
      <c r="S904" s="600"/>
      <c r="T904" s="600"/>
      <c r="U904" s="600"/>
      <c r="V904" s="600"/>
      <c r="W904" s="600"/>
      <c r="X904" s="600"/>
      <c r="Y904" s="600"/>
      <c r="Z904" s="600"/>
      <c r="AA904" s="600"/>
      <c r="AB904" s="600"/>
      <c r="AC904" s="378">
        <f t="shared" si="426"/>
        <v>0</v>
      </c>
      <c r="AD904" s="420"/>
      <c r="AE904" s="692"/>
      <c r="AF904" s="194"/>
      <c r="AG904" s="273"/>
      <c r="AH904" s="273"/>
      <c r="AI904" s="273"/>
    </row>
    <row r="905" hidden="1">
      <c r="A905" s="126"/>
      <c r="B905" s="591"/>
      <c r="C905" s="394"/>
      <c r="D905" s="286" t="s">
        <v>1032</v>
      </c>
      <c r="E905" s="773"/>
      <c r="F905" s="767"/>
      <c r="G905" s="773"/>
      <c r="H905" s="774"/>
      <c r="I905" s="774"/>
      <c r="J905" s="416"/>
      <c r="K905" s="222" t="s">
        <v>735</v>
      </c>
      <c r="L905" s="457"/>
      <c r="M905" s="473"/>
      <c r="N905" s="459"/>
      <c r="O905" s="459"/>
      <c r="P905" s="459"/>
      <c r="Q905" s="600"/>
      <c r="R905" s="600"/>
      <c r="S905" s="600"/>
      <c r="T905" s="600"/>
      <c r="U905" s="600"/>
      <c r="V905" s="600"/>
      <c r="W905" s="600"/>
      <c r="X905" s="600"/>
      <c r="Y905" s="600"/>
      <c r="Z905" s="600"/>
      <c r="AA905" s="600"/>
      <c r="AB905" s="600"/>
      <c r="AC905" s="378">
        <f t="shared" si="426"/>
        <v>0</v>
      </c>
      <c r="AD905" s="420"/>
      <c r="AE905" s="692"/>
      <c r="AF905" s="194"/>
      <c r="AG905" s="273"/>
      <c r="AH905" s="273"/>
      <c r="AI905" s="273"/>
    </row>
    <row r="906">
      <c r="A906" s="126"/>
      <c r="B906" s="591"/>
      <c r="C906" s="433">
        <v>53.0</v>
      </c>
      <c r="D906" s="817" t="s">
        <v>1033</v>
      </c>
      <c r="E906" s="198" t="s">
        <v>186</v>
      </c>
      <c r="F906" s="198" t="s">
        <v>135</v>
      </c>
      <c r="G906" s="198" t="s">
        <v>135</v>
      </c>
      <c r="H906" s="198" t="s">
        <v>218</v>
      </c>
      <c r="I906" s="198" t="s">
        <v>253</v>
      </c>
      <c r="J906" s="198" t="s">
        <v>254</v>
      </c>
      <c r="K906" s="529" t="s">
        <v>735</v>
      </c>
      <c r="L906" s="436">
        <v>6.7110024E8</v>
      </c>
      <c r="M906" s="479" t="s">
        <v>1034</v>
      </c>
      <c r="N906" s="438"/>
      <c r="O906" s="438">
        <v>45602.0</v>
      </c>
      <c r="P906" s="438">
        <v>45966.0</v>
      </c>
      <c r="Q906" s="710"/>
      <c r="R906" s="710"/>
      <c r="S906" s="710"/>
      <c r="T906" s="710"/>
      <c r="U906" s="710"/>
      <c r="V906" s="710"/>
      <c r="W906" s="710"/>
      <c r="X906" s="710"/>
      <c r="Y906" s="710"/>
      <c r="Z906" s="710"/>
      <c r="AA906" s="480"/>
      <c r="AB906" s="480"/>
      <c r="AC906" s="440">
        <f t="shared" si="426"/>
        <v>0</v>
      </c>
      <c r="AD906" s="420"/>
      <c r="AE906" s="692"/>
      <c r="AF906" s="754"/>
      <c r="AG906" s="273"/>
      <c r="AH906" s="273"/>
      <c r="AI906" s="273"/>
    </row>
    <row r="907" hidden="1">
      <c r="A907" s="126"/>
      <c r="B907" s="591"/>
      <c r="C907" s="755"/>
      <c r="D907" s="810"/>
      <c r="E907" s="757"/>
      <c r="F907" s="758"/>
      <c r="G907" s="757"/>
      <c r="H907" s="759"/>
      <c r="I907" s="759"/>
      <c r="J907" s="760"/>
      <c r="K907" s="761" t="s">
        <v>735</v>
      </c>
      <c r="L907" s="762"/>
      <c r="M907" s="763"/>
      <c r="N907" s="764"/>
      <c r="O907" s="764"/>
      <c r="P907" s="764">
        <f>P906</f>
        <v>45966</v>
      </c>
      <c r="Q907" s="448">
        <v>5.592502E7</v>
      </c>
      <c r="R907" s="448">
        <v>5.592502E7</v>
      </c>
      <c r="S907" s="448">
        <v>5.592502E7</v>
      </c>
      <c r="T907" s="448">
        <v>5.592502E7</v>
      </c>
      <c r="U907" s="448">
        <v>5.592502E7</v>
      </c>
      <c r="V907" s="448">
        <v>5.592502E7</v>
      </c>
      <c r="W907" s="448">
        <v>5.592502E7</v>
      </c>
      <c r="X907" s="448">
        <v>5.592502E7</v>
      </c>
      <c r="Y907" s="448">
        <v>5.592502E7</v>
      </c>
      <c r="Z907" s="448">
        <v>5.592502E7</v>
      </c>
      <c r="AA907" s="482"/>
      <c r="AB907" s="482"/>
      <c r="AC907" s="449">
        <f t="shared" si="426"/>
        <v>559250200</v>
      </c>
      <c r="AD907" s="420"/>
      <c r="AE907" s="692"/>
      <c r="AF907" s="273"/>
      <c r="AG907" s="273"/>
      <c r="AH907" s="273"/>
      <c r="AI907" s="273"/>
    </row>
    <row r="908" hidden="1">
      <c r="A908" s="126"/>
      <c r="B908" s="591"/>
      <c r="C908" s="816"/>
      <c r="D908" s="810"/>
      <c r="E908" s="757"/>
      <c r="F908" s="758"/>
      <c r="G908" s="757"/>
      <c r="H908" s="759"/>
      <c r="I908" s="759"/>
      <c r="J908" s="760"/>
      <c r="K908" s="761" t="s">
        <v>735</v>
      </c>
      <c r="L908" s="762"/>
      <c r="M908" s="763"/>
      <c r="N908" s="764"/>
      <c r="O908" s="764">
        <f>P907+1</f>
        <v>45967</v>
      </c>
      <c r="P908" s="764"/>
      <c r="Q908" s="448"/>
      <c r="R908" s="448"/>
      <c r="S908" s="448"/>
      <c r="T908" s="448"/>
      <c r="U908" s="448"/>
      <c r="V908" s="448"/>
      <c r="W908" s="482"/>
      <c r="X908" s="482"/>
      <c r="Y908" s="482"/>
      <c r="Z908" s="482"/>
      <c r="AA908" s="482"/>
      <c r="AB908" s="482"/>
      <c r="AC908" s="449">
        <f t="shared" si="426"/>
        <v>0</v>
      </c>
      <c r="AD908" s="420"/>
      <c r="AE908" s="692"/>
      <c r="AF908" s="273"/>
      <c r="AG908" s="273"/>
      <c r="AH908" s="273"/>
      <c r="AI908" s="273"/>
    </row>
    <row r="909" hidden="1">
      <c r="A909" s="126"/>
      <c r="B909" s="591"/>
      <c r="C909" s="765"/>
      <c r="D909" s="250" t="s">
        <v>1035</v>
      </c>
      <c r="E909" s="766"/>
      <c r="F909" s="767"/>
      <c r="G909" s="766"/>
      <c r="H909" s="768"/>
      <c r="I909" s="768"/>
      <c r="J909" s="416"/>
      <c r="K909" s="222" t="s">
        <v>735</v>
      </c>
      <c r="L909" s="769"/>
      <c r="M909" s="770"/>
      <c r="N909" s="771"/>
      <c r="O909" s="771"/>
      <c r="P909" s="771"/>
      <c r="Q909" s="600">
        <v>5.592502E7</v>
      </c>
      <c r="R909" s="600">
        <v>5.592502E7</v>
      </c>
      <c r="S909" s="600">
        <v>5.592502E7</v>
      </c>
      <c r="T909" s="229">
        <v>5.592502E7</v>
      </c>
      <c r="U909" s="229">
        <v>5.592502E7</v>
      </c>
      <c r="V909" s="229">
        <v>5.592502E7</v>
      </c>
      <c r="W909" s="772"/>
      <c r="X909" s="772"/>
      <c r="Y909" s="772"/>
      <c r="Z909" s="772"/>
      <c r="AA909" s="772"/>
      <c r="AB909" s="772"/>
      <c r="AC909" s="538">
        <f t="shared" si="426"/>
        <v>335550120</v>
      </c>
      <c r="AD909" s="420"/>
      <c r="AE909" s="692"/>
      <c r="AF909" s="194"/>
      <c r="AG909" s="273"/>
      <c r="AH909" s="273"/>
      <c r="AI909" s="273"/>
    </row>
    <row r="910" hidden="1">
      <c r="A910" s="126"/>
      <c r="B910" s="591"/>
      <c r="C910" s="394"/>
      <c r="D910" s="286" t="s">
        <v>194</v>
      </c>
      <c r="E910" s="773"/>
      <c r="F910" s="767"/>
      <c r="G910" s="773"/>
      <c r="H910" s="774"/>
      <c r="I910" s="774"/>
      <c r="J910" s="416"/>
      <c r="K910" s="222" t="s">
        <v>735</v>
      </c>
      <c r="L910" s="457"/>
      <c r="M910" s="473"/>
      <c r="N910" s="459"/>
      <c r="O910" s="459"/>
      <c r="P910" s="459"/>
      <c r="Q910" s="600">
        <v>5.592502E7</v>
      </c>
      <c r="R910" s="600">
        <v>5.592502E7</v>
      </c>
      <c r="S910" s="600">
        <v>5.592502E7</v>
      </c>
      <c r="T910" s="600"/>
      <c r="U910" s="600"/>
      <c r="V910" s="600"/>
      <c r="W910" s="772"/>
      <c r="X910" s="772"/>
      <c r="Y910" s="772"/>
      <c r="Z910" s="772"/>
      <c r="AA910" s="772"/>
      <c r="AB910" s="772"/>
      <c r="AC910" s="378">
        <f t="shared" si="426"/>
        <v>167775060</v>
      </c>
      <c r="AD910" s="420"/>
      <c r="AE910" s="692"/>
      <c r="AF910" s="194"/>
      <c r="AG910" s="273"/>
      <c r="AH910" s="273"/>
      <c r="AI910" s="273"/>
    </row>
    <row r="911" hidden="1">
      <c r="A911" s="126"/>
      <c r="B911" s="591"/>
      <c r="C911" s="394"/>
      <c r="D911" s="286" t="s">
        <v>1036</v>
      </c>
      <c r="E911" s="773"/>
      <c r="F911" s="767"/>
      <c r="G911" s="773"/>
      <c r="H911" s="774"/>
      <c r="I911" s="774"/>
      <c r="J911" s="416"/>
      <c r="K911" s="222" t="s">
        <v>735</v>
      </c>
      <c r="L911" s="457"/>
      <c r="M911" s="473"/>
      <c r="N911" s="459"/>
      <c r="O911" s="459"/>
      <c r="P911" s="459"/>
      <c r="Q911" s="600">
        <v>5.592502E7</v>
      </c>
      <c r="R911" s="600">
        <v>5.592502E7</v>
      </c>
      <c r="S911" s="600">
        <v>5.592502E7</v>
      </c>
      <c r="T911" s="600"/>
      <c r="U911" s="600"/>
      <c r="V911" s="600"/>
      <c r="W911" s="772"/>
      <c r="X911" s="772"/>
      <c r="Y911" s="772"/>
      <c r="Z911" s="772"/>
      <c r="AA911" s="772"/>
      <c r="AB911" s="772"/>
      <c r="AC911" s="378">
        <f t="shared" si="426"/>
        <v>167775060</v>
      </c>
      <c r="AD911" s="420"/>
      <c r="AE911" s="692"/>
      <c r="AF911" s="194"/>
      <c r="AG911" s="273"/>
      <c r="AH911" s="273"/>
      <c r="AI911" s="273"/>
    </row>
    <row r="912">
      <c r="A912" s="126"/>
      <c r="B912" s="591"/>
      <c r="C912" s="394">
        <v>54.0</v>
      </c>
      <c r="D912" s="817" t="s">
        <v>1037</v>
      </c>
      <c r="E912" s="198" t="s">
        <v>186</v>
      </c>
      <c r="F912" s="198" t="s">
        <v>135</v>
      </c>
      <c r="G912" s="198" t="s">
        <v>135</v>
      </c>
      <c r="H912" s="198" t="s">
        <v>203</v>
      </c>
      <c r="I912" s="198" t="s">
        <v>253</v>
      </c>
      <c r="J912" s="198" t="s">
        <v>254</v>
      </c>
      <c r="K912" s="529" t="s">
        <v>735</v>
      </c>
      <c r="L912" s="436">
        <v>6.309280872E9</v>
      </c>
      <c r="M912" s="479" t="s">
        <v>1038</v>
      </c>
      <c r="N912" s="438"/>
      <c r="O912" s="438">
        <v>45658.0</v>
      </c>
      <c r="P912" s="438">
        <v>45838.0</v>
      </c>
      <c r="Q912" s="710"/>
      <c r="R912" s="710"/>
      <c r="S912" s="710"/>
      <c r="T912" s="710"/>
      <c r="U912" s="710"/>
      <c r="V912" s="710"/>
      <c r="W912" s="480"/>
      <c r="X912" s="480"/>
      <c r="Y912" s="480"/>
      <c r="Z912" s="480"/>
      <c r="AA912" s="480"/>
      <c r="AB912" s="480"/>
      <c r="AC912" s="440">
        <f t="shared" si="426"/>
        <v>0</v>
      </c>
      <c r="AD912" s="420"/>
      <c r="AE912" s="692"/>
      <c r="AF912" s="754"/>
      <c r="AG912" s="273"/>
      <c r="AH912" s="273"/>
      <c r="AI912" s="273"/>
    </row>
    <row r="913" hidden="1">
      <c r="A913" s="126"/>
      <c r="B913" s="591"/>
      <c r="C913" s="755"/>
      <c r="D913" s="810"/>
      <c r="E913" s="757"/>
      <c r="F913" s="758"/>
      <c r="G913" s="757"/>
      <c r="H913" s="759"/>
      <c r="I913" s="759"/>
      <c r="J913" s="760"/>
      <c r="K913" s="761" t="s">
        <v>735</v>
      </c>
      <c r="L913" s="762"/>
      <c r="M913" s="763"/>
      <c r="N913" s="764"/>
      <c r="O913" s="764"/>
      <c r="P913" s="764">
        <f>P912</f>
        <v>45838</v>
      </c>
      <c r="Q913" s="448">
        <v>1.051546812E9</v>
      </c>
      <c r="R913" s="448">
        <v>1.051546812E9</v>
      </c>
      <c r="S913" s="448">
        <v>1.051546812E9</v>
      </c>
      <c r="T913" s="448">
        <v>1.051546812E9</v>
      </c>
      <c r="U913" s="448">
        <v>1.051546812E9</v>
      </c>
      <c r="V913" s="448">
        <v>1.051546812E9</v>
      </c>
      <c r="W913" s="482"/>
      <c r="X913" s="482"/>
      <c r="Y913" s="482"/>
      <c r="Z913" s="482"/>
      <c r="AA913" s="482"/>
      <c r="AB913" s="482"/>
      <c r="AC913" s="449">
        <f t="shared" si="426"/>
        <v>6309280872</v>
      </c>
      <c r="AD913" s="420"/>
      <c r="AE913" s="692"/>
      <c r="AF913" s="273"/>
      <c r="AG913" s="273"/>
      <c r="AH913" s="273"/>
      <c r="AI913" s="273"/>
    </row>
    <row r="914" hidden="1">
      <c r="A914" s="126"/>
      <c r="B914" s="591"/>
      <c r="C914" s="816"/>
      <c r="D914" s="820" t="s">
        <v>1039</v>
      </c>
      <c r="E914" s="757"/>
      <c r="F914" s="758"/>
      <c r="G914" s="757"/>
      <c r="H914" s="759"/>
      <c r="I914" s="759"/>
      <c r="J914" s="760"/>
      <c r="K914" s="761" t="s">
        <v>735</v>
      </c>
      <c r="L914" s="762"/>
      <c r="M914" s="763"/>
      <c r="N914" s="764"/>
      <c r="O914" s="764">
        <f>P913+1</f>
        <v>45839</v>
      </c>
      <c r="P914" s="561">
        <v>45930.0</v>
      </c>
      <c r="Q914" s="448"/>
      <c r="R914" s="448"/>
      <c r="S914" s="448"/>
      <c r="T914" s="448"/>
      <c r="U914" s="448"/>
      <c r="V914" s="448"/>
      <c r="W914" s="482"/>
      <c r="X914" s="482"/>
      <c r="Y914" s="482"/>
      <c r="Z914" s="482"/>
      <c r="AA914" s="482"/>
      <c r="AB914" s="482"/>
      <c r="AC914" s="449">
        <f t="shared" si="426"/>
        <v>0</v>
      </c>
      <c r="AD914" s="420"/>
      <c r="AE914" s="692"/>
      <c r="AF914" s="273"/>
      <c r="AG914" s="273"/>
      <c r="AH914" s="273"/>
      <c r="AI914" s="273"/>
    </row>
    <row r="915" hidden="1">
      <c r="A915" s="126"/>
      <c r="B915" s="591"/>
      <c r="C915" s="765"/>
      <c r="D915" s="250" t="s">
        <v>1040</v>
      </c>
      <c r="E915" s="766"/>
      <c r="F915" s="767"/>
      <c r="G915" s="766"/>
      <c r="H915" s="768"/>
      <c r="I915" s="768"/>
      <c r="J915" s="416"/>
      <c r="K915" s="222" t="s">
        <v>735</v>
      </c>
      <c r="L915" s="769"/>
      <c r="M915" s="770"/>
      <c r="N915" s="771"/>
      <c r="O915" s="771"/>
      <c r="P915" s="771"/>
      <c r="Q915" s="600">
        <v>1.16721696132E9</v>
      </c>
      <c r="R915" s="600">
        <v>1.14945217278E9</v>
      </c>
      <c r="S915" s="600">
        <v>1.38509580216E9</v>
      </c>
      <c r="T915" s="600">
        <v>1.33291984701E9</v>
      </c>
      <c r="U915" s="229">
        <v>1.200828691E9</v>
      </c>
      <c r="V915" s="229">
        <v>1.200828691E9</v>
      </c>
      <c r="W915" s="772"/>
      <c r="X915" s="772"/>
      <c r="Y915" s="772"/>
      <c r="Z915" s="772"/>
      <c r="AA915" s="772"/>
      <c r="AB915" s="772"/>
      <c r="AC915" s="538">
        <f t="shared" si="426"/>
        <v>7436342165</v>
      </c>
      <c r="AD915" s="420"/>
      <c r="AE915" s="692"/>
      <c r="AF915" s="194"/>
      <c r="AG915" s="273"/>
      <c r="AH915" s="273"/>
      <c r="AI915" s="273"/>
    </row>
    <row r="916" hidden="1">
      <c r="A916" s="126"/>
      <c r="B916" s="591"/>
      <c r="C916" s="394"/>
      <c r="D916" s="286" t="s">
        <v>194</v>
      </c>
      <c r="E916" s="773"/>
      <c r="F916" s="767"/>
      <c r="G916" s="773"/>
      <c r="H916" s="774"/>
      <c r="I916" s="774"/>
      <c r="J916" s="416"/>
      <c r="K916" s="222" t="s">
        <v>735</v>
      </c>
      <c r="L916" s="457"/>
      <c r="M916" s="473"/>
      <c r="N916" s="459"/>
      <c r="O916" s="459"/>
      <c r="P916" s="459"/>
      <c r="Q916" s="600">
        <v>1.16721696132E9</v>
      </c>
      <c r="R916" s="600">
        <v>1.14945217278E9</v>
      </c>
      <c r="S916" s="600">
        <v>1.38509580216E9</v>
      </c>
      <c r="T916" s="600">
        <v>1.33291984701E9</v>
      </c>
      <c r="U916" s="600"/>
      <c r="V916" s="600"/>
      <c r="W916" s="772"/>
      <c r="X916" s="772"/>
      <c r="Y916" s="772"/>
      <c r="Z916" s="772"/>
      <c r="AA916" s="772"/>
      <c r="AB916" s="772"/>
      <c r="AC916" s="378">
        <f t="shared" si="426"/>
        <v>5034684783</v>
      </c>
      <c r="AD916" s="420"/>
      <c r="AE916" s="692"/>
      <c r="AF916" s="194"/>
      <c r="AG916" s="273"/>
      <c r="AH916" s="273"/>
      <c r="AI916" s="273"/>
    </row>
    <row r="917" hidden="1">
      <c r="A917" s="126"/>
      <c r="B917" s="591"/>
      <c r="C917" s="394"/>
      <c r="D917" s="286" t="s">
        <v>1041</v>
      </c>
      <c r="E917" s="773"/>
      <c r="F917" s="767"/>
      <c r="G917" s="773"/>
      <c r="H917" s="774"/>
      <c r="I917" s="774"/>
      <c r="J917" s="416"/>
      <c r="K917" s="222" t="s">
        <v>735</v>
      </c>
      <c r="L917" s="457"/>
      <c r="M917" s="473"/>
      <c r="N917" s="459"/>
      <c r="O917" s="459"/>
      <c r="P917" s="459"/>
      <c r="Q917" s="600">
        <v>1.16721696132E9</v>
      </c>
      <c r="R917" s="600">
        <v>1.14945217278E9</v>
      </c>
      <c r="S917" s="600">
        <v>1.38509580216E9</v>
      </c>
      <c r="T917" s="600">
        <v>1.33291984701E9</v>
      </c>
      <c r="U917" s="600"/>
      <c r="V917" s="600"/>
      <c r="W917" s="772"/>
      <c r="X917" s="772"/>
      <c r="Y917" s="772"/>
      <c r="Z917" s="772"/>
      <c r="AA917" s="772"/>
      <c r="AB917" s="772"/>
      <c r="AC917" s="378">
        <f t="shared" si="426"/>
        <v>5034684783</v>
      </c>
      <c r="AD917" s="420"/>
      <c r="AE917" s="692"/>
      <c r="AF917" s="194"/>
      <c r="AG917" s="273"/>
      <c r="AH917" s="273"/>
      <c r="AI917" s="273"/>
    </row>
    <row r="918">
      <c r="A918" s="126"/>
      <c r="B918" s="591"/>
      <c r="C918" s="394">
        <v>55.0</v>
      </c>
      <c r="D918" s="817" t="s">
        <v>1042</v>
      </c>
      <c r="E918" s="198" t="s">
        <v>186</v>
      </c>
      <c r="F918" s="198" t="s">
        <v>135</v>
      </c>
      <c r="G918" s="198" t="s">
        <v>135</v>
      </c>
      <c r="H918" s="198" t="s">
        <v>203</v>
      </c>
      <c r="I918" s="198" t="s">
        <v>253</v>
      </c>
      <c r="J918" s="198" t="s">
        <v>254</v>
      </c>
      <c r="K918" s="529" t="s">
        <v>735</v>
      </c>
      <c r="L918" s="436">
        <v>1.001342951E9</v>
      </c>
      <c r="M918" s="479" t="s">
        <v>1043</v>
      </c>
      <c r="N918" s="438"/>
      <c r="O918" s="438">
        <v>45658.0</v>
      </c>
      <c r="P918" s="438">
        <v>45838.0</v>
      </c>
      <c r="Q918" s="710"/>
      <c r="R918" s="710"/>
      <c r="S918" s="710"/>
      <c r="T918" s="710"/>
      <c r="U918" s="710"/>
      <c r="V918" s="710"/>
      <c r="W918" s="480"/>
      <c r="X918" s="480"/>
      <c r="Y918" s="480"/>
      <c r="Z918" s="480"/>
      <c r="AA918" s="480"/>
      <c r="AB918" s="480"/>
      <c r="AC918" s="440">
        <f t="shared" si="426"/>
        <v>0</v>
      </c>
      <c r="AD918" s="420"/>
      <c r="AE918" s="692"/>
      <c r="AF918" s="754"/>
      <c r="AG918" s="273"/>
      <c r="AH918" s="273"/>
      <c r="AI918" s="273"/>
    </row>
    <row r="919" hidden="1">
      <c r="A919" s="126"/>
      <c r="B919" s="591"/>
      <c r="C919" s="755"/>
      <c r="D919" s="822" t="s">
        <v>1044</v>
      </c>
      <c r="E919" s="758"/>
      <c r="F919" s="758"/>
      <c r="G919" s="758"/>
      <c r="H919" s="759"/>
      <c r="I919" s="759"/>
      <c r="J919" s="760"/>
      <c r="K919" s="761" t="s">
        <v>735</v>
      </c>
      <c r="L919" s="823"/>
      <c r="M919" s="763"/>
      <c r="N919" s="764"/>
      <c r="O919" s="764"/>
      <c r="P919" s="764">
        <f>P918</f>
        <v>45838</v>
      </c>
      <c r="Q919" s="448">
        <v>1.66890491833333E8</v>
      </c>
      <c r="R919" s="448">
        <v>1.66890491833333E8</v>
      </c>
      <c r="S919" s="448">
        <v>1.66890491833333E8</v>
      </c>
      <c r="T919" s="448">
        <v>1.66890491833333E8</v>
      </c>
      <c r="U919" s="448">
        <v>1.66890491833333E8</v>
      </c>
      <c r="V919" s="448">
        <v>1.66890491833333E8</v>
      </c>
      <c r="W919" s="482"/>
      <c r="X919" s="482"/>
      <c r="Y919" s="482"/>
      <c r="Z919" s="482"/>
      <c r="AA919" s="482"/>
      <c r="AB919" s="482"/>
      <c r="AC919" s="449">
        <f t="shared" si="426"/>
        <v>1001342951</v>
      </c>
      <c r="AD919" s="420"/>
      <c r="AE919" s="692"/>
      <c r="AF919" s="273"/>
      <c r="AG919" s="273"/>
      <c r="AH919" s="273"/>
      <c r="AI919" s="273"/>
    </row>
    <row r="920" hidden="1">
      <c r="A920" s="126"/>
      <c r="B920" s="591"/>
      <c r="C920" s="816"/>
      <c r="D920" s="812" t="s">
        <v>1045</v>
      </c>
      <c r="E920" s="758"/>
      <c r="F920" s="758"/>
      <c r="G920" s="758"/>
      <c r="H920" s="759"/>
      <c r="I920" s="759"/>
      <c r="J920" s="760"/>
      <c r="K920" s="761" t="s">
        <v>735</v>
      </c>
      <c r="L920" s="823"/>
      <c r="M920" s="763"/>
      <c r="N920" s="764"/>
      <c r="O920" s="764">
        <f>P919+1</f>
        <v>45839</v>
      </c>
      <c r="P920" s="561">
        <v>46022.0</v>
      </c>
      <c r="Q920" s="448"/>
      <c r="R920" s="448"/>
      <c r="S920" s="448"/>
      <c r="T920" s="482"/>
      <c r="U920" s="482"/>
      <c r="V920" s="482"/>
      <c r="W920" s="482"/>
      <c r="X920" s="482"/>
      <c r="Y920" s="482"/>
      <c r="Z920" s="482"/>
      <c r="AA920" s="482"/>
      <c r="AB920" s="482"/>
      <c r="AC920" s="449">
        <f t="shared" si="426"/>
        <v>0</v>
      </c>
      <c r="AD920" s="420"/>
      <c r="AE920" s="692"/>
      <c r="AF920" s="273"/>
      <c r="AG920" s="273"/>
      <c r="AH920" s="273"/>
      <c r="AI920" s="273"/>
    </row>
    <row r="921" hidden="1">
      <c r="A921" s="126"/>
      <c r="B921" s="591"/>
      <c r="C921" s="765"/>
      <c r="D921" s="250" t="s">
        <v>1046</v>
      </c>
      <c r="E921" s="767"/>
      <c r="F921" s="767"/>
      <c r="G921" s="767"/>
      <c r="H921" s="768"/>
      <c r="I921" s="768"/>
      <c r="J921" s="416"/>
      <c r="K921" s="222" t="s">
        <v>735</v>
      </c>
      <c r="L921" s="824"/>
      <c r="M921" s="770"/>
      <c r="N921" s="771"/>
      <c r="O921" s="771"/>
      <c r="P921" s="771"/>
      <c r="Q921" s="229"/>
      <c r="R921" s="229"/>
      <c r="S921" s="229"/>
      <c r="T921" s="229"/>
      <c r="U921" s="229"/>
      <c r="V921" s="229"/>
      <c r="W921" s="772"/>
      <c r="X921" s="772"/>
      <c r="Y921" s="772"/>
      <c r="Z921" s="772"/>
      <c r="AA921" s="772"/>
      <c r="AB921" s="772"/>
      <c r="AC921" s="538">
        <f t="shared" si="426"/>
        <v>0</v>
      </c>
      <c r="AD921" s="420"/>
      <c r="AE921" s="692"/>
      <c r="AF921" s="194"/>
      <c r="AG921" s="273"/>
      <c r="AH921" s="273"/>
      <c r="AI921" s="273"/>
    </row>
    <row r="922" hidden="1">
      <c r="A922" s="126"/>
      <c r="B922" s="432"/>
      <c r="C922" s="394"/>
      <c r="D922" s="286" t="s">
        <v>194</v>
      </c>
      <c r="E922" s="773"/>
      <c r="F922" s="773"/>
      <c r="G922" s="773"/>
      <c r="H922" s="774"/>
      <c r="I922" s="774"/>
      <c r="J922" s="416"/>
      <c r="K922" s="222" t="s">
        <v>735</v>
      </c>
      <c r="L922" s="457"/>
      <c r="M922" s="473"/>
      <c r="N922" s="459"/>
      <c r="O922" s="459"/>
      <c r="P922" s="459"/>
      <c r="Q922" s="600"/>
      <c r="R922" s="600"/>
      <c r="S922" s="600"/>
      <c r="T922" s="600"/>
      <c r="U922" s="600"/>
      <c r="V922" s="600"/>
      <c r="W922" s="600"/>
      <c r="X922" s="600"/>
      <c r="Y922" s="600"/>
      <c r="Z922" s="600"/>
      <c r="AA922" s="600"/>
      <c r="AB922" s="600"/>
      <c r="AC922" s="378">
        <f t="shared" si="426"/>
        <v>0</v>
      </c>
      <c r="AD922" s="420"/>
      <c r="AE922" s="692"/>
      <c r="AF922" s="194"/>
      <c r="AG922" s="273"/>
      <c r="AH922" s="273"/>
      <c r="AI922" s="273"/>
    </row>
    <row r="923" hidden="1">
      <c r="A923" s="126"/>
      <c r="B923" s="432"/>
      <c r="C923" s="394"/>
      <c r="D923" s="286" t="s">
        <v>1047</v>
      </c>
      <c r="E923" s="773"/>
      <c r="F923" s="773"/>
      <c r="G923" s="773"/>
      <c r="H923" s="774"/>
      <c r="I923" s="774"/>
      <c r="J923" s="416"/>
      <c r="K923" s="222" t="s">
        <v>735</v>
      </c>
      <c r="L923" s="457"/>
      <c r="M923" s="473"/>
      <c r="N923" s="459"/>
      <c r="O923" s="459"/>
      <c r="P923" s="459"/>
      <c r="Q923" s="600"/>
      <c r="R923" s="600"/>
      <c r="S923" s="600"/>
      <c r="T923" s="600"/>
      <c r="U923" s="600"/>
      <c r="V923" s="600"/>
      <c r="W923" s="600"/>
      <c r="X923" s="600"/>
      <c r="Y923" s="600"/>
      <c r="Z923" s="600"/>
      <c r="AA923" s="600"/>
      <c r="AB923" s="600"/>
      <c r="AC923" s="378">
        <f t="shared" si="426"/>
        <v>0</v>
      </c>
      <c r="AD923" s="420"/>
      <c r="AE923" s="692"/>
      <c r="AF923" s="194"/>
      <c r="AG923" s="273"/>
      <c r="AH923" s="273"/>
      <c r="AI923" s="273"/>
    </row>
    <row r="924">
      <c r="A924" s="126"/>
      <c r="B924" s="432"/>
      <c r="C924" s="394">
        <v>56.0</v>
      </c>
      <c r="D924" s="817" t="s">
        <v>1048</v>
      </c>
      <c r="E924" s="198" t="s">
        <v>186</v>
      </c>
      <c r="F924" s="198" t="s">
        <v>135</v>
      </c>
      <c r="G924" s="198" t="s">
        <v>135</v>
      </c>
      <c r="H924" s="198" t="s">
        <v>203</v>
      </c>
      <c r="I924" s="198" t="s">
        <v>253</v>
      </c>
      <c r="J924" s="198" t="s">
        <v>254</v>
      </c>
      <c r="K924" s="529" t="s">
        <v>735</v>
      </c>
      <c r="L924" s="436">
        <f>163522860*12</f>
        <v>1962274320</v>
      </c>
      <c r="M924" s="479" t="s">
        <v>1049</v>
      </c>
      <c r="N924" s="438"/>
      <c r="O924" s="438">
        <v>45700.0</v>
      </c>
      <c r="P924" s="438">
        <f>O924+364</f>
        <v>46064</v>
      </c>
      <c r="Q924" s="710"/>
      <c r="R924" s="710"/>
      <c r="S924" s="710"/>
      <c r="T924" s="710"/>
      <c r="U924" s="710"/>
      <c r="V924" s="710"/>
      <c r="W924" s="710"/>
      <c r="X924" s="710"/>
      <c r="Y924" s="710"/>
      <c r="Z924" s="710"/>
      <c r="AA924" s="710"/>
      <c r="AB924" s="710"/>
      <c r="AC924" s="440">
        <f t="shared" si="426"/>
        <v>0</v>
      </c>
      <c r="AD924" s="420"/>
      <c r="AE924" s="692"/>
      <c r="AF924" s="754"/>
      <c r="AG924" s="273"/>
      <c r="AH924" s="273"/>
      <c r="AI924" s="273"/>
    </row>
    <row r="925" hidden="1">
      <c r="A925" s="126"/>
      <c r="B925" s="432"/>
      <c r="C925" s="402"/>
      <c r="D925" s="812" t="s">
        <v>1050</v>
      </c>
      <c r="E925" s="757"/>
      <c r="F925" s="758"/>
      <c r="G925" s="757"/>
      <c r="H925" s="811"/>
      <c r="I925" s="811"/>
      <c r="J925" s="760"/>
      <c r="K925" s="761" t="s">
        <v>735</v>
      </c>
      <c r="L925" s="823"/>
      <c r="M925" s="825"/>
      <c r="N925" s="764"/>
      <c r="O925" s="764"/>
      <c r="P925" s="764">
        <f>P924</f>
        <v>46064</v>
      </c>
      <c r="Q925" s="448"/>
      <c r="R925" s="448">
        <f>L924/12</f>
        <v>163522860</v>
      </c>
      <c r="S925" s="448">
        <v>1.6352286E8</v>
      </c>
      <c r="T925" s="448">
        <v>1.6352286E8</v>
      </c>
      <c r="U925" s="448">
        <v>1.6352286E8</v>
      </c>
      <c r="V925" s="448">
        <v>1.6352286E8</v>
      </c>
      <c r="W925" s="448">
        <v>1.6352286E8</v>
      </c>
      <c r="X925" s="448">
        <v>1.6352286E8</v>
      </c>
      <c r="Y925" s="448">
        <v>1.6352286E8</v>
      </c>
      <c r="Z925" s="448">
        <v>1.6352286E8</v>
      </c>
      <c r="AA925" s="448">
        <v>1.6352286E8</v>
      </c>
      <c r="AB925" s="448">
        <v>1.6352286E8</v>
      </c>
      <c r="AC925" s="449">
        <f t="shared" si="426"/>
        <v>1798751460</v>
      </c>
      <c r="AD925" s="420"/>
      <c r="AE925" s="692"/>
      <c r="AF925" s="273"/>
      <c r="AG925" s="273"/>
      <c r="AH925" s="273"/>
      <c r="AI925" s="273"/>
    </row>
    <row r="926" hidden="1">
      <c r="A926" s="126"/>
      <c r="B926" s="432"/>
      <c r="C926" s="413"/>
      <c r="D926" s="250" t="s">
        <v>1051</v>
      </c>
      <c r="E926" s="766"/>
      <c r="F926" s="767"/>
      <c r="G926" s="766"/>
      <c r="H926" s="813"/>
      <c r="I926" s="813"/>
      <c r="J926" s="416"/>
      <c r="K926" s="222" t="s">
        <v>735</v>
      </c>
      <c r="L926" s="824"/>
      <c r="M926" s="826"/>
      <c r="N926" s="771"/>
      <c r="O926" s="771"/>
      <c r="P926" s="771"/>
      <c r="Q926" s="772"/>
      <c r="R926" s="452"/>
      <c r="S926" s="452"/>
      <c r="T926" s="827"/>
      <c r="U926" s="827"/>
      <c r="V926" s="827"/>
      <c r="W926" s="827"/>
      <c r="X926" s="772"/>
      <c r="Y926" s="772"/>
      <c r="Z926" s="772"/>
      <c r="AA926" s="772"/>
      <c r="AB926" s="772"/>
      <c r="AC926" s="538">
        <f t="shared" si="426"/>
        <v>0</v>
      </c>
      <c r="AD926" s="420"/>
      <c r="AE926" s="692"/>
      <c r="AF926" s="194"/>
      <c r="AG926" s="273"/>
      <c r="AH926" s="273"/>
      <c r="AI926" s="273"/>
    </row>
    <row r="927" hidden="1">
      <c r="A927" s="126"/>
      <c r="B927" s="432"/>
      <c r="C927" s="394"/>
      <c r="D927" s="286" t="s">
        <v>194</v>
      </c>
      <c r="E927" s="773"/>
      <c r="F927" s="773"/>
      <c r="G927" s="773"/>
      <c r="H927" s="774"/>
      <c r="I927" s="774"/>
      <c r="J927" s="416"/>
      <c r="K927" s="222" t="s">
        <v>735</v>
      </c>
      <c r="L927" s="457"/>
      <c r="M927" s="473"/>
      <c r="N927" s="459"/>
      <c r="O927" s="459"/>
      <c r="P927" s="459"/>
      <c r="Q927" s="600"/>
      <c r="R927" s="600"/>
      <c r="S927" s="600"/>
      <c r="T927" s="600"/>
      <c r="U927" s="600"/>
      <c r="V927" s="600"/>
      <c r="W927" s="600"/>
      <c r="X927" s="600"/>
      <c r="Y927" s="600"/>
      <c r="Z927" s="600"/>
      <c r="AA927" s="600"/>
      <c r="AB927" s="600"/>
      <c r="AC927" s="378">
        <f t="shared" si="426"/>
        <v>0</v>
      </c>
      <c r="AD927" s="420"/>
      <c r="AE927" s="692"/>
      <c r="AF927" s="194"/>
      <c r="AG927" s="273"/>
      <c r="AH927" s="273"/>
      <c r="AI927" s="273"/>
    </row>
    <row r="928" hidden="1">
      <c r="A928" s="126"/>
      <c r="B928" s="432"/>
      <c r="C928" s="394"/>
      <c r="D928" s="286" t="s">
        <v>1052</v>
      </c>
      <c r="E928" s="773"/>
      <c r="F928" s="773"/>
      <c r="G928" s="773"/>
      <c r="H928" s="774"/>
      <c r="I928" s="774"/>
      <c r="J928" s="416"/>
      <c r="K928" s="222" t="s">
        <v>735</v>
      </c>
      <c r="L928" s="457"/>
      <c r="M928" s="473"/>
      <c r="N928" s="459"/>
      <c r="O928" s="459"/>
      <c r="P928" s="459"/>
      <c r="Q928" s="600"/>
      <c r="R928" s="600"/>
      <c r="S928" s="600"/>
      <c r="T928" s="600"/>
      <c r="U928" s="600"/>
      <c r="V928" s="600"/>
      <c r="W928" s="600"/>
      <c r="X928" s="600"/>
      <c r="Y928" s="600"/>
      <c r="Z928" s="600"/>
      <c r="AA928" s="600"/>
      <c r="AB928" s="600"/>
      <c r="AC928" s="378">
        <f t="shared" si="426"/>
        <v>0</v>
      </c>
      <c r="AD928" s="420"/>
      <c r="AE928" s="692"/>
      <c r="AF928" s="194"/>
      <c r="AG928" s="273"/>
      <c r="AH928" s="273"/>
      <c r="AI928" s="273"/>
    </row>
    <row r="929">
      <c r="A929" s="126"/>
      <c r="B929" s="432"/>
      <c r="C929" s="394">
        <v>57.0</v>
      </c>
      <c r="D929" s="817" t="s">
        <v>1053</v>
      </c>
      <c r="E929" s="198" t="s">
        <v>186</v>
      </c>
      <c r="F929" s="198" t="s">
        <v>135</v>
      </c>
      <c r="G929" s="198" t="s">
        <v>135</v>
      </c>
      <c r="H929" s="198" t="s">
        <v>203</v>
      </c>
      <c r="I929" s="198" t="s">
        <v>253</v>
      </c>
      <c r="J929" s="198" t="s">
        <v>254</v>
      </c>
      <c r="K929" s="529" t="s">
        <v>735</v>
      </c>
      <c r="L929" s="436">
        <f>21822347256</f>
        <v>21822347256</v>
      </c>
      <c r="M929" s="479" t="s">
        <v>1054</v>
      </c>
      <c r="N929" s="438"/>
      <c r="O929" s="438">
        <v>45597.0</v>
      </c>
      <c r="P929" s="438">
        <v>46326.0</v>
      </c>
      <c r="Q929" s="710"/>
      <c r="R929" s="710"/>
      <c r="S929" s="710"/>
      <c r="T929" s="710"/>
      <c r="U929" s="710"/>
      <c r="V929" s="710"/>
      <c r="W929" s="710"/>
      <c r="X929" s="710"/>
      <c r="Y929" s="710"/>
      <c r="Z929" s="710"/>
      <c r="AA929" s="710"/>
      <c r="AB929" s="710"/>
      <c r="AC929" s="440">
        <f t="shared" si="426"/>
        <v>0</v>
      </c>
      <c r="AD929" s="420"/>
      <c r="AE929" s="692"/>
      <c r="AF929" s="754"/>
      <c r="AG929" s="273"/>
      <c r="AH929" s="273"/>
      <c r="AI929" s="273"/>
    </row>
    <row r="930" hidden="1">
      <c r="A930" s="126"/>
      <c r="B930" s="432"/>
      <c r="C930" s="402"/>
      <c r="D930" s="810"/>
      <c r="E930" s="757"/>
      <c r="F930" s="758"/>
      <c r="G930" s="757"/>
      <c r="H930" s="811"/>
      <c r="I930" s="811"/>
      <c r="J930" s="760"/>
      <c r="K930" s="761" t="s">
        <v>735</v>
      </c>
      <c r="L930" s="823"/>
      <c r="M930" s="825"/>
      <c r="N930" s="764"/>
      <c r="O930" s="764"/>
      <c r="P930" s="764">
        <f>P929</f>
        <v>46326</v>
      </c>
      <c r="Q930" s="448">
        <f>L929/24</f>
        <v>909264469</v>
      </c>
      <c r="R930" s="448">
        <f t="shared" ref="R930:AB930" si="435">Q930</f>
        <v>909264469</v>
      </c>
      <c r="S930" s="448">
        <f t="shared" si="435"/>
        <v>909264469</v>
      </c>
      <c r="T930" s="448">
        <f t="shared" si="435"/>
        <v>909264469</v>
      </c>
      <c r="U930" s="448">
        <f t="shared" si="435"/>
        <v>909264469</v>
      </c>
      <c r="V930" s="448">
        <f t="shared" si="435"/>
        <v>909264469</v>
      </c>
      <c r="W930" s="448">
        <f t="shared" si="435"/>
        <v>909264469</v>
      </c>
      <c r="X930" s="448">
        <f t="shared" si="435"/>
        <v>909264469</v>
      </c>
      <c r="Y930" s="448">
        <f t="shared" si="435"/>
        <v>909264469</v>
      </c>
      <c r="Z930" s="448">
        <f t="shared" si="435"/>
        <v>909264469</v>
      </c>
      <c r="AA930" s="448">
        <f t="shared" si="435"/>
        <v>909264469</v>
      </c>
      <c r="AB930" s="448">
        <f t="shared" si="435"/>
        <v>909264469</v>
      </c>
      <c r="AC930" s="449">
        <f t="shared" si="426"/>
        <v>10911173628</v>
      </c>
      <c r="AD930" s="420"/>
      <c r="AE930" s="692"/>
      <c r="AF930" s="273"/>
      <c r="AG930" s="273"/>
      <c r="AH930" s="273"/>
      <c r="AI930" s="273"/>
    </row>
    <row r="931" hidden="1">
      <c r="A931" s="126"/>
      <c r="B931" s="432"/>
      <c r="C931" s="413"/>
      <c r="D931" s="250" t="s">
        <v>1055</v>
      </c>
      <c r="E931" s="766"/>
      <c r="F931" s="767"/>
      <c r="G931" s="766"/>
      <c r="H931" s="813"/>
      <c r="I931" s="813"/>
      <c r="J931" s="416"/>
      <c r="K931" s="222" t="s">
        <v>735</v>
      </c>
      <c r="L931" s="824"/>
      <c r="M931" s="828"/>
      <c r="N931" s="771"/>
      <c r="O931" s="771"/>
      <c r="P931" s="771"/>
      <c r="Q931" s="600">
        <f t="shared" ref="Q931:S931" si="436">898914349+40005781</f>
        <v>938920130</v>
      </c>
      <c r="R931" s="600">
        <f t="shared" si="436"/>
        <v>938920130</v>
      </c>
      <c r="S931" s="600">
        <f t="shared" si="436"/>
        <v>938920130</v>
      </c>
      <c r="T931" s="600">
        <v>9.3030693462E8</v>
      </c>
      <c r="U931" s="270">
        <v>9.3009217462E8</v>
      </c>
      <c r="V931" s="229">
        <v>9.43043569E8</v>
      </c>
      <c r="W931" s="229"/>
      <c r="X931" s="600"/>
      <c r="Y931" s="600"/>
      <c r="Z931" s="600"/>
      <c r="AA931" s="600"/>
      <c r="AB931" s="600"/>
      <c r="AC931" s="538">
        <f t="shared" si="426"/>
        <v>5620203068</v>
      </c>
      <c r="AD931" s="420"/>
      <c r="AE931" s="692"/>
      <c r="AF931" s="194"/>
      <c r="AG931" s="273"/>
      <c r="AH931" s="273"/>
      <c r="AI931" s="273"/>
    </row>
    <row r="932" hidden="1">
      <c r="A932" s="126"/>
      <c r="B932" s="432"/>
      <c r="C932" s="394"/>
      <c r="D932" s="286" t="s">
        <v>194</v>
      </c>
      <c r="E932" s="773"/>
      <c r="F932" s="767"/>
      <c r="G932" s="773"/>
      <c r="H932" s="774"/>
      <c r="I932" s="774"/>
      <c r="J932" s="416"/>
      <c r="K932" s="222" t="s">
        <v>735</v>
      </c>
      <c r="L932" s="457"/>
      <c r="M932" s="473"/>
      <c r="N932" s="459"/>
      <c r="O932" s="459"/>
      <c r="P932" s="459"/>
      <c r="Q932" s="600">
        <f t="shared" ref="Q932:S932" si="437">898914349+40005781</f>
        <v>938920130</v>
      </c>
      <c r="R932" s="600">
        <f t="shared" si="437"/>
        <v>938920130</v>
      </c>
      <c r="S932" s="600">
        <f t="shared" si="437"/>
        <v>938920130</v>
      </c>
      <c r="T932" s="600">
        <v>9.3030693462E8</v>
      </c>
      <c r="U932" s="229">
        <v>9.3009217462E8</v>
      </c>
      <c r="V932" s="600"/>
      <c r="W932" s="600"/>
      <c r="X932" s="600"/>
      <c r="Y932" s="600"/>
      <c r="Z932" s="600"/>
      <c r="AA932" s="600"/>
      <c r="AB932" s="600"/>
      <c r="AC932" s="378">
        <f t="shared" si="426"/>
        <v>4677159499</v>
      </c>
      <c r="AD932" s="420"/>
      <c r="AE932" s="692"/>
      <c r="AF932" s="194"/>
      <c r="AG932" s="273"/>
      <c r="AH932" s="273"/>
      <c r="AI932" s="273"/>
    </row>
    <row r="933" hidden="1">
      <c r="A933" s="126"/>
      <c r="B933" s="432"/>
      <c r="C933" s="394"/>
      <c r="D933" s="286" t="s">
        <v>1056</v>
      </c>
      <c r="E933" s="773"/>
      <c r="F933" s="767"/>
      <c r="G933" s="773"/>
      <c r="H933" s="774"/>
      <c r="I933" s="774"/>
      <c r="J933" s="416"/>
      <c r="K933" s="222" t="s">
        <v>735</v>
      </c>
      <c r="L933" s="457"/>
      <c r="M933" s="473"/>
      <c r="N933" s="459"/>
      <c r="O933" s="459"/>
      <c r="P933" s="459"/>
      <c r="Q933" s="600">
        <f t="shared" ref="Q933:S933" si="438">898914349+40005781</f>
        <v>938920130</v>
      </c>
      <c r="R933" s="600">
        <f t="shared" si="438"/>
        <v>938920130</v>
      </c>
      <c r="S933" s="600">
        <f t="shared" si="438"/>
        <v>938920130</v>
      </c>
      <c r="T933" s="600">
        <v>9.3030693462E8</v>
      </c>
      <c r="U933" s="600"/>
      <c r="V933" s="600"/>
      <c r="W933" s="600"/>
      <c r="X933" s="600"/>
      <c r="Y933" s="600"/>
      <c r="Z933" s="600"/>
      <c r="AA933" s="600"/>
      <c r="AB933" s="600"/>
      <c r="AC933" s="378">
        <f t="shared" si="426"/>
        <v>3747067325</v>
      </c>
      <c r="AD933" s="420"/>
      <c r="AE933" s="692"/>
      <c r="AF933" s="194"/>
      <c r="AG933" s="273"/>
      <c r="AH933" s="273"/>
      <c r="AI933" s="273"/>
    </row>
    <row r="934">
      <c r="A934" s="126"/>
      <c r="B934" s="432"/>
      <c r="C934" s="394">
        <v>58.0</v>
      </c>
      <c r="D934" s="817" t="s">
        <v>1057</v>
      </c>
      <c r="E934" s="198" t="s">
        <v>186</v>
      </c>
      <c r="F934" s="198" t="s">
        <v>135</v>
      </c>
      <c r="G934" s="198" t="s">
        <v>135</v>
      </c>
      <c r="H934" s="198" t="s">
        <v>203</v>
      </c>
      <c r="I934" s="198" t="s">
        <v>187</v>
      </c>
      <c r="J934" s="198" t="s">
        <v>188</v>
      </c>
      <c r="K934" s="529" t="s">
        <v>735</v>
      </c>
      <c r="L934" s="436">
        <f>10683595243</f>
        <v>10683595243</v>
      </c>
      <c r="M934" s="479" t="s">
        <v>1058</v>
      </c>
      <c r="N934" s="438"/>
      <c r="O934" s="438">
        <v>45536.0</v>
      </c>
      <c r="P934" s="438" t="s">
        <v>1059</v>
      </c>
      <c r="Q934" s="710"/>
      <c r="R934" s="710"/>
      <c r="S934" s="710"/>
      <c r="T934" s="710"/>
      <c r="U934" s="710"/>
      <c r="V934" s="710"/>
      <c r="W934" s="710"/>
      <c r="X934" s="710"/>
      <c r="Y934" s="710"/>
      <c r="Z934" s="710"/>
      <c r="AA934" s="710"/>
      <c r="AB934" s="710"/>
      <c r="AC934" s="440">
        <f t="shared" si="426"/>
        <v>0</v>
      </c>
      <c r="AD934" s="420"/>
      <c r="AE934" s="692"/>
      <c r="AF934" s="754"/>
      <c r="AG934" s="273"/>
      <c r="AH934" s="273"/>
      <c r="AI934" s="273"/>
    </row>
    <row r="935" hidden="1">
      <c r="A935" s="126"/>
      <c r="B935" s="432"/>
      <c r="C935" s="402"/>
      <c r="D935" s="812" t="s">
        <v>1060</v>
      </c>
      <c r="E935" s="757"/>
      <c r="F935" s="758"/>
      <c r="G935" s="757"/>
      <c r="H935" s="811"/>
      <c r="I935" s="811"/>
      <c r="J935" s="760"/>
      <c r="K935" s="761" t="s">
        <v>735</v>
      </c>
      <c r="L935" s="823"/>
      <c r="M935" s="825"/>
      <c r="N935" s="764"/>
      <c r="O935" s="764"/>
      <c r="P935" s="764" t="str">
        <f>P934</f>
        <v>31-Ags-2026</v>
      </c>
      <c r="Q935" s="448">
        <f>L934/24</f>
        <v>445149801.8</v>
      </c>
      <c r="R935" s="448">
        <f t="shared" ref="R935:AB935" si="439">Q935</f>
        <v>445149801.8</v>
      </c>
      <c r="S935" s="448">
        <f t="shared" si="439"/>
        <v>445149801.8</v>
      </c>
      <c r="T935" s="448">
        <f t="shared" si="439"/>
        <v>445149801.8</v>
      </c>
      <c r="U935" s="448">
        <f t="shared" si="439"/>
        <v>445149801.8</v>
      </c>
      <c r="V935" s="448">
        <f t="shared" si="439"/>
        <v>445149801.8</v>
      </c>
      <c r="W935" s="448">
        <f t="shared" si="439"/>
        <v>445149801.8</v>
      </c>
      <c r="X935" s="448">
        <f t="shared" si="439"/>
        <v>445149801.8</v>
      </c>
      <c r="Y935" s="448">
        <f t="shared" si="439"/>
        <v>445149801.8</v>
      </c>
      <c r="Z935" s="448">
        <f t="shared" si="439"/>
        <v>445149801.8</v>
      </c>
      <c r="AA935" s="448">
        <f t="shared" si="439"/>
        <v>445149801.8</v>
      </c>
      <c r="AB935" s="448">
        <f t="shared" si="439"/>
        <v>445149801.8</v>
      </c>
      <c r="AC935" s="449">
        <f t="shared" si="426"/>
        <v>5341797622</v>
      </c>
      <c r="AD935" s="420"/>
      <c r="AE935" s="692"/>
      <c r="AF935" s="273"/>
      <c r="AG935" s="273"/>
      <c r="AH935" s="273"/>
      <c r="AI935" s="273"/>
    </row>
    <row r="936" hidden="1">
      <c r="A936" s="126"/>
      <c r="B936" s="432"/>
      <c r="C936" s="413"/>
      <c r="D936" s="250" t="s">
        <v>1061</v>
      </c>
      <c r="E936" s="766"/>
      <c r="F936" s="767"/>
      <c r="G936" s="766"/>
      <c r="H936" s="813"/>
      <c r="I936" s="813"/>
      <c r="J936" s="416"/>
      <c r="K936" s="222" t="s">
        <v>735</v>
      </c>
      <c r="L936" s="824"/>
      <c r="M936" s="828"/>
      <c r="N936" s="771"/>
      <c r="O936" s="771"/>
      <c r="P936" s="771"/>
      <c r="Q936" s="600"/>
      <c r="R936" s="600"/>
      <c r="S936" s="600"/>
      <c r="T936" s="600"/>
      <c r="U936" s="600"/>
      <c r="V936" s="600"/>
      <c r="W936" s="600"/>
      <c r="X936" s="600"/>
      <c r="Y936" s="600"/>
      <c r="Z936" s="600"/>
      <c r="AA936" s="600"/>
      <c r="AB936" s="600"/>
      <c r="AC936" s="538">
        <f t="shared" si="426"/>
        <v>0</v>
      </c>
      <c r="AD936" s="420"/>
      <c r="AE936" s="692"/>
      <c r="AF936" s="194"/>
      <c r="AG936" s="273"/>
      <c r="AH936" s="273"/>
      <c r="AI936" s="273"/>
    </row>
    <row r="937" hidden="1">
      <c r="A937" s="126"/>
      <c r="B937" s="829"/>
      <c r="C937" s="413"/>
      <c r="D937" s="286" t="s">
        <v>194</v>
      </c>
      <c r="E937" s="767"/>
      <c r="F937" s="830"/>
      <c r="G937" s="767"/>
      <c r="H937" s="774"/>
      <c r="I937" s="774"/>
      <c r="J937" s="416"/>
      <c r="K937" s="222" t="s">
        <v>735</v>
      </c>
      <c r="L937" s="457"/>
      <c r="M937" s="458"/>
      <c r="N937" s="459"/>
      <c r="O937" s="459"/>
      <c r="P937" s="459"/>
      <c r="Q937" s="452"/>
      <c r="R937" s="452"/>
      <c r="S937" s="452"/>
      <c r="T937" s="452"/>
      <c r="U937" s="452"/>
      <c r="V937" s="452"/>
      <c r="W937" s="452"/>
      <c r="X937" s="452"/>
      <c r="Y937" s="452"/>
      <c r="Z937" s="452"/>
      <c r="AA937" s="452"/>
      <c r="AB937" s="452"/>
      <c r="AC937" s="378">
        <f t="shared" si="426"/>
        <v>0</v>
      </c>
      <c r="AD937" s="420"/>
      <c r="AE937" s="692"/>
      <c r="AF937" s="194"/>
      <c r="AG937" s="273"/>
      <c r="AH937" s="273"/>
      <c r="AI937" s="273"/>
    </row>
    <row r="938" hidden="1">
      <c r="A938" s="126"/>
      <c r="B938" s="829"/>
      <c r="C938" s="413"/>
      <c r="D938" s="286" t="s">
        <v>1062</v>
      </c>
      <c r="E938" s="767"/>
      <c r="F938" s="830"/>
      <c r="G938" s="767"/>
      <c r="H938" s="774"/>
      <c r="I938" s="774"/>
      <c r="J938" s="416"/>
      <c r="K938" s="222" t="s">
        <v>735</v>
      </c>
      <c r="L938" s="457"/>
      <c r="M938" s="458"/>
      <c r="N938" s="459"/>
      <c r="O938" s="459"/>
      <c r="P938" s="459"/>
      <c r="Q938" s="452"/>
      <c r="R938" s="452"/>
      <c r="S938" s="452"/>
      <c r="T938" s="452"/>
      <c r="U938" s="452"/>
      <c r="V938" s="452"/>
      <c r="W938" s="452"/>
      <c r="X938" s="452"/>
      <c r="Y938" s="452"/>
      <c r="Z938" s="452"/>
      <c r="AA938" s="452"/>
      <c r="AB938" s="452"/>
      <c r="AC938" s="378">
        <f t="shared" si="426"/>
        <v>0</v>
      </c>
      <c r="AD938" s="420"/>
      <c r="AE938" s="692"/>
      <c r="AF938" s="194"/>
      <c r="AG938" s="273"/>
      <c r="AH938" s="273"/>
      <c r="AI938" s="273"/>
    </row>
    <row r="939">
      <c r="A939" s="126"/>
      <c r="B939" s="555"/>
      <c r="C939" s="394">
        <v>59.0</v>
      </c>
      <c r="D939" s="831" t="s">
        <v>1063</v>
      </c>
      <c r="E939" s="198" t="s">
        <v>186</v>
      </c>
      <c r="F939" s="198" t="s">
        <v>103</v>
      </c>
      <c r="G939" s="198" t="s">
        <v>84</v>
      </c>
      <c r="H939" s="198" t="s">
        <v>84</v>
      </c>
      <c r="I939" s="198" t="s">
        <v>187</v>
      </c>
      <c r="J939" s="198" t="s">
        <v>188</v>
      </c>
      <c r="K939" s="529" t="s">
        <v>735</v>
      </c>
      <c r="L939" s="436">
        <f>22852000000</f>
        <v>22852000000</v>
      </c>
      <c r="M939" s="832" t="s">
        <v>1064</v>
      </c>
      <c r="N939" s="833"/>
      <c r="O939" s="833">
        <v>45689.0</v>
      </c>
      <c r="P939" s="833">
        <v>46053.0</v>
      </c>
      <c r="Q939" s="439"/>
      <c r="R939" s="439"/>
      <c r="S939" s="439"/>
      <c r="T939" s="439"/>
      <c r="U939" s="439"/>
      <c r="V939" s="439"/>
      <c r="W939" s="439"/>
      <c r="X939" s="439"/>
      <c r="Y939" s="439"/>
      <c r="Z939" s="439"/>
      <c r="AA939" s="439"/>
      <c r="AB939" s="439"/>
      <c r="AC939" s="440">
        <f t="shared" si="426"/>
        <v>0</v>
      </c>
      <c r="AD939" s="271"/>
      <c r="AE939" s="692"/>
      <c r="AF939" s="754"/>
      <c r="AG939" s="273"/>
      <c r="AH939" s="273"/>
      <c r="AI939" s="273"/>
    </row>
    <row r="940" hidden="1">
      <c r="A940" s="126"/>
      <c r="B940" s="555"/>
      <c r="C940" s="242"/>
      <c r="D940" s="834"/>
      <c r="E940" s="758"/>
      <c r="F940" s="758"/>
      <c r="G940" s="758"/>
      <c r="H940" s="759"/>
      <c r="I940" s="759"/>
      <c r="J940" s="760"/>
      <c r="K940" s="761" t="s">
        <v>735</v>
      </c>
      <c r="L940" s="762"/>
      <c r="M940" s="825"/>
      <c r="N940" s="764"/>
      <c r="O940" s="764"/>
      <c r="P940" s="764">
        <f>P939</f>
        <v>46053</v>
      </c>
      <c r="Q940" s="447"/>
      <c r="R940" s="447">
        <f>L939/12</f>
        <v>1904333333</v>
      </c>
      <c r="S940" s="447">
        <f>R940</f>
        <v>1904333333</v>
      </c>
      <c r="T940" s="447">
        <v>1.9043333333333333E9</v>
      </c>
      <c r="U940" s="447">
        <v>1.9043333333333333E9</v>
      </c>
      <c r="V940" s="447">
        <v>1.9043333333333333E9</v>
      </c>
      <c r="W940" s="447">
        <v>1.9043333333333333E9</v>
      </c>
      <c r="X940" s="447">
        <v>1.9043333333333333E9</v>
      </c>
      <c r="Y940" s="447">
        <v>1.9043333333333333E9</v>
      </c>
      <c r="Z940" s="447">
        <v>1.9043333333333333E9</v>
      </c>
      <c r="AA940" s="447">
        <v>1.9043333333333333E9</v>
      </c>
      <c r="AB940" s="447">
        <v>1.9043333333333333E9</v>
      </c>
      <c r="AC940" s="449">
        <f t="shared" si="426"/>
        <v>20947666667</v>
      </c>
      <c r="AD940" s="264"/>
      <c r="AE940" s="692"/>
      <c r="AF940" s="273"/>
      <c r="AG940" s="273"/>
      <c r="AH940" s="273"/>
      <c r="AI940" s="273"/>
    </row>
    <row r="941" hidden="1">
      <c r="A941" s="126"/>
      <c r="B941" s="555"/>
      <c r="C941" s="196"/>
      <c r="D941" s="250" t="s">
        <v>1065</v>
      </c>
      <c r="E941" s="767"/>
      <c r="F941" s="767"/>
      <c r="G941" s="767"/>
      <c r="H941" s="768"/>
      <c r="I941" s="768"/>
      <c r="J941" s="416"/>
      <c r="K941" s="222" t="s">
        <v>735</v>
      </c>
      <c r="L941" s="769"/>
      <c r="M941" s="835"/>
      <c r="N941" s="771"/>
      <c r="O941" s="771"/>
      <c r="P941" s="771"/>
      <c r="Q941" s="452"/>
      <c r="R941" s="270">
        <v>1.819846797E9</v>
      </c>
      <c r="S941" s="270">
        <v>1.836187575E9</v>
      </c>
      <c r="T941" s="270">
        <v>1.819069594E9</v>
      </c>
      <c r="U941" s="229">
        <v>7.6987999E8</v>
      </c>
      <c r="V941" s="452"/>
      <c r="W941" s="452"/>
      <c r="X941" s="452"/>
      <c r="Y941" s="452"/>
      <c r="Z941" s="452"/>
      <c r="AA941" s="452"/>
      <c r="AB941" s="452"/>
      <c r="AC941" s="231">
        <f t="shared" si="426"/>
        <v>6244983956</v>
      </c>
      <c r="AD941" s="214"/>
      <c r="AE941" s="353"/>
      <c r="AF941" s="194"/>
      <c r="AG941" s="273"/>
      <c r="AH941" s="273"/>
      <c r="AI941" s="273"/>
    </row>
    <row r="942" hidden="1">
      <c r="A942" s="126"/>
      <c r="B942" s="555"/>
      <c r="C942" s="196"/>
      <c r="D942" s="286" t="s">
        <v>194</v>
      </c>
      <c r="E942" s="767"/>
      <c r="F942" s="767"/>
      <c r="G942" s="767"/>
      <c r="H942" s="774"/>
      <c r="I942" s="774"/>
      <c r="J942" s="416"/>
      <c r="K942" s="222" t="s">
        <v>735</v>
      </c>
      <c r="L942" s="457"/>
      <c r="M942" s="836"/>
      <c r="N942" s="752"/>
      <c r="O942" s="752"/>
      <c r="P942" s="752"/>
      <c r="Q942" s="452"/>
      <c r="R942" s="270">
        <v>1.819846797E9</v>
      </c>
      <c r="S942" s="270">
        <v>1.836187575E9</v>
      </c>
      <c r="T942" s="270">
        <v>1.819069594E9</v>
      </c>
      <c r="U942" s="452"/>
      <c r="V942" s="452"/>
      <c r="W942" s="452"/>
      <c r="X942" s="452"/>
      <c r="Y942" s="452"/>
      <c r="Z942" s="452"/>
      <c r="AA942" s="452"/>
      <c r="AB942" s="452"/>
      <c r="AC942" s="378">
        <f t="shared" si="426"/>
        <v>5475103966</v>
      </c>
      <c r="AD942" s="214"/>
      <c r="AE942" s="353"/>
      <c r="AF942" s="194"/>
      <c r="AG942" s="273"/>
      <c r="AH942" s="273"/>
      <c r="AI942" s="273"/>
    </row>
    <row r="943" hidden="1">
      <c r="A943" s="126"/>
      <c r="B943" s="555"/>
      <c r="C943" s="196"/>
      <c r="D943" s="286" t="s">
        <v>1066</v>
      </c>
      <c r="E943" s="767"/>
      <c r="F943" s="767"/>
      <c r="G943" s="767"/>
      <c r="H943" s="774"/>
      <c r="I943" s="774"/>
      <c r="J943" s="416"/>
      <c r="K943" s="222" t="s">
        <v>735</v>
      </c>
      <c r="L943" s="457"/>
      <c r="M943" s="836"/>
      <c r="N943" s="752"/>
      <c r="O943" s="752"/>
      <c r="P943" s="752"/>
      <c r="Q943" s="452"/>
      <c r="R943" s="270">
        <v>1.819846797E9</v>
      </c>
      <c r="S943" s="270">
        <v>1.836187575E9</v>
      </c>
      <c r="T943" s="270">
        <v>1.819069594E9</v>
      </c>
      <c r="U943" s="452"/>
      <c r="V943" s="452"/>
      <c r="W943" s="452"/>
      <c r="X943" s="452"/>
      <c r="Y943" s="452"/>
      <c r="Z943" s="452"/>
      <c r="AA943" s="452"/>
      <c r="AB943" s="452"/>
      <c r="AC943" s="378">
        <f t="shared" si="426"/>
        <v>5475103966</v>
      </c>
      <c r="AD943" s="214"/>
      <c r="AE943" s="353"/>
      <c r="AF943" s="194"/>
      <c r="AG943" s="273"/>
      <c r="AH943" s="273"/>
      <c r="AI943" s="273"/>
    </row>
    <row r="944">
      <c r="A944" s="126"/>
      <c r="B944" s="555"/>
      <c r="C944" s="394">
        <v>60.0</v>
      </c>
      <c r="D944" s="837" t="s">
        <v>1067</v>
      </c>
      <c r="E944" s="198" t="s">
        <v>186</v>
      </c>
      <c r="F944" s="198" t="s">
        <v>305</v>
      </c>
      <c r="G944" s="198" t="s">
        <v>92</v>
      </c>
      <c r="H944" s="198" t="s">
        <v>306</v>
      </c>
      <c r="I944" s="198" t="s">
        <v>187</v>
      </c>
      <c r="J944" s="198" t="s">
        <v>188</v>
      </c>
      <c r="K944" s="529" t="s">
        <v>735</v>
      </c>
      <c r="L944" s="436">
        <f>31041100000</f>
        <v>31041100000</v>
      </c>
      <c r="M944" s="838" t="s">
        <v>1068</v>
      </c>
      <c r="N944" s="833"/>
      <c r="O944" s="833">
        <v>45689.0</v>
      </c>
      <c r="P944" s="833">
        <f>O944+364</f>
        <v>46053</v>
      </c>
      <c r="Q944" s="439"/>
      <c r="R944" s="439"/>
      <c r="S944" s="439"/>
      <c r="T944" s="439"/>
      <c r="U944" s="439"/>
      <c r="V944" s="439"/>
      <c r="W944" s="439"/>
      <c r="X944" s="439"/>
      <c r="Y944" s="439"/>
      <c r="Z944" s="439"/>
      <c r="AA944" s="439"/>
      <c r="AB944" s="439"/>
      <c r="AC944" s="440">
        <f t="shared" si="426"/>
        <v>0</v>
      </c>
      <c r="AD944" s="214"/>
      <c r="AE944" s="353"/>
      <c r="AF944" s="754"/>
      <c r="AG944" s="273"/>
      <c r="AH944" s="273"/>
      <c r="AI944" s="273"/>
    </row>
    <row r="945" hidden="1">
      <c r="A945" s="126"/>
      <c r="B945" s="555"/>
      <c r="C945" s="242"/>
      <c r="D945" s="834"/>
      <c r="E945" s="758"/>
      <c r="F945" s="758"/>
      <c r="G945" s="758"/>
      <c r="H945" s="759"/>
      <c r="I945" s="759"/>
      <c r="J945" s="760"/>
      <c r="K945" s="761" t="s">
        <v>735</v>
      </c>
      <c r="L945" s="762"/>
      <c r="M945" s="825"/>
      <c r="N945" s="764"/>
      <c r="O945" s="764"/>
      <c r="P945" s="764">
        <f>P944</f>
        <v>46053</v>
      </c>
      <c r="Q945" s="447"/>
      <c r="R945" s="447">
        <f>L944/12</f>
        <v>2586758333</v>
      </c>
      <c r="S945" s="447">
        <v>2.5867583333333335E9</v>
      </c>
      <c r="T945" s="447">
        <v>2.5867583333333335E9</v>
      </c>
      <c r="U945" s="447">
        <v>2.5867583333333335E9</v>
      </c>
      <c r="V945" s="447">
        <v>2.5867583333333335E9</v>
      </c>
      <c r="W945" s="447">
        <v>2.5867583333333335E9</v>
      </c>
      <c r="X945" s="447">
        <v>2.5867583333333335E9</v>
      </c>
      <c r="Y945" s="447">
        <v>2.5867583333333335E9</v>
      </c>
      <c r="Z945" s="447">
        <v>2.5867583333333335E9</v>
      </c>
      <c r="AA945" s="447">
        <v>2.5867583333333335E9</v>
      </c>
      <c r="AB945" s="447">
        <v>2.5867583333333335E9</v>
      </c>
      <c r="AC945" s="449">
        <f t="shared" si="426"/>
        <v>28454341667</v>
      </c>
      <c r="AD945" s="214"/>
      <c r="AE945" s="692"/>
      <c r="AF945" s="273"/>
      <c r="AG945" s="273"/>
      <c r="AH945" s="273"/>
      <c r="AI945" s="273"/>
    </row>
    <row r="946" hidden="1">
      <c r="A946" s="126"/>
      <c r="B946" s="555"/>
      <c r="C946" s="196"/>
      <c r="D946" s="250" t="s">
        <v>1069</v>
      </c>
      <c r="E946" s="767"/>
      <c r="F946" s="767"/>
      <c r="G946" s="767"/>
      <c r="H946" s="768"/>
      <c r="I946" s="768"/>
      <c r="J946" s="416"/>
      <c r="K946" s="222" t="s">
        <v>735</v>
      </c>
      <c r="L946" s="769"/>
      <c r="M946" s="770"/>
      <c r="N946" s="771"/>
      <c r="O946" s="771"/>
      <c r="P946" s="771"/>
      <c r="Q946" s="452"/>
      <c r="R946" s="270">
        <v>2.529351371E9</v>
      </c>
      <c r="S946" s="270">
        <v>2.568427266E9</v>
      </c>
      <c r="T946" s="270">
        <v>2.653499591E9</v>
      </c>
      <c r="U946" s="229">
        <v>8.06742937E8</v>
      </c>
      <c r="V946" s="452"/>
      <c r="W946" s="452"/>
      <c r="X946" s="452"/>
      <c r="Y946" s="452"/>
      <c r="Z946" s="452"/>
      <c r="AA946" s="452"/>
      <c r="AB946" s="452"/>
      <c r="AC946" s="231">
        <f t="shared" si="426"/>
        <v>8558021165</v>
      </c>
      <c r="AD946" s="264"/>
      <c r="AE946" s="692"/>
      <c r="AF946" s="194"/>
      <c r="AG946" s="273"/>
      <c r="AH946" s="273"/>
      <c r="AI946" s="273"/>
    </row>
    <row r="947" hidden="1">
      <c r="A947" s="391"/>
      <c r="B947" s="555"/>
      <c r="C947" s="196"/>
      <c r="D947" s="286" t="s">
        <v>194</v>
      </c>
      <c r="E947" s="767"/>
      <c r="F947" s="767"/>
      <c r="G947" s="767"/>
      <c r="H947" s="774"/>
      <c r="I947" s="774"/>
      <c r="J947" s="416"/>
      <c r="K947" s="222" t="s">
        <v>735</v>
      </c>
      <c r="L947" s="457"/>
      <c r="M947" s="751"/>
      <c r="N947" s="752"/>
      <c r="O947" s="752"/>
      <c r="P947" s="752"/>
      <c r="Q947" s="452"/>
      <c r="R947" s="270">
        <v>2.529351371E9</v>
      </c>
      <c r="S947" s="270">
        <v>2.568427266E9</v>
      </c>
      <c r="T947" s="270">
        <v>2.653499591E9</v>
      </c>
      <c r="U947" s="452"/>
      <c r="V947" s="452"/>
      <c r="W947" s="452"/>
      <c r="X947" s="452"/>
      <c r="Y947" s="452"/>
      <c r="Z947" s="452"/>
      <c r="AA947" s="452"/>
      <c r="AB947" s="452"/>
      <c r="AC947" s="378">
        <f t="shared" si="426"/>
        <v>7751278228</v>
      </c>
      <c r="AD947" s="214"/>
      <c r="AE947" s="353"/>
      <c r="AF947" s="194"/>
      <c r="AG947" s="273"/>
      <c r="AH947" s="273"/>
      <c r="AI947" s="273"/>
    </row>
    <row r="948" hidden="1">
      <c r="A948" s="391"/>
      <c r="B948" s="555"/>
      <c r="C948" s="196"/>
      <c r="D948" s="286" t="s">
        <v>1070</v>
      </c>
      <c r="E948" s="767"/>
      <c r="F948" s="767"/>
      <c r="G948" s="767"/>
      <c r="H948" s="774"/>
      <c r="I948" s="774"/>
      <c r="J948" s="416"/>
      <c r="K948" s="222" t="s">
        <v>735</v>
      </c>
      <c r="L948" s="457"/>
      <c r="M948" s="751"/>
      <c r="N948" s="752"/>
      <c r="O948" s="752"/>
      <c r="P948" s="752"/>
      <c r="Q948" s="452"/>
      <c r="R948" s="270">
        <v>2.529351371E9</v>
      </c>
      <c r="S948" s="270">
        <v>2.568427266E9</v>
      </c>
      <c r="T948" s="270">
        <v>2.653499591E9</v>
      </c>
      <c r="U948" s="452"/>
      <c r="V948" s="452"/>
      <c r="W948" s="452"/>
      <c r="X948" s="452"/>
      <c r="Y948" s="452"/>
      <c r="Z948" s="452"/>
      <c r="AA948" s="452"/>
      <c r="AB948" s="452"/>
      <c r="AC948" s="378">
        <f t="shared" si="426"/>
        <v>7751278228</v>
      </c>
      <c r="AD948" s="214"/>
      <c r="AE948" s="353"/>
      <c r="AF948" s="194"/>
      <c r="AG948" s="273"/>
      <c r="AH948" s="273"/>
      <c r="AI948" s="273"/>
    </row>
    <row r="949">
      <c r="A949" s="126"/>
      <c r="B949" s="555"/>
      <c r="C949" s="196">
        <v>61.0</v>
      </c>
      <c r="D949" s="839" t="s">
        <v>1071</v>
      </c>
      <c r="E949" s="198" t="s">
        <v>186</v>
      </c>
      <c r="F949" s="198" t="s">
        <v>135</v>
      </c>
      <c r="G949" s="198" t="s">
        <v>135</v>
      </c>
      <c r="H949" s="198" t="s">
        <v>203</v>
      </c>
      <c r="I949" s="198" t="s">
        <v>187</v>
      </c>
      <c r="J949" s="198" t="s">
        <v>188</v>
      </c>
      <c r="K949" s="529" t="s">
        <v>735</v>
      </c>
      <c r="L949" s="436">
        <v>8.20657413E8</v>
      </c>
      <c r="M949" s="479" t="s">
        <v>1072</v>
      </c>
      <c r="N949" s="438"/>
      <c r="O949" s="438">
        <v>45658.0</v>
      </c>
      <c r="P949" s="438">
        <v>45808.0</v>
      </c>
      <c r="Q949" s="710"/>
      <c r="R949" s="710"/>
      <c r="S949" s="710"/>
      <c r="T949" s="710"/>
      <c r="U949" s="710"/>
      <c r="V949" s="439"/>
      <c r="W949" s="439"/>
      <c r="X949" s="439"/>
      <c r="Y949" s="439"/>
      <c r="Z949" s="439"/>
      <c r="AA949" s="439"/>
      <c r="AB949" s="439"/>
      <c r="AC949" s="440">
        <f t="shared" si="426"/>
        <v>0</v>
      </c>
      <c r="AD949" s="420"/>
      <c r="AE949" s="692"/>
      <c r="AG949" s="273"/>
      <c r="AH949" s="273"/>
      <c r="AI949" s="273"/>
    </row>
    <row r="950" hidden="1">
      <c r="A950" s="126"/>
      <c r="B950" s="555"/>
      <c r="C950" s="206"/>
      <c r="D950" s="840"/>
      <c r="E950" s="758"/>
      <c r="F950" s="758"/>
      <c r="G950" s="758"/>
      <c r="H950" s="759"/>
      <c r="I950" s="759"/>
      <c r="J950" s="760"/>
      <c r="K950" s="761" t="s">
        <v>735</v>
      </c>
      <c r="L950" s="762"/>
      <c r="M950" s="763"/>
      <c r="N950" s="764"/>
      <c r="O950" s="764"/>
      <c r="P950" s="764">
        <f>P949</f>
        <v>45808</v>
      </c>
      <c r="Q950" s="448">
        <f>L798/5</f>
        <v>0</v>
      </c>
      <c r="R950" s="448">
        <v>1.641314826E8</v>
      </c>
      <c r="S950" s="448">
        <v>1.641314826E8</v>
      </c>
      <c r="T950" s="448">
        <v>1.641314826E8</v>
      </c>
      <c r="U950" s="448">
        <v>1.641314826E8</v>
      </c>
      <c r="V950" s="447"/>
      <c r="W950" s="447"/>
      <c r="X950" s="447"/>
      <c r="Y950" s="447"/>
      <c r="Z950" s="447"/>
      <c r="AA950" s="447"/>
      <c r="AB950" s="447"/>
      <c r="AC950" s="449">
        <f t="shared" si="426"/>
        <v>656525930.4</v>
      </c>
      <c r="AD950" s="420"/>
      <c r="AE950" s="692"/>
      <c r="AF950" s="273"/>
      <c r="AG950" s="273"/>
      <c r="AH950" s="273"/>
      <c r="AI950" s="273"/>
    </row>
    <row r="951" hidden="1">
      <c r="A951" s="126"/>
      <c r="B951" s="555"/>
      <c r="C951" s="206"/>
      <c r="D951" s="841" t="s">
        <v>1073</v>
      </c>
      <c r="E951" s="842"/>
      <c r="F951" s="842"/>
      <c r="G951" s="842"/>
      <c r="H951" s="843"/>
      <c r="I951" s="843"/>
      <c r="J951" s="844"/>
      <c r="K951" s="845" t="s">
        <v>735</v>
      </c>
      <c r="L951" s="846">
        <v>1.335311037907E10</v>
      </c>
      <c r="M951" s="847"/>
      <c r="N951" s="848"/>
      <c r="O951" s="848">
        <f>P950+1</f>
        <v>45809</v>
      </c>
      <c r="P951" s="699">
        <v>46538.0</v>
      </c>
      <c r="Q951" s="448"/>
      <c r="R951" s="448"/>
      <c r="S951" s="448"/>
      <c r="T951" s="448"/>
      <c r="U951" s="447"/>
      <c r="V951" s="447">
        <f>L951/24</f>
        <v>556379599.1</v>
      </c>
      <c r="W951" s="447">
        <v>5.563795991279167E8</v>
      </c>
      <c r="X951" s="447">
        <v>5.563795991279167E8</v>
      </c>
      <c r="Y951" s="447">
        <v>5.563795991279167E8</v>
      </c>
      <c r="Z951" s="447">
        <v>5.563795991279167E8</v>
      </c>
      <c r="AA951" s="447">
        <v>5.563795991279167E8</v>
      </c>
      <c r="AB951" s="447">
        <v>5.563795991279167E8</v>
      </c>
      <c r="AC951" s="449">
        <f t="shared" si="426"/>
        <v>3894657194</v>
      </c>
      <c r="AD951" s="420"/>
      <c r="AE951" s="849"/>
      <c r="AF951" s="420"/>
      <c r="AG951" s="420"/>
      <c r="AH951" s="420"/>
      <c r="AI951" s="420"/>
    </row>
    <row r="952" hidden="1">
      <c r="A952" s="126"/>
      <c r="B952" s="555"/>
      <c r="C952" s="222"/>
      <c r="D952" s="250" t="s">
        <v>1074</v>
      </c>
      <c r="E952" s="767"/>
      <c r="F952" s="767"/>
      <c r="G952" s="767"/>
      <c r="H952" s="768"/>
      <c r="I952" s="768"/>
      <c r="J952" s="416"/>
      <c r="K952" s="222" t="s">
        <v>735</v>
      </c>
      <c r="L952" s="850"/>
      <c r="M952" s="770"/>
      <c r="N952" s="771"/>
      <c r="O952" s="771"/>
      <c r="P952" s="771"/>
      <c r="Q952" s="600">
        <v>8.61732E7</v>
      </c>
      <c r="R952" s="600">
        <v>8.869055E7</v>
      </c>
      <c r="S952" s="600">
        <v>8.2687717E7</v>
      </c>
      <c r="T952" s="600">
        <v>7.9021142E7</v>
      </c>
      <c r="U952" s="452"/>
      <c r="V952" s="452"/>
      <c r="W952" s="452"/>
      <c r="X952" s="452"/>
      <c r="Y952" s="452"/>
      <c r="Z952" s="452"/>
      <c r="AA952" s="452"/>
      <c r="AB952" s="452"/>
      <c r="AC952" s="231">
        <f t="shared" si="426"/>
        <v>336572609</v>
      </c>
      <c r="AD952" s="420"/>
      <c r="AE952" s="849"/>
      <c r="AF952" s="194"/>
      <c r="AG952" s="420"/>
      <c r="AH952" s="420"/>
      <c r="AI952" s="420"/>
    </row>
    <row r="953" hidden="1">
      <c r="A953" s="126"/>
      <c r="B953" s="555"/>
      <c r="C953" s="222"/>
      <c r="D953" s="286" t="s">
        <v>194</v>
      </c>
      <c r="E953" s="851"/>
      <c r="F953" s="851"/>
      <c r="G953" s="851"/>
      <c r="H953" s="852"/>
      <c r="I953" s="852"/>
      <c r="J953" s="416"/>
      <c r="K953" s="222" t="s">
        <v>735</v>
      </c>
      <c r="L953" s="346"/>
      <c r="M953" s="255"/>
      <c r="N953" s="365"/>
      <c r="O953" s="365"/>
      <c r="P953" s="365"/>
      <c r="Q953" s="600">
        <v>8.61732E7</v>
      </c>
      <c r="R953" s="600">
        <v>8.869055E7</v>
      </c>
      <c r="S953" s="600">
        <v>8.2687717E7</v>
      </c>
      <c r="T953" s="600">
        <v>7.9021142E7</v>
      </c>
      <c r="U953" s="238"/>
      <c r="V953" s="238"/>
      <c r="W953" s="238"/>
      <c r="X953" s="238"/>
      <c r="Y953" s="238"/>
      <c r="Z953" s="238"/>
      <c r="AA953" s="238"/>
      <c r="AB953" s="238"/>
      <c r="AC953" s="378">
        <f t="shared" si="426"/>
        <v>336572609</v>
      </c>
      <c r="AD953" s="214"/>
      <c r="AE953" s="353"/>
      <c r="AF953" s="194"/>
      <c r="AG953" s="273"/>
      <c r="AH953" s="273"/>
      <c r="AI953" s="273"/>
    </row>
    <row r="954" hidden="1">
      <c r="A954" s="126"/>
      <c r="B954" s="555"/>
      <c r="C954" s="222"/>
      <c r="D954" s="286" t="s">
        <v>1075</v>
      </c>
      <c r="E954" s="851"/>
      <c r="F954" s="851"/>
      <c r="G954" s="851"/>
      <c r="H954" s="852"/>
      <c r="I954" s="852"/>
      <c r="J954" s="416"/>
      <c r="K954" s="222" t="s">
        <v>735</v>
      </c>
      <c r="L954" s="346"/>
      <c r="M954" s="255"/>
      <c r="N954" s="365"/>
      <c r="O954" s="365"/>
      <c r="P954" s="365"/>
      <c r="Q954" s="600">
        <v>8.61732E7</v>
      </c>
      <c r="R954" s="600">
        <v>8.869055E7</v>
      </c>
      <c r="S954" s="600">
        <v>8.2687717E7</v>
      </c>
      <c r="T954" s="600">
        <v>7.9021142E7</v>
      </c>
      <c r="U954" s="238"/>
      <c r="V954" s="238"/>
      <c r="W954" s="238"/>
      <c r="X954" s="238"/>
      <c r="Y954" s="238"/>
      <c r="Z954" s="238"/>
      <c r="AA954" s="238"/>
      <c r="AB954" s="238"/>
      <c r="AC954" s="378">
        <f t="shared" si="426"/>
        <v>336572609</v>
      </c>
      <c r="AD954" s="214"/>
      <c r="AE954" s="353"/>
      <c r="AF954" s="194"/>
      <c r="AG954" s="273"/>
      <c r="AH954" s="273"/>
      <c r="AI954" s="273"/>
    </row>
    <row r="955">
      <c r="A955" s="126"/>
      <c r="B955" s="829"/>
      <c r="C955" s="196">
        <v>62.0</v>
      </c>
      <c r="D955" s="817" t="s">
        <v>1076</v>
      </c>
      <c r="E955" s="198" t="s">
        <v>326</v>
      </c>
      <c r="F955" s="198" t="s">
        <v>305</v>
      </c>
      <c r="G955" s="198" t="s">
        <v>327</v>
      </c>
      <c r="H955" s="198" t="s">
        <v>328</v>
      </c>
      <c r="I955" s="198" t="s">
        <v>187</v>
      </c>
      <c r="J955" s="198" t="s">
        <v>188</v>
      </c>
      <c r="K955" s="853" t="s">
        <v>735</v>
      </c>
      <c r="L955" s="436">
        <f>2192250000/1.11</f>
        <v>1975000000</v>
      </c>
      <c r="M955" s="437" t="s">
        <v>1077</v>
      </c>
      <c r="N955" s="438"/>
      <c r="O955" s="438">
        <v>45678.0</v>
      </c>
      <c r="P955" s="438">
        <v>45798.0</v>
      </c>
      <c r="Q955" s="439"/>
      <c r="R955" s="439"/>
      <c r="S955" s="439"/>
      <c r="T955" s="439"/>
      <c r="U955" s="439"/>
      <c r="V955" s="439"/>
      <c r="W955" s="439"/>
      <c r="X955" s="439"/>
      <c r="Y955" s="439"/>
      <c r="Z955" s="439"/>
      <c r="AA955" s="439"/>
      <c r="AB955" s="439"/>
      <c r="AC955" s="440">
        <f t="shared" si="426"/>
        <v>0</v>
      </c>
      <c r="AD955" s="420"/>
      <c r="AE955" s="692"/>
      <c r="AF955" s="754"/>
      <c r="AG955" s="273"/>
      <c r="AH955" s="273"/>
      <c r="AI955" s="273"/>
    </row>
    <row r="956" hidden="1">
      <c r="A956" s="126"/>
      <c r="B956" s="829"/>
      <c r="C956" s="402"/>
      <c r="D956" s="812" t="s">
        <v>1078</v>
      </c>
      <c r="E956" s="854"/>
      <c r="F956" s="855"/>
      <c r="G956" s="854"/>
      <c r="H956" s="856"/>
      <c r="I956" s="856"/>
      <c r="J956" s="857"/>
      <c r="K956" s="858" t="s">
        <v>735</v>
      </c>
      <c r="L956" s="762"/>
      <c r="M956" s="763"/>
      <c r="N956" s="764"/>
      <c r="O956" s="764"/>
      <c r="P956" s="764">
        <f>P955</f>
        <v>45798</v>
      </c>
      <c r="Q956" s="447"/>
      <c r="R956" s="447"/>
      <c r="S956" s="447"/>
      <c r="T956" s="447"/>
      <c r="U956" s="447">
        <f>L955*95%</f>
        <v>1876250000</v>
      </c>
      <c r="V956" s="447"/>
      <c r="W956" s="447">
        <f>L955*5%</f>
        <v>98750000</v>
      </c>
      <c r="X956" s="447"/>
      <c r="Y956" s="447"/>
      <c r="Z956" s="447"/>
      <c r="AA956" s="447"/>
      <c r="AB956" s="447"/>
      <c r="AC956" s="449">
        <f t="shared" si="426"/>
        <v>1975000000</v>
      </c>
      <c r="AD956" s="420"/>
      <c r="AE956" s="692"/>
      <c r="AF956" s="273"/>
      <c r="AG956" s="273"/>
      <c r="AH956" s="273"/>
      <c r="AI956" s="273"/>
    </row>
    <row r="957" hidden="1">
      <c r="A957" s="126"/>
      <c r="B957" s="829"/>
      <c r="C957" s="413"/>
      <c r="D957" s="250" t="s">
        <v>1079</v>
      </c>
      <c r="E957" s="859"/>
      <c r="F957" s="860"/>
      <c r="G957" s="859"/>
      <c r="H957" s="861"/>
      <c r="I957" s="861"/>
      <c r="J957" s="416"/>
      <c r="K957" s="222" t="s">
        <v>735</v>
      </c>
      <c r="L957" s="862"/>
      <c r="M957" s="835"/>
      <c r="N957" s="419"/>
      <c r="O957" s="419"/>
      <c r="P957" s="419"/>
      <c r="Q957" s="452"/>
      <c r="R957" s="452"/>
      <c r="S957" s="452"/>
      <c r="T957" s="452"/>
      <c r="U957" s="600">
        <v>2.0826375E9</v>
      </c>
      <c r="V957" s="452"/>
      <c r="W957" s="270">
        <v>1.096125E8</v>
      </c>
      <c r="X957" s="452"/>
      <c r="Y957" s="452"/>
      <c r="Z957" s="452"/>
      <c r="AA957" s="452"/>
      <c r="AB957" s="452"/>
      <c r="AC957" s="538">
        <f t="shared" si="426"/>
        <v>2192250000</v>
      </c>
      <c r="AD957" s="420"/>
      <c r="AE957" s="692"/>
      <c r="AF957" s="194"/>
      <c r="AG957" s="273"/>
      <c r="AH957" s="273"/>
      <c r="AI957" s="273"/>
    </row>
    <row r="958" hidden="1">
      <c r="A958" s="126"/>
      <c r="B958" s="829"/>
      <c r="C958" s="413"/>
      <c r="D958" s="286" t="s">
        <v>194</v>
      </c>
      <c r="E958" s="767"/>
      <c r="F958" s="830"/>
      <c r="G958" s="767"/>
      <c r="H958" s="774"/>
      <c r="I958" s="774"/>
      <c r="J958" s="416"/>
      <c r="K958" s="222" t="s">
        <v>735</v>
      </c>
      <c r="L958" s="457"/>
      <c r="M958" s="458"/>
      <c r="N958" s="459"/>
      <c r="O958" s="459"/>
      <c r="P958" s="459"/>
      <c r="Q958" s="452"/>
      <c r="R958" s="452"/>
      <c r="S958" s="863"/>
      <c r="T958" s="863"/>
      <c r="U958" s="600">
        <v>2.0826375E9</v>
      </c>
      <c r="V958" s="863"/>
      <c r="W958" s="229">
        <v>1.096125E8</v>
      </c>
      <c r="X958" s="452"/>
      <c r="Y958" s="452"/>
      <c r="Z958" s="452"/>
      <c r="AA958" s="452"/>
      <c r="AB958" s="452"/>
      <c r="AC958" s="378">
        <f t="shared" si="426"/>
        <v>2192250000</v>
      </c>
      <c r="AD958" s="420"/>
      <c r="AE958" s="692"/>
      <c r="AF958" s="194"/>
      <c r="AG958" s="273"/>
      <c r="AH958" s="273"/>
      <c r="AI958" s="273"/>
    </row>
    <row r="959" hidden="1">
      <c r="A959" s="126"/>
      <c r="B959" s="829"/>
      <c r="C959" s="413"/>
      <c r="D959" s="286" t="s">
        <v>1080</v>
      </c>
      <c r="E959" s="767"/>
      <c r="F959" s="830"/>
      <c r="G959" s="767"/>
      <c r="H959" s="774"/>
      <c r="I959" s="774"/>
      <c r="J959" s="416"/>
      <c r="K959" s="222" t="s">
        <v>735</v>
      </c>
      <c r="L959" s="457"/>
      <c r="M959" s="458"/>
      <c r="N959" s="459"/>
      <c r="O959" s="459"/>
      <c r="P959" s="459"/>
      <c r="Q959" s="452"/>
      <c r="R959" s="452"/>
      <c r="S959" s="863"/>
      <c r="T959" s="863"/>
      <c r="U959" s="600">
        <v>2.0826375E9</v>
      </c>
      <c r="V959" s="863"/>
      <c r="W959" s="452"/>
      <c r="X959" s="452"/>
      <c r="Y959" s="452"/>
      <c r="Z959" s="452"/>
      <c r="AA959" s="452"/>
      <c r="AB959" s="452"/>
      <c r="AC959" s="378">
        <f t="shared" si="426"/>
        <v>2082637500</v>
      </c>
      <c r="AD959" s="420"/>
      <c r="AE959" s="692"/>
      <c r="AF959" s="194"/>
      <c r="AG959" s="273"/>
      <c r="AH959" s="273"/>
      <c r="AI959" s="273"/>
    </row>
    <row r="960">
      <c r="A960" s="126"/>
      <c r="B960" s="829"/>
      <c r="C960" s="196">
        <v>63.0</v>
      </c>
      <c r="D960" s="817" t="s">
        <v>1081</v>
      </c>
      <c r="E960" s="198" t="s">
        <v>326</v>
      </c>
      <c r="F960" s="198" t="s">
        <v>305</v>
      </c>
      <c r="G960" s="198" t="s">
        <v>327</v>
      </c>
      <c r="H960" s="198" t="s">
        <v>328</v>
      </c>
      <c r="I960" s="198" t="s">
        <v>187</v>
      </c>
      <c r="J960" s="198" t="s">
        <v>188</v>
      </c>
      <c r="K960" s="853" t="s">
        <v>735</v>
      </c>
      <c r="L960" s="436">
        <f>5142408000</f>
        <v>5142408000</v>
      </c>
      <c r="M960" s="437" t="s">
        <v>1082</v>
      </c>
      <c r="N960" s="438"/>
      <c r="O960" s="438">
        <v>45712.0</v>
      </c>
      <c r="P960" s="438">
        <v>45772.0</v>
      </c>
      <c r="Q960" s="439"/>
      <c r="R960" s="439"/>
      <c r="S960" s="864"/>
      <c r="T960" s="864"/>
      <c r="U960" s="439"/>
      <c r="V960" s="864"/>
      <c r="W960" s="439"/>
      <c r="X960" s="439"/>
      <c r="Y960" s="439"/>
      <c r="Z960" s="439"/>
      <c r="AA960" s="439"/>
      <c r="AB960" s="439"/>
      <c r="AC960" s="440">
        <f t="shared" si="426"/>
        <v>0</v>
      </c>
      <c r="AD960" s="420"/>
      <c r="AE960" s="692"/>
      <c r="AF960" s="754"/>
      <c r="AG960" s="273"/>
      <c r="AH960" s="273"/>
      <c r="AI960" s="273"/>
    </row>
    <row r="961" hidden="1">
      <c r="A961" s="126"/>
      <c r="B961" s="829"/>
      <c r="C961" s="402"/>
      <c r="D961" s="812" t="s">
        <v>1083</v>
      </c>
      <c r="E961" s="854"/>
      <c r="F961" s="855"/>
      <c r="G961" s="854"/>
      <c r="H961" s="856"/>
      <c r="I961" s="856"/>
      <c r="J961" s="857"/>
      <c r="K961" s="858" t="s">
        <v>735</v>
      </c>
      <c r="L961" s="762"/>
      <c r="M961" s="763"/>
      <c r="N961" s="764"/>
      <c r="O961" s="764"/>
      <c r="P961" s="764"/>
      <c r="Q961" s="447"/>
      <c r="R961" s="447"/>
      <c r="S961" s="705"/>
      <c r="T961" s="705"/>
      <c r="U961" s="447">
        <f>L960*95%</f>
        <v>4885287600</v>
      </c>
      <c r="V961" s="705"/>
      <c r="W961" s="447"/>
      <c r="X961" s="447">
        <f>L960*5%</f>
        <v>257120400</v>
      </c>
      <c r="Y961" s="447"/>
      <c r="Z961" s="447"/>
      <c r="AA961" s="447"/>
      <c r="AB961" s="447"/>
      <c r="AC961" s="449">
        <f t="shared" si="426"/>
        <v>5142408000</v>
      </c>
      <c r="AD961" s="420"/>
      <c r="AE961" s="865"/>
      <c r="AF961" s="273"/>
      <c r="AG961" s="273"/>
      <c r="AH961" s="273"/>
      <c r="AI961" s="273"/>
    </row>
    <row r="962" hidden="1">
      <c r="A962" s="126"/>
      <c r="B962" s="829"/>
      <c r="C962" s="413"/>
      <c r="D962" s="250" t="s">
        <v>1084</v>
      </c>
      <c r="E962" s="859"/>
      <c r="F962" s="860"/>
      <c r="G962" s="859"/>
      <c r="H962" s="861"/>
      <c r="I962" s="861"/>
      <c r="J962" s="416"/>
      <c r="K962" s="222" t="s">
        <v>735</v>
      </c>
      <c r="L962" s="862"/>
      <c r="M962" s="835"/>
      <c r="N962" s="419"/>
      <c r="O962" s="419"/>
      <c r="P962" s="419"/>
      <c r="Q962" s="452"/>
      <c r="R962" s="452"/>
      <c r="S962" s="452"/>
      <c r="T962" s="452"/>
      <c r="U962" s="452"/>
      <c r="V962" s="452"/>
      <c r="W962" s="452"/>
      <c r="X962" s="452"/>
      <c r="Y962" s="452"/>
      <c r="Z962" s="452"/>
      <c r="AA962" s="452"/>
      <c r="AB962" s="452"/>
      <c r="AC962" s="538">
        <f t="shared" si="426"/>
        <v>0</v>
      </c>
      <c r="AD962" s="420"/>
      <c r="AE962" s="692"/>
      <c r="AF962" s="194"/>
      <c r="AG962" s="273"/>
      <c r="AH962" s="273"/>
      <c r="AI962" s="273"/>
    </row>
    <row r="963" hidden="1">
      <c r="A963" s="126"/>
      <c r="B963" s="829"/>
      <c r="C963" s="413"/>
      <c r="D963" s="286" t="s">
        <v>194</v>
      </c>
      <c r="E963" s="767"/>
      <c r="F963" s="830"/>
      <c r="G963" s="767"/>
      <c r="H963" s="774"/>
      <c r="I963" s="774"/>
      <c r="J963" s="416"/>
      <c r="K963" s="222" t="s">
        <v>735</v>
      </c>
      <c r="L963" s="457"/>
      <c r="M963" s="458"/>
      <c r="N963" s="459"/>
      <c r="O963" s="459"/>
      <c r="P963" s="459"/>
      <c r="Q963" s="452"/>
      <c r="R963" s="452"/>
      <c r="S963" s="452"/>
      <c r="T963" s="452"/>
      <c r="U963" s="452"/>
      <c r="V963" s="452"/>
      <c r="W963" s="452"/>
      <c r="X963" s="452"/>
      <c r="Y963" s="452"/>
      <c r="Z963" s="452"/>
      <c r="AA963" s="452"/>
      <c r="AB963" s="452"/>
      <c r="AC963" s="378">
        <f t="shared" si="426"/>
        <v>0</v>
      </c>
      <c r="AD963" s="420"/>
      <c r="AE963" s="692"/>
      <c r="AF963" s="194"/>
      <c r="AG963" s="273"/>
      <c r="AH963" s="273"/>
      <c r="AI963" s="273"/>
    </row>
    <row r="964" hidden="1">
      <c r="A964" s="126"/>
      <c r="B964" s="829"/>
      <c r="C964" s="413"/>
      <c r="D964" s="286" t="s">
        <v>1085</v>
      </c>
      <c r="E964" s="767"/>
      <c r="F964" s="830"/>
      <c r="G964" s="767"/>
      <c r="H964" s="774"/>
      <c r="I964" s="774"/>
      <c r="J964" s="416"/>
      <c r="K964" s="222" t="s">
        <v>735</v>
      </c>
      <c r="L964" s="457"/>
      <c r="M964" s="458"/>
      <c r="N964" s="459"/>
      <c r="O964" s="459"/>
      <c r="P964" s="459"/>
      <c r="Q964" s="452"/>
      <c r="R964" s="452"/>
      <c r="S964" s="452"/>
      <c r="T964" s="452"/>
      <c r="U964" s="452"/>
      <c r="V964" s="452"/>
      <c r="W964" s="452"/>
      <c r="X964" s="452"/>
      <c r="Y964" s="452"/>
      <c r="Z964" s="452"/>
      <c r="AA964" s="452"/>
      <c r="AB964" s="452"/>
      <c r="AC964" s="378">
        <f t="shared" si="426"/>
        <v>0</v>
      </c>
      <c r="AD964" s="420"/>
      <c r="AE964" s="692"/>
      <c r="AF964" s="194"/>
      <c r="AG964" s="273"/>
      <c r="AH964" s="273"/>
      <c r="AI964" s="273"/>
    </row>
    <row r="965">
      <c r="A965" s="126"/>
      <c r="B965" s="829"/>
      <c r="C965" s="394">
        <v>64.0</v>
      </c>
      <c r="D965" s="817" t="s">
        <v>1086</v>
      </c>
      <c r="E965" s="198" t="s">
        <v>326</v>
      </c>
      <c r="F965" s="198" t="s">
        <v>305</v>
      </c>
      <c r="G965" s="198" t="s">
        <v>327</v>
      </c>
      <c r="H965" s="198" t="s">
        <v>328</v>
      </c>
      <c r="I965" s="198" t="s">
        <v>187</v>
      </c>
      <c r="J965" s="198" t="s">
        <v>188</v>
      </c>
      <c r="K965" s="853" t="s">
        <v>735</v>
      </c>
      <c r="L965" s="436">
        <f>10656000000</f>
        <v>10656000000</v>
      </c>
      <c r="M965" s="437" t="s">
        <v>1087</v>
      </c>
      <c r="N965" s="438"/>
      <c r="O965" s="438">
        <v>45643.0</v>
      </c>
      <c r="P965" s="438">
        <v>45705.0</v>
      </c>
      <c r="Q965" s="439"/>
      <c r="R965" s="439"/>
      <c r="S965" s="439"/>
      <c r="T965" s="439"/>
      <c r="U965" s="439"/>
      <c r="V965" s="439"/>
      <c r="W965" s="439"/>
      <c r="X965" s="439"/>
      <c r="Y965" s="439"/>
      <c r="Z965" s="439"/>
      <c r="AA965" s="439"/>
      <c r="AB965" s="439"/>
      <c r="AC965" s="440">
        <f t="shared" si="426"/>
        <v>0</v>
      </c>
      <c r="AD965" s="420"/>
      <c r="AE965" s="692"/>
      <c r="AF965" s="754"/>
      <c r="AG965" s="273"/>
      <c r="AH965" s="273"/>
      <c r="AI965" s="273"/>
    </row>
    <row r="966" hidden="1">
      <c r="A966" s="126"/>
      <c r="B966" s="829"/>
      <c r="C966" s="402"/>
      <c r="D966" s="854"/>
      <c r="E966" s="854"/>
      <c r="F966" s="855"/>
      <c r="G966" s="854"/>
      <c r="H966" s="856"/>
      <c r="I966" s="856"/>
      <c r="J966" s="857"/>
      <c r="K966" s="858" t="s">
        <v>735</v>
      </c>
      <c r="L966" s="762"/>
      <c r="M966" s="763"/>
      <c r="N966" s="764"/>
      <c r="O966" s="764"/>
      <c r="P966" s="764"/>
      <c r="Q966" s="447"/>
      <c r="R966" s="447"/>
      <c r="S966" s="447"/>
      <c r="T966" s="447"/>
      <c r="U966" s="447">
        <f>L965*95%</f>
        <v>10123200000</v>
      </c>
      <c r="V966" s="447">
        <f>L965*5%</f>
        <v>532800000</v>
      </c>
      <c r="W966" s="447"/>
      <c r="X966" s="447"/>
      <c r="Y966" s="447"/>
      <c r="Z966" s="447"/>
      <c r="AA966" s="447"/>
      <c r="AB966" s="447"/>
      <c r="AC966" s="449">
        <f t="shared" si="426"/>
        <v>10656000000</v>
      </c>
      <c r="AD966" s="420"/>
      <c r="AE966" s="692"/>
      <c r="AF966" s="273"/>
      <c r="AG966" s="273"/>
      <c r="AH966" s="273"/>
      <c r="AI966" s="273"/>
    </row>
    <row r="967" hidden="1">
      <c r="A967" s="126"/>
      <c r="B967" s="829"/>
      <c r="C967" s="413"/>
      <c r="D967" s="250" t="s">
        <v>1088</v>
      </c>
      <c r="E967" s="859"/>
      <c r="F967" s="860"/>
      <c r="G967" s="859"/>
      <c r="H967" s="861"/>
      <c r="I967" s="861"/>
      <c r="J967" s="416"/>
      <c r="K967" s="222" t="s">
        <v>735</v>
      </c>
      <c r="L967" s="862"/>
      <c r="M967" s="835"/>
      <c r="N967" s="419"/>
      <c r="O967" s="419"/>
      <c r="P967" s="419"/>
      <c r="Q967" s="452"/>
      <c r="R967" s="452"/>
      <c r="S967" s="452"/>
      <c r="T967" s="452"/>
      <c r="U967" s="452"/>
      <c r="V967" s="600">
        <v>1.01232E10</v>
      </c>
      <c r="W967" s="452"/>
      <c r="X967" s="452"/>
      <c r="Y967" s="452"/>
      <c r="Z967" s="452"/>
      <c r="AA967" s="452"/>
      <c r="AB967" s="452"/>
      <c r="AC967" s="538">
        <f t="shared" si="426"/>
        <v>10123200000</v>
      </c>
      <c r="AD967" s="420"/>
      <c r="AE967" s="692"/>
      <c r="AF967" s="194"/>
      <c r="AG967" s="273"/>
      <c r="AH967" s="273"/>
      <c r="AI967" s="273"/>
    </row>
    <row r="968" hidden="1">
      <c r="A968" s="126"/>
      <c r="B968" s="829"/>
      <c r="C968" s="413"/>
      <c r="D968" s="286" t="s">
        <v>194</v>
      </c>
      <c r="E968" s="767"/>
      <c r="F968" s="830"/>
      <c r="G968" s="767"/>
      <c r="H968" s="774"/>
      <c r="I968" s="774"/>
      <c r="J968" s="416"/>
      <c r="K968" s="222" t="s">
        <v>735</v>
      </c>
      <c r="L968" s="803"/>
      <c r="M968" s="866"/>
      <c r="N968" s="459"/>
      <c r="O968" s="459"/>
      <c r="P968" s="459"/>
      <c r="Q968" s="452"/>
      <c r="R968" s="452"/>
      <c r="S968" s="452"/>
      <c r="T968" s="452"/>
      <c r="U968" s="452"/>
      <c r="V968" s="600">
        <v>1.01232E10</v>
      </c>
      <c r="W968" s="452"/>
      <c r="X968" s="452"/>
      <c r="Y968" s="452"/>
      <c r="Z968" s="452"/>
      <c r="AA968" s="452"/>
      <c r="AB968" s="452"/>
      <c r="AC968" s="378">
        <f t="shared" si="426"/>
        <v>10123200000</v>
      </c>
      <c r="AD968" s="420"/>
      <c r="AE968" s="692"/>
      <c r="AF968" s="194"/>
      <c r="AG968" s="273"/>
      <c r="AH968" s="273"/>
      <c r="AI968" s="273"/>
    </row>
    <row r="969" hidden="1">
      <c r="A969" s="126"/>
      <c r="B969" s="829"/>
      <c r="C969" s="413"/>
      <c r="D969" s="286" t="s">
        <v>1089</v>
      </c>
      <c r="E969" s="767"/>
      <c r="F969" s="830"/>
      <c r="G969" s="767"/>
      <c r="H969" s="774"/>
      <c r="I969" s="774"/>
      <c r="J969" s="416"/>
      <c r="K969" s="222" t="s">
        <v>735</v>
      </c>
      <c r="L969" s="803"/>
      <c r="M969" s="866"/>
      <c r="N969" s="459"/>
      <c r="O969" s="459"/>
      <c r="P969" s="459"/>
      <c r="Q969" s="452"/>
      <c r="R969" s="452"/>
      <c r="S969" s="452"/>
      <c r="T969" s="452"/>
      <c r="U969" s="452"/>
      <c r="V969" s="600">
        <v>1.01232E10</v>
      </c>
      <c r="W969" s="452"/>
      <c r="X969" s="452"/>
      <c r="Y969" s="452"/>
      <c r="Z969" s="452"/>
      <c r="AA969" s="452"/>
      <c r="AB969" s="452"/>
      <c r="AC969" s="378">
        <f t="shared" si="426"/>
        <v>10123200000</v>
      </c>
      <c r="AD969" s="420"/>
      <c r="AE969" s="692"/>
      <c r="AF969" s="194"/>
      <c r="AG969" s="273"/>
      <c r="AH969" s="273"/>
      <c r="AI969" s="273"/>
    </row>
    <row r="970">
      <c r="A970" s="126"/>
      <c r="B970" s="829"/>
      <c r="C970" s="394">
        <v>65.0</v>
      </c>
      <c r="D970" s="817" t="s">
        <v>1090</v>
      </c>
      <c r="E970" s="198" t="s">
        <v>326</v>
      </c>
      <c r="F970" s="198" t="s">
        <v>103</v>
      </c>
      <c r="G970" s="198" t="s">
        <v>84</v>
      </c>
      <c r="H970" s="198" t="s">
        <v>84</v>
      </c>
      <c r="I970" s="198" t="s">
        <v>187</v>
      </c>
      <c r="J970" s="198" t="s">
        <v>188</v>
      </c>
      <c r="K970" s="853" t="s">
        <v>735</v>
      </c>
      <c r="L970" s="709">
        <v>5.81793827936937E10</v>
      </c>
      <c r="M970" s="479" t="s">
        <v>1091</v>
      </c>
      <c r="N970" s="438"/>
      <c r="O970" s="438">
        <v>45455.0</v>
      </c>
      <c r="P970" s="438">
        <v>45664.0</v>
      </c>
      <c r="Q970" s="710"/>
      <c r="R970" s="710"/>
      <c r="S970" s="710"/>
      <c r="T970" s="710"/>
      <c r="U970" s="710"/>
      <c r="V970" s="710"/>
      <c r="W970" s="710"/>
      <c r="X970" s="710"/>
      <c r="Y970" s="710"/>
      <c r="Z970" s="710"/>
      <c r="AA970" s="710"/>
      <c r="AB970" s="710"/>
      <c r="AC970" s="440">
        <f t="shared" si="426"/>
        <v>0</v>
      </c>
      <c r="AD970" s="420"/>
      <c r="AE970" s="849"/>
      <c r="AF970" s="754"/>
      <c r="AG970" s="420"/>
      <c r="AH970" s="420"/>
      <c r="AI970" s="420"/>
    </row>
    <row r="971" hidden="1">
      <c r="A971" s="126"/>
      <c r="B971" s="829"/>
      <c r="C971" s="402"/>
      <c r="D971" s="867" t="s">
        <v>1078</v>
      </c>
      <c r="E971" s="403"/>
      <c r="F971" s="403"/>
      <c r="G971" s="403"/>
      <c r="H971" s="404"/>
      <c r="I971" s="404"/>
      <c r="J971" s="857"/>
      <c r="K971" s="858" t="s">
        <v>735</v>
      </c>
      <c r="L971" s="762"/>
      <c r="M971" s="763"/>
      <c r="N971" s="764"/>
      <c r="O971" s="764"/>
      <c r="P971" s="764">
        <f>P970</f>
        <v>45664</v>
      </c>
      <c r="Q971" s="448">
        <v>1.33474060641E9</v>
      </c>
      <c r="R971" s="448">
        <v>1.46821466705E9</v>
      </c>
      <c r="S971" s="448">
        <v>1.33474060641E9</v>
      </c>
      <c r="T971" s="448">
        <v>1.33474060641E9</v>
      </c>
      <c r="U971" s="448">
        <v>2.00211090961E9</v>
      </c>
      <c r="V971" s="448">
        <v>1.33474060641E9</v>
      </c>
      <c r="W971" s="448">
        <v>2.66948121281E9</v>
      </c>
      <c r="X971" s="448">
        <v>2.66948121281E9</v>
      </c>
      <c r="Y971" s="448">
        <v>2.40253309153E9</v>
      </c>
      <c r="Z971" s="448">
        <v>1.86863684897E9</v>
      </c>
      <c r="AA971" s="448">
        <v>3.73727369793E9</v>
      </c>
      <c r="AB971" s="448">
        <v>4.53811806178E9</v>
      </c>
      <c r="AC971" s="449">
        <f>sum(Q971:AB971)</f>
        <v>26694812128</v>
      </c>
      <c r="AD971" s="420"/>
      <c r="AE971" s="849"/>
      <c r="AF971" s="420"/>
      <c r="AG971" s="420"/>
      <c r="AH971" s="420"/>
      <c r="AI971" s="420"/>
    </row>
    <row r="972" hidden="1">
      <c r="A972" s="126"/>
      <c r="B972" s="829"/>
      <c r="C972" s="413"/>
      <c r="D972" s="250" t="s">
        <v>1092</v>
      </c>
      <c r="E972" s="414"/>
      <c r="F972" s="414"/>
      <c r="G972" s="414"/>
      <c r="H972" s="415"/>
      <c r="I972" s="415"/>
      <c r="J972" s="416"/>
      <c r="K972" s="222" t="s">
        <v>735</v>
      </c>
      <c r="L972" s="862"/>
      <c r="M972" s="418"/>
      <c r="N972" s="419"/>
      <c r="O972" s="419"/>
      <c r="P972" s="419"/>
      <c r="Q972" s="600"/>
      <c r="R972" s="600"/>
      <c r="S972" s="600">
        <v>7.61320936126E9</v>
      </c>
      <c r="T972" s="452"/>
      <c r="U972" s="452"/>
      <c r="V972" s="452"/>
      <c r="W972" s="452"/>
      <c r="X972" s="452"/>
      <c r="Y972" s="452"/>
      <c r="Z972" s="452"/>
      <c r="AA972" s="452"/>
      <c r="AB972" s="452"/>
      <c r="AC972" s="538">
        <f t="shared" ref="AC972:AC975" si="440">SUM(Q972:AB972)</f>
        <v>7613209361</v>
      </c>
      <c r="AD972" s="420"/>
      <c r="AE972" s="692"/>
      <c r="AF972" s="194"/>
      <c r="AG972" s="273"/>
      <c r="AH972" s="273"/>
      <c r="AI972" s="273"/>
    </row>
    <row r="973" hidden="1">
      <c r="A973" s="126"/>
      <c r="B973" s="829"/>
      <c r="C973" s="413"/>
      <c r="D973" s="286" t="s">
        <v>194</v>
      </c>
      <c r="E973" s="773"/>
      <c r="F973" s="773"/>
      <c r="G973" s="773"/>
      <c r="H973" s="774"/>
      <c r="I973" s="774"/>
      <c r="J973" s="416"/>
      <c r="K973" s="222" t="s">
        <v>735</v>
      </c>
      <c r="L973" s="803"/>
      <c r="M973" s="473"/>
      <c r="N973" s="459"/>
      <c r="O973" s="459"/>
      <c r="P973" s="459"/>
      <c r="Q973" s="600"/>
      <c r="R973" s="600"/>
      <c r="S973" s="600">
        <v>7.61320936126E9</v>
      </c>
      <c r="T973" s="600"/>
      <c r="U973" s="600"/>
      <c r="V973" s="600"/>
      <c r="W973" s="600"/>
      <c r="X973" s="600"/>
      <c r="Y973" s="600"/>
      <c r="Z973" s="600"/>
      <c r="AA973" s="452"/>
      <c r="AB973" s="452"/>
      <c r="AC973" s="378">
        <f t="shared" si="440"/>
        <v>7613209361</v>
      </c>
      <c r="AD973" s="420"/>
      <c r="AE973" s="692"/>
      <c r="AF973" s="194"/>
      <c r="AG973" s="273"/>
      <c r="AH973" s="273"/>
      <c r="AI973" s="273"/>
    </row>
    <row r="974" hidden="1">
      <c r="A974" s="126"/>
      <c r="B974" s="829"/>
      <c r="C974" s="413"/>
      <c r="D974" s="286" t="s">
        <v>1093</v>
      </c>
      <c r="E974" s="773"/>
      <c r="F974" s="773"/>
      <c r="G974" s="773"/>
      <c r="H974" s="774"/>
      <c r="I974" s="774"/>
      <c r="J974" s="416"/>
      <c r="K974" s="222" t="s">
        <v>735</v>
      </c>
      <c r="L974" s="803"/>
      <c r="M974" s="473"/>
      <c r="N974" s="459"/>
      <c r="O974" s="459"/>
      <c r="P974" s="459"/>
      <c r="Q974" s="600"/>
      <c r="R974" s="600"/>
      <c r="S974" s="600">
        <v>7.61320936126E9</v>
      </c>
      <c r="T974" s="600"/>
      <c r="U974" s="600"/>
      <c r="V974" s="600"/>
      <c r="W974" s="600"/>
      <c r="X974" s="600"/>
      <c r="Y974" s="600"/>
      <c r="Z974" s="600"/>
      <c r="AA974" s="452"/>
      <c r="AB974" s="452"/>
      <c r="AC974" s="378">
        <f t="shared" si="440"/>
        <v>7613209361</v>
      </c>
      <c r="AD974" s="420"/>
      <c r="AE974" s="692"/>
      <c r="AF974" s="194"/>
      <c r="AG974" s="273"/>
      <c r="AH974" s="273"/>
      <c r="AI974" s="273"/>
    </row>
    <row r="975">
      <c r="A975" s="126"/>
      <c r="B975" s="829"/>
      <c r="C975" s="394">
        <v>66.0</v>
      </c>
      <c r="D975" s="817" t="s">
        <v>1094</v>
      </c>
      <c r="E975" s="198" t="s">
        <v>326</v>
      </c>
      <c r="F975" s="198" t="s">
        <v>103</v>
      </c>
      <c r="G975" s="198" t="s">
        <v>84</v>
      </c>
      <c r="H975" s="198" t="s">
        <v>84</v>
      </c>
      <c r="I975" s="198" t="s">
        <v>187</v>
      </c>
      <c r="J975" s="198" t="s">
        <v>188</v>
      </c>
      <c r="K975" s="853" t="s">
        <v>735</v>
      </c>
      <c r="L975" s="709">
        <v>1.43922E10</v>
      </c>
      <c r="M975" s="479" t="s">
        <v>1095</v>
      </c>
      <c r="N975" s="438"/>
      <c r="O975" s="438">
        <v>45649.0</v>
      </c>
      <c r="P975" s="438">
        <v>45828.0</v>
      </c>
      <c r="Q975" s="710"/>
      <c r="R975" s="710"/>
      <c r="S975" s="710"/>
      <c r="T975" s="710"/>
      <c r="U975" s="710"/>
      <c r="V975" s="710"/>
      <c r="W975" s="710"/>
      <c r="X975" s="710"/>
      <c r="Y975" s="710"/>
      <c r="Z975" s="710"/>
      <c r="AA975" s="439"/>
      <c r="AB975" s="439"/>
      <c r="AC975" s="440">
        <f t="shared" si="440"/>
        <v>0</v>
      </c>
      <c r="AD975" s="420"/>
      <c r="AE975" s="692"/>
      <c r="AF975" s="754"/>
      <c r="AG975" s="273"/>
      <c r="AH975" s="273"/>
      <c r="AI975" s="273"/>
    </row>
    <row r="976" hidden="1">
      <c r="A976" s="126"/>
      <c r="B976" s="829"/>
      <c r="C976" s="402"/>
      <c r="D976" s="403"/>
      <c r="E976" s="403"/>
      <c r="F976" s="403"/>
      <c r="G976" s="403"/>
      <c r="H976" s="404"/>
      <c r="I976" s="404"/>
      <c r="J976" s="857"/>
      <c r="K976" s="858" t="s">
        <v>735</v>
      </c>
      <c r="L976" s="762"/>
      <c r="M976" s="485"/>
      <c r="N976" s="764"/>
      <c r="O976" s="764"/>
      <c r="P976" s="764">
        <f>P975</f>
        <v>45828</v>
      </c>
      <c r="Q976" s="448">
        <f>L975/6</f>
        <v>2398700000</v>
      </c>
      <c r="R976" s="448">
        <f t="shared" ref="R976:V976" si="441">Q976</f>
        <v>2398700000</v>
      </c>
      <c r="S976" s="448">
        <f t="shared" si="441"/>
        <v>2398700000</v>
      </c>
      <c r="T976" s="448">
        <f t="shared" si="441"/>
        <v>2398700000</v>
      </c>
      <c r="U976" s="448">
        <f t="shared" si="441"/>
        <v>2398700000</v>
      </c>
      <c r="V976" s="448">
        <f t="shared" si="441"/>
        <v>2398700000</v>
      </c>
      <c r="W976" s="448"/>
      <c r="X976" s="448"/>
      <c r="Y976" s="448"/>
      <c r="Z976" s="448"/>
      <c r="AA976" s="447"/>
      <c r="AB976" s="447"/>
      <c r="AC976" s="449">
        <f>sum(Q976:AB976)</f>
        <v>14392200000</v>
      </c>
      <c r="AD976" s="420"/>
      <c r="AE976" s="692"/>
      <c r="AF976" s="273"/>
      <c r="AG976" s="273"/>
      <c r="AH976" s="273"/>
      <c r="AI976" s="273"/>
    </row>
    <row r="977" hidden="1">
      <c r="A977" s="126"/>
      <c r="B977" s="829"/>
      <c r="C977" s="413"/>
      <c r="D977" s="250" t="s">
        <v>1096</v>
      </c>
      <c r="E977" s="414"/>
      <c r="F977" s="414"/>
      <c r="G977" s="414"/>
      <c r="H977" s="415"/>
      <c r="I977" s="415"/>
      <c r="J977" s="416"/>
      <c r="K977" s="222" t="s">
        <v>735</v>
      </c>
      <c r="L977" s="862"/>
      <c r="M977" s="418"/>
      <c r="N977" s="419"/>
      <c r="O977" s="419"/>
      <c r="P977" s="419"/>
      <c r="Q977" s="600"/>
      <c r="R977" s="600"/>
      <c r="S977" s="600"/>
      <c r="T977" s="452"/>
      <c r="U977" s="452"/>
      <c r="V977" s="452"/>
      <c r="W977" s="452"/>
      <c r="X977" s="452"/>
      <c r="Y977" s="452"/>
      <c r="Z977" s="452"/>
      <c r="AA977" s="452"/>
      <c r="AB977" s="452"/>
      <c r="AC977" s="538">
        <f t="shared" ref="AC977:AC980" si="442">SUM(Q977:AB977)</f>
        <v>0</v>
      </c>
      <c r="AD977" s="420"/>
      <c r="AE977" s="849"/>
      <c r="AF977" s="194"/>
      <c r="AG977" s="420"/>
      <c r="AH977" s="420"/>
      <c r="AI977" s="420"/>
    </row>
    <row r="978" hidden="1">
      <c r="A978" s="126"/>
      <c r="B978" s="829"/>
      <c r="C978" s="413"/>
      <c r="D978" s="286" t="s">
        <v>194</v>
      </c>
      <c r="E978" s="773"/>
      <c r="F978" s="773"/>
      <c r="G978" s="773"/>
      <c r="H978" s="774"/>
      <c r="I978" s="774"/>
      <c r="J978" s="416"/>
      <c r="K978" s="222" t="s">
        <v>735</v>
      </c>
      <c r="L978" s="803"/>
      <c r="M978" s="473"/>
      <c r="N978" s="459"/>
      <c r="O978" s="459"/>
      <c r="P978" s="459"/>
      <c r="Q978" s="600"/>
      <c r="R978" s="600"/>
      <c r="S978" s="600"/>
      <c r="T978" s="600"/>
      <c r="U978" s="600"/>
      <c r="V978" s="600"/>
      <c r="W978" s="600"/>
      <c r="X978" s="600"/>
      <c r="Y978" s="600"/>
      <c r="Z978" s="600"/>
      <c r="AA978" s="600"/>
      <c r="AB978" s="600"/>
      <c r="AC978" s="378">
        <f t="shared" si="442"/>
        <v>0</v>
      </c>
      <c r="AD978" s="420"/>
      <c r="AE978" s="353"/>
      <c r="AF978" s="194"/>
      <c r="AG978" s="273"/>
      <c r="AH978" s="273"/>
      <c r="AI978" s="273"/>
    </row>
    <row r="979" hidden="1">
      <c r="A979" s="126"/>
      <c r="B979" s="829"/>
      <c r="C979" s="413"/>
      <c r="D979" s="286" t="s">
        <v>1097</v>
      </c>
      <c r="E979" s="773"/>
      <c r="F979" s="773"/>
      <c r="G979" s="773"/>
      <c r="H979" s="774"/>
      <c r="I979" s="774"/>
      <c r="J979" s="416"/>
      <c r="K979" s="222" t="s">
        <v>735</v>
      </c>
      <c r="L979" s="803"/>
      <c r="M979" s="473"/>
      <c r="N979" s="459"/>
      <c r="O979" s="459"/>
      <c r="P979" s="459"/>
      <c r="Q979" s="600"/>
      <c r="R979" s="600"/>
      <c r="S979" s="600"/>
      <c r="T979" s="600"/>
      <c r="U979" s="600"/>
      <c r="V979" s="600"/>
      <c r="W979" s="600"/>
      <c r="X979" s="600"/>
      <c r="Y979" s="600"/>
      <c r="Z979" s="600"/>
      <c r="AA979" s="600"/>
      <c r="AB979" s="600"/>
      <c r="AC979" s="378">
        <f t="shared" si="442"/>
        <v>0</v>
      </c>
      <c r="AD979" s="420"/>
      <c r="AE979" s="353"/>
      <c r="AF979" s="194"/>
      <c r="AG979" s="273"/>
      <c r="AH979" s="273"/>
      <c r="AI979" s="273"/>
    </row>
    <row r="980">
      <c r="A980" s="126"/>
      <c r="B980" s="829"/>
      <c r="C980" s="394">
        <v>67.0</v>
      </c>
      <c r="D980" s="817" t="s">
        <v>1098</v>
      </c>
      <c r="E980" s="198" t="s">
        <v>326</v>
      </c>
      <c r="F980" s="198" t="s">
        <v>103</v>
      </c>
      <c r="G980" s="198" t="s">
        <v>84</v>
      </c>
      <c r="H980" s="198" t="s">
        <v>328</v>
      </c>
      <c r="I980" s="198" t="s">
        <v>187</v>
      </c>
      <c r="J980" s="198" t="s">
        <v>188</v>
      </c>
      <c r="K980" s="853" t="s">
        <v>735</v>
      </c>
      <c r="L980" s="709">
        <v>3.06755922972973E9</v>
      </c>
      <c r="M980" s="479" t="s">
        <v>1099</v>
      </c>
      <c r="N980" s="438"/>
      <c r="O980" s="438">
        <v>45615.0</v>
      </c>
      <c r="P980" s="438">
        <v>45644.0</v>
      </c>
      <c r="Q980" s="710"/>
      <c r="R980" s="710"/>
      <c r="S980" s="710"/>
      <c r="T980" s="710"/>
      <c r="U980" s="710"/>
      <c r="V980" s="710"/>
      <c r="W980" s="710"/>
      <c r="X980" s="710"/>
      <c r="Y980" s="710"/>
      <c r="Z980" s="710"/>
      <c r="AA980" s="710"/>
      <c r="AB980" s="710"/>
      <c r="AC980" s="440">
        <f t="shared" si="442"/>
        <v>0</v>
      </c>
      <c r="AD980" s="420"/>
      <c r="AE980" s="353"/>
      <c r="AF980" s="754"/>
      <c r="AG980" s="273"/>
      <c r="AH980" s="273"/>
      <c r="AI980" s="273"/>
    </row>
    <row r="981" hidden="1">
      <c r="A981" s="126"/>
      <c r="B981" s="829"/>
      <c r="C981" s="402"/>
      <c r="D981" s="403"/>
      <c r="E981" s="403"/>
      <c r="F981" s="403"/>
      <c r="G981" s="403"/>
      <c r="H981" s="404"/>
      <c r="I981" s="404"/>
      <c r="J981" s="857"/>
      <c r="K981" s="858" t="s">
        <v>735</v>
      </c>
      <c r="L981" s="762"/>
      <c r="M981" s="763"/>
      <c r="N981" s="764"/>
      <c r="O981" s="764"/>
      <c r="P981" s="764">
        <f>P980</f>
        <v>45644</v>
      </c>
      <c r="Q981" s="448">
        <f>L980</f>
        <v>3067559230</v>
      </c>
      <c r="R981" s="448"/>
      <c r="S981" s="448"/>
      <c r="T981" s="448"/>
      <c r="U981" s="448"/>
      <c r="V981" s="448"/>
      <c r="W981" s="448"/>
      <c r="X981" s="448"/>
      <c r="Y981" s="448"/>
      <c r="Z981" s="448"/>
      <c r="AA981" s="448"/>
      <c r="AB981" s="448"/>
      <c r="AC981" s="449">
        <f>sum(Q981:AB981)</f>
        <v>3067559230</v>
      </c>
      <c r="AD981" s="420"/>
      <c r="AE981" s="692"/>
      <c r="AF981" s="273"/>
      <c r="AG981" s="273"/>
      <c r="AH981" s="273"/>
      <c r="AI981" s="273"/>
    </row>
    <row r="982" hidden="1">
      <c r="A982" s="126"/>
      <c r="B982" s="829"/>
      <c r="C982" s="413"/>
      <c r="D982" s="250" t="s">
        <v>1100</v>
      </c>
      <c r="E982" s="414"/>
      <c r="F982" s="414"/>
      <c r="G982" s="414"/>
      <c r="H982" s="415"/>
      <c r="I982" s="415"/>
      <c r="J982" s="416"/>
      <c r="K982" s="222" t="s">
        <v>735</v>
      </c>
      <c r="L982" s="862"/>
      <c r="M982" s="418"/>
      <c r="N982" s="419"/>
      <c r="O982" s="419"/>
      <c r="P982" s="419"/>
      <c r="Q982" s="600"/>
      <c r="R982" s="600">
        <v>3.06755922973E9</v>
      </c>
      <c r="S982" s="600">
        <v>0.0</v>
      </c>
      <c r="T982" s="452"/>
      <c r="U982" s="452"/>
      <c r="V982" s="452"/>
      <c r="W982" s="452"/>
      <c r="X982" s="452"/>
      <c r="Y982" s="452"/>
      <c r="Z982" s="452"/>
      <c r="AA982" s="452"/>
      <c r="AB982" s="452"/>
      <c r="AC982" s="538">
        <f t="shared" ref="AC982:AC985" si="443">SUM(Q982:AB982)</f>
        <v>3067559230</v>
      </c>
      <c r="AD982" s="420"/>
      <c r="AE982" s="692"/>
      <c r="AF982" s="194"/>
      <c r="AG982" s="273"/>
      <c r="AH982" s="273"/>
      <c r="AI982" s="273"/>
    </row>
    <row r="983" hidden="1">
      <c r="A983" s="126"/>
      <c r="B983" s="829"/>
      <c r="C983" s="413"/>
      <c r="D983" s="286" t="s">
        <v>194</v>
      </c>
      <c r="E983" s="773"/>
      <c r="F983" s="773"/>
      <c r="G983" s="773"/>
      <c r="H983" s="774"/>
      <c r="I983" s="774"/>
      <c r="J983" s="416"/>
      <c r="K983" s="222" t="s">
        <v>735</v>
      </c>
      <c r="L983" s="803"/>
      <c r="M983" s="473"/>
      <c r="N983" s="459"/>
      <c r="O983" s="459"/>
      <c r="P983" s="459"/>
      <c r="Q983" s="600"/>
      <c r="R983" s="600">
        <v>3.06755922973E9</v>
      </c>
      <c r="S983" s="600"/>
      <c r="T983" s="600"/>
      <c r="U983" s="600"/>
      <c r="V983" s="600"/>
      <c r="W983" s="600"/>
      <c r="X983" s="600"/>
      <c r="Y983" s="600"/>
      <c r="Z983" s="600"/>
      <c r="AA983" s="600"/>
      <c r="AB983" s="600"/>
      <c r="AC983" s="378">
        <f t="shared" si="443"/>
        <v>3067559230</v>
      </c>
      <c r="AD983" s="420"/>
      <c r="AE983" s="849"/>
      <c r="AF983" s="194"/>
      <c r="AG983" s="420"/>
      <c r="AH983" s="420"/>
      <c r="AI983" s="420"/>
    </row>
    <row r="984" hidden="1">
      <c r="A984" s="126"/>
      <c r="B984" s="829"/>
      <c r="C984" s="413"/>
      <c r="D984" s="286" t="s">
        <v>1101</v>
      </c>
      <c r="E984" s="773"/>
      <c r="F984" s="773"/>
      <c r="G984" s="773"/>
      <c r="H984" s="774"/>
      <c r="I984" s="774"/>
      <c r="J984" s="416"/>
      <c r="K984" s="222" t="s">
        <v>735</v>
      </c>
      <c r="L984" s="803"/>
      <c r="M984" s="473"/>
      <c r="N984" s="459"/>
      <c r="O984" s="459"/>
      <c r="P984" s="459"/>
      <c r="Q984" s="600"/>
      <c r="R984" s="600">
        <v>3.06755922973E9</v>
      </c>
      <c r="S984" s="600"/>
      <c r="T984" s="600"/>
      <c r="U984" s="600"/>
      <c r="V984" s="600"/>
      <c r="W984" s="600"/>
      <c r="X984" s="600"/>
      <c r="Y984" s="600"/>
      <c r="Z984" s="600"/>
      <c r="AA984" s="600"/>
      <c r="AB984" s="600"/>
      <c r="AC984" s="378">
        <f t="shared" si="443"/>
        <v>3067559230</v>
      </c>
      <c r="AD984" s="420"/>
      <c r="AE984" s="849"/>
      <c r="AF984" s="194"/>
      <c r="AG984" s="420"/>
      <c r="AH984" s="420"/>
      <c r="AI984" s="420"/>
    </row>
    <row r="985">
      <c r="A985" s="126"/>
      <c r="B985" s="829"/>
      <c r="C985" s="394">
        <v>68.0</v>
      </c>
      <c r="D985" s="817" t="s">
        <v>1102</v>
      </c>
      <c r="E985" s="198" t="s">
        <v>326</v>
      </c>
      <c r="F985" s="198" t="s">
        <v>103</v>
      </c>
      <c r="G985" s="198" t="s">
        <v>84</v>
      </c>
      <c r="H985" s="198" t="s">
        <v>84</v>
      </c>
      <c r="I985" s="198" t="s">
        <v>187</v>
      </c>
      <c r="J985" s="198" t="s">
        <v>188</v>
      </c>
      <c r="K985" s="853" t="s">
        <v>735</v>
      </c>
      <c r="L985" s="709">
        <v>4.46516874774775E8</v>
      </c>
      <c r="M985" s="479" t="s">
        <v>1103</v>
      </c>
      <c r="N985" s="438"/>
      <c r="O985" s="438">
        <v>45657.0</v>
      </c>
      <c r="P985" s="438">
        <v>45716.0</v>
      </c>
      <c r="Q985" s="710"/>
      <c r="R985" s="710"/>
      <c r="S985" s="710"/>
      <c r="T985" s="710"/>
      <c r="U985" s="710"/>
      <c r="V985" s="710"/>
      <c r="W985" s="710"/>
      <c r="X985" s="710"/>
      <c r="Y985" s="710"/>
      <c r="Z985" s="710"/>
      <c r="AA985" s="710"/>
      <c r="AB985" s="710"/>
      <c r="AC985" s="440">
        <f t="shared" si="443"/>
        <v>0</v>
      </c>
      <c r="AD985" s="420"/>
      <c r="AE985" s="849"/>
      <c r="AF985" s="754"/>
      <c r="AG985" s="420"/>
      <c r="AH985" s="420"/>
      <c r="AI985" s="420"/>
    </row>
    <row r="986" hidden="1">
      <c r="A986" s="126"/>
      <c r="B986" s="829"/>
      <c r="C986" s="402"/>
      <c r="D986" s="403"/>
      <c r="E986" s="403"/>
      <c r="F986" s="403"/>
      <c r="G986" s="403"/>
      <c r="H986" s="404"/>
      <c r="I986" s="404"/>
      <c r="J986" s="857"/>
      <c r="K986" s="858" t="s">
        <v>735</v>
      </c>
      <c r="L986" s="762"/>
      <c r="M986" s="763"/>
      <c r="N986" s="764"/>
      <c r="O986" s="764"/>
      <c r="P986" s="764">
        <f>P985</f>
        <v>45716</v>
      </c>
      <c r="Q986" s="448"/>
      <c r="R986" s="448">
        <f>L985</f>
        <v>446516874.8</v>
      </c>
      <c r="S986" s="448"/>
      <c r="T986" s="448"/>
      <c r="U986" s="448"/>
      <c r="V986" s="448"/>
      <c r="W986" s="448"/>
      <c r="X986" s="448"/>
      <c r="Y986" s="448"/>
      <c r="Z986" s="448"/>
      <c r="AA986" s="448"/>
      <c r="AB986" s="448"/>
      <c r="AC986" s="449">
        <f>sum(Q986:AB986)</f>
        <v>446516874.8</v>
      </c>
      <c r="AD986" s="420"/>
      <c r="AE986" s="849"/>
      <c r="AF986" s="420"/>
      <c r="AG986" s="420"/>
      <c r="AH986" s="420"/>
      <c r="AI986" s="420"/>
    </row>
    <row r="987" hidden="1">
      <c r="A987" s="126"/>
      <c r="B987" s="829"/>
      <c r="C987" s="413"/>
      <c r="D987" s="250" t="s">
        <v>1104</v>
      </c>
      <c r="E987" s="414"/>
      <c r="F987" s="414"/>
      <c r="G987" s="414"/>
      <c r="H987" s="415"/>
      <c r="I987" s="415"/>
      <c r="J987" s="416"/>
      <c r="K987" s="222" t="s">
        <v>735</v>
      </c>
      <c r="L987" s="862"/>
      <c r="M987" s="418"/>
      <c r="N987" s="419"/>
      <c r="O987" s="419"/>
      <c r="P987" s="419"/>
      <c r="Q987" s="600"/>
      <c r="R987" s="600"/>
      <c r="S987" s="600">
        <v>4.46516875E8</v>
      </c>
      <c r="T987" s="452"/>
      <c r="U987" s="452"/>
      <c r="V987" s="452"/>
      <c r="W987" s="452"/>
      <c r="X987" s="452"/>
      <c r="Y987" s="452"/>
      <c r="Z987" s="452"/>
      <c r="AA987" s="452"/>
      <c r="AB987" s="452"/>
      <c r="AC987" s="538">
        <f t="shared" ref="AC987:AC990" si="444">SUM(Q987:AB987)</f>
        <v>446516875</v>
      </c>
      <c r="AD987" s="420"/>
      <c r="AE987" s="692"/>
      <c r="AF987" s="194"/>
      <c r="AG987" s="273"/>
      <c r="AH987" s="273"/>
      <c r="AI987" s="273"/>
    </row>
    <row r="988" hidden="1">
      <c r="A988" s="126"/>
      <c r="B988" s="829"/>
      <c r="C988" s="413"/>
      <c r="D988" s="286" t="s">
        <v>194</v>
      </c>
      <c r="E988" s="773"/>
      <c r="F988" s="773"/>
      <c r="G988" s="773"/>
      <c r="H988" s="774"/>
      <c r="I988" s="774"/>
      <c r="J988" s="416"/>
      <c r="K988" s="222" t="s">
        <v>735</v>
      </c>
      <c r="L988" s="803"/>
      <c r="M988" s="473"/>
      <c r="N988" s="459"/>
      <c r="O988" s="459"/>
      <c r="P988" s="459"/>
      <c r="Q988" s="600"/>
      <c r="R988" s="600"/>
      <c r="S988" s="600">
        <v>4.46516875E8</v>
      </c>
      <c r="T988" s="600"/>
      <c r="U988" s="600"/>
      <c r="V988" s="600"/>
      <c r="W988" s="600"/>
      <c r="X988" s="600"/>
      <c r="Y988" s="600"/>
      <c r="Z988" s="600"/>
      <c r="AA988" s="600"/>
      <c r="AB988" s="600"/>
      <c r="AC988" s="378">
        <f t="shared" si="444"/>
        <v>446516875</v>
      </c>
      <c r="AD988" s="420"/>
      <c r="AE988" s="692"/>
      <c r="AF988" s="194"/>
      <c r="AG988" s="273"/>
      <c r="AH988" s="273"/>
      <c r="AI988" s="273"/>
    </row>
    <row r="989" hidden="1">
      <c r="A989" s="126"/>
      <c r="B989" s="829"/>
      <c r="C989" s="413"/>
      <c r="D989" s="286" t="s">
        <v>1105</v>
      </c>
      <c r="E989" s="773"/>
      <c r="F989" s="773"/>
      <c r="G989" s="773"/>
      <c r="H989" s="774"/>
      <c r="I989" s="774"/>
      <c r="J989" s="416"/>
      <c r="K989" s="222" t="s">
        <v>735</v>
      </c>
      <c r="L989" s="803"/>
      <c r="M989" s="473"/>
      <c r="N989" s="459"/>
      <c r="O989" s="459"/>
      <c r="P989" s="459"/>
      <c r="Q989" s="600"/>
      <c r="R989" s="600"/>
      <c r="S989" s="600">
        <v>4.46516875E8</v>
      </c>
      <c r="T989" s="600"/>
      <c r="U989" s="600"/>
      <c r="V989" s="600"/>
      <c r="W989" s="600"/>
      <c r="X989" s="600"/>
      <c r="Y989" s="600"/>
      <c r="Z989" s="600"/>
      <c r="AA989" s="600"/>
      <c r="AB989" s="600"/>
      <c r="AC989" s="378">
        <f t="shared" si="444"/>
        <v>446516875</v>
      </c>
      <c r="AD989" s="420"/>
      <c r="AE989" s="692"/>
      <c r="AF989" s="194"/>
      <c r="AG989" s="273"/>
      <c r="AH989" s="273"/>
      <c r="AI989" s="273"/>
    </row>
    <row r="990">
      <c r="A990" s="126"/>
      <c r="B990" s="829"/>
      <c r="C990" s="394">
        <v>69.0</v>
      </c>
      <c r="D990" s="817" t="s">
        <v>1106</v>
      </c>
      <c r="E990" s="198" t="s">
        <v>326</v>
      </c>
      <c r="F990" s="198" t="s">
        <v>103</v>
      </c>
      <c r="G990" s="198" t="s">
        <v>84</v>
      </c>
      <c r="H990" s="198" t="s">
        <v>84</v>
      </c>
      <c r="I990" s="198" t="s">
        <v>187</v>
      </c>
      <c r="J990" s="198" t="s">
        <v>188</v>
      </c>
      <c r="K990" s="853" t="s">
        <v>735</v>
      </c>
      <c r="L990" s="709">
        <v>2.622932E9</v>
      </c>
      <c r="M990" s="479" t="s">
        <v>1107</v>
      </c>
      <c r="N990" s="438"/>
      <c r="O990" s="438" t="s">
        <v>1108</v>
      </c>
      <c r="P990" s="438" t="s">
        <v>1108</v>
      </c>
      <c r="Q990" s="710"/>
      <c r="R990" s="710"/>
      <c r="S990" s="710"/>
      <c r="T990" s="710"/>
      <c r="U990" s="710"/>
      <c r="V990" s="710"/>
      <c r="W990" s="710"/>
      <c r="X990" s="710"/>
      <c r="Y990" s="710"/>
      <c r="Z990" s="710"/>
      <c r="AA990" s="710"/>
      <c r="AB990" s="710"/>
      <c r="AC990" s="440">
        <f t="shared" si="444"/>
        <v>0</v>
      </c>
      <c r="AD990" s="420"/>
      <c r="AE990" s="692"/>
      <c r="AF990" s="754"/>
      <c r="AG990" s="273"/>
      <c r="AH990" s="273"/>
      <c r="AI990" s="273"/>
    </row>
    <row r="991" hidden="1">
      <c r="A991" s="126"/>
      <c r="B991" s="829"/>
      <c r="C991" s="402"/>
      <c r="D991" s="403"/>
      <c r="E991" s="403"/>
      <c r="F991" s="403"/>
      <c r="G991" s="403"/>
      <c r="H991" s="404"/>
      <c r="I991" s="404"/>
      <c r="J991" s="857"/>
      <c r="K991" s="858" t="s">
        <v>735</v>
      </c>
      <c r="L991" s="762"/>
      <c r="M991" s="763"/>
      <c r="N991" s="764"/>
      <c r="O991" s="764"/>
      <c r="P991" s="764"/>
      <c r="Q991" s="448"/>
      <c r="R991" s="448"/>
      <c r="S991" s="448"/>
      <c r="T991" s="448"/>
      <c r="U991" s="448"/>
      <c r="V991" s="448">
        <v>1.311466E8</v>
      </c>
      <c r="W991" s="448">
        <v>2.622932E8</v>
      </c>
      <c r="X991" s="448">
        <v>3.934398E8</v>
      </c>
      <c r="Y991" s="448">
        <v>5.245864E8</v>
      </c>
      <c r="Z991" s="448">
        <v>6.55733E8</v>
      </c>
      <c r="AA991" s="448">
        <v>6.55733E8</v>
      </c>
      <c r="AB991" s="448"/>
      <c r="AC991" s="449">
        <f>sum(Q991:AB991)</f>
        <v>2622932000</v>
      </c>
      <c r="AD991" s="420"/>
      <c r="AE991" s="692"/>
      <c r="AF991" s="273"/>
      <c r="AG991" s="273"/>
      <c r="AH991" s="273"/>
      <c r="AI991" s="273"/>
    </row>
    <row r="992" hidden="1">
      <c r="A992" s="126"/>
      <c r="B992" s="829"/>
      <c r="C992" s="413"/>
      <c r="D992" s="250" t="s">
        <v>1109</v>
      </c>
      <c r="E992" s="414"/>
      <c r="F992" s="414"/>
      <c r="G992" s="414"/>
      <c r="H992" s="415"/>
      <c r="I992" s="415"/>
      <c r="J992" s="416"/>
      <c r="K992" s="222" t="s">
        <v>735</v>
      </c>
      <c r="L992" s="862"/>
      <c r="M992" s="418"/>
      <c r="N992" s="419"/>
      <c r="O992" s="419"/>
      <c r="P992" s="419"/>
      <c r="Q992" s="600">
        <v>0.0</v>
      </c>
      <c r="R992" s="600">
        <v>0.0</v>
      </c>
      <c r="S992" s="600">
        <v>0.0</v>
      </c>
      <c r="T992" s="452"/>
      <c r="U992" s="452"/>
      <c r="V992" s="452"/>
      <c r="W992" s="452"/>
      <c r="X992" s="452"/>
      <c r="Y992" s="452"/>
      <c r="Z992" s="452"/>
      <c r="AA992" s="452"/>
      <c r="AB992" s="452"/>
      <c r="AC992" s="538">
        <f t="shared" ref="AC992:AC994" si="445">SUM(Q992:AB992)</f>
        <v>0</v>
      </c>
      <c r="AD992" s="420"/>
      <c r="AE992" s="849"/>
      <c r="AF992" s="194"/>
      <c r="AG992" s="420"/>
      <c r="AH992" s="420"/>
      <c r="AI992" s="420"/>
    </row>
    <row r="993" hidden="1">
      <c r="A993" s="391"/>
      <c r="B993" s="829"/>
      <c r="C993" s="413"/>
      <c r="D993" s="286" t="s">
        <v>194</v>
      </c>
      <c r="E993" s="414"/>
      <c r="F993" s="414"/>
      <c r="G993" s="414"/>
      <c r="H993" s="415"/>
      <c r="I993" s="415"/>
      <c r="J993" s="416"/>
      <c r="K993" s="222" t="s">
        <v>735</v>
      </c>
      <c r="L993" s="417"/>
      <c r="M993" s="799"/>
      <c r="N993" s="800"/>
      <c r="O993" s="800"/>
      <c r="P993" s="800"/>
      <c r="Q993" s="229"/>
      <c r="R993" s="229"/>
      <c r="S993" s="229"/>
      <c r="T993" s="452"/>
      <c r="U993" s="452"/>
      <c r="V993" s="452"/>
      <c r="W993" s="452"/>
      <c r="X993" s="452"/>
      <c r="Y993" s="452"/>
      <c r="Z993" s="452"/>
      <c r="AA993" s="452"/>
      <c r="AB993" s="452"/>
      <c r="AC993" s="378">
        <f t="shared" si="445"/>
        <v>0</v>
      </c>
      <c r="AD993" s="420"/>
      <c r="AE993" s="353"/>
      <c r="AF993" s="194"/>
      <c r="AG993" s="273"/>
      <c r="AH993" s="273"/>
      <c r="AI993" s="273"/>
    </row>
    <row r="994" hidden="1">
      <c r="A994" s="391"/>
      <c r="B994" s="829"/>
      <c r="C994" s="413"/>
      <c r="D994" s="286" t="s">
        <v>1110</v>
      </c>
      <c r="E994" s="414"/>
      <c r="F994" s="414"/>
      <c r="G994" s="414"/>
      <c r="H994" s="415"/>
      <c r="I994" s="415"/>
      <c r="J994" s="416"/>
      <c r="K994" s="222" t="s">
        <v>735</v>
      </c>
      <c r="L994" s="417"/>
      <c r="M994" s="799"/>
      <c r="N994" s="800"/>
      <c r="O994" s="800"/>
      <c r="P994" s="800"/>
      <c r="Q994" s="229"/>
      <c r="R994" s="229"/>
      <c r="S994" s="229"/>
      <c r="T994" s="452"/>
      <c r="U994" s="452"/>
      <c r="V994" s="452"/>
      <c r="W994" s="452"/>
      <c r="X994" s="452"/>
      <c r="Y994" s="452"/>
      <c r="Z994" s="452"/>
      <c r="AA994" s="452"/>
      <c r="AB994" s="452"/>
      <c r="AC994" s="378">
        <f t="shared" si="445"/>
        <v>0</v>
      </c>
      <c r="AD994" s="420"/>
      <c r="AE994" s="353"/>
      <c r="AF994" s="194"/>
      <c r="AG994" s="273"/>
      <c r="AH994" s="273"/>
      <c r="AI994" s="273"/>
    </row>
    <row r="995">
      <c r="A995" s="391"/>
      <c r="B995" s="393"/>
      <c r="C995" s="394">
        <v>70.0</v>
      </c>
      <c r="D995" s="868" t="s">
        <v>1111</v>
      </c>
      <c r="E995" s="198" t="s">
        <v>326</v>
      </c>
      <c r="F995" s="198" t="s">
        <v>305</v>
      </c>
      <c r="G995" s="198" t="s">
        <v>327</v>
      </c>
      <c r="H995" s="198" t="s">
        <v>328</v>
      </c>
      <c r="I995" s="198" t="s">
        <v>187</v>
      </c>
      <c r="J995" s="198" t="s">
        <v>188</v>
      </c>
      <c r="K995" s="396" t="s">
        <v>735</v>
      </c>
      <c r="L995" s="397"/>
      <c r="M995" s="558"/>
      <c r="N995" s="399"/>
      <c r="O995" s="399"/>
      <c r="P995" s="399"/>
      <c r="Q995" s="793">
        <v>1.580572838E9</v>
      </c>
      <c r="R995" s="793">
        <v>1.580572838E9</v>
      </c>
      <c r="S995" s="793">
        <v>1.580572838E9</v>
      </c>
      <c r="T995" s="793">
        <v>1.580572838E9</v>
      </c>
      <c r="U995" s="793">
        <v>1.580572838E9</v>
      </c>
      <c r="V995" s="793">
        <v>1.580572838E9</v>
      </c>
      <c r="W995" s="793">
        <v>1.580572838E9</v>
      </c>
      <c r="X995" s="793">
        <v>1.580572838E9</v>
      </c>
      <c r="Y995" s="793">
        <v>1.580572838E9</v>
      </c>
      <c r="Z995" s="793">
        <v>1.580572838E9</v>
      </c>
      <c r="AA995" s="793">
        <v>1.580572838E9</v>
      </c>
      <c r="AB995" s="793">
        <v>1.580572838E9</v>
      </c>
      <c r="AC995" s="794">
        <v>1.8966874056E10</v>
      </c>
      <c r="AD995" s="178">
        <f>SUM(Q995:AB995)-AC995</f>
        <v>0</v>
      </c>
      <c r="AE995" s="692"/>
      <c r="AF995" s="725">
        <v>1.8966874056E10</v>
      </c>
      <c r="AG995" s="273"/>
      <c r="AH995" s="273"/>
      <c r="AI995" s="273"/>
    </row>
    <row r="996" hidden="1">
      <c r="A996" s="391"/>
      <c r="B996" s="393"/>
      <c r="C996" s="402"/>
      <c r="D996" s="403"/>
      <c r="E996" s="403"/>
      <c r="F996" s="403"/>
      <c r="G996" s="403"/>
      <c r="H996" s="404"/>
      <c r="I996" s="404"/>
      <c r="J996" s="869"/>
      <c r="K996" s="870" t="s">
        <v>735</v>
      </c>
      <c r="L996" s="407"/>
      <c r="M996" s="408"/>
      <c r="N996" s="409"/>
      <c r="O996" s="409"/>
      <c r="P996" s="409"/>
      <c r="Q996" s="249"/>
      <c r="R996" s="249"/>
      <c r="S996" s="249"/>
      <c r="T996" s="212"/>
      <c r="U996" s="212"/>
      <c r="V996" s="212"/>
      <c r="W996" s="212"/>
      <c r="X996" s="212"/>
      <c r="Y996" s="212"/>
      <c r="Z996" s="212"/>
      <c r="AA996" s="212"/>
      <c r="AB996" s="212"/>
      <c r="AC996" s="213"/>
      <c r="AD996" s="420"/>
      <c r="AE996" s="411"/>
      <c r="AF996" s="412"/>
      <c r="AG996" s="412"/>
      <c r="AH996" s="412"/>
      <c r="AI996" s="412"/>
    </row>
    <row r="997" hidden="1">
      <c r="A997" s="126"/>
      <c r="B997" s="393"/>
      <c r="C997" s="413"/>
      <c r="D997" s="250" t="s">
        <v>1112</v>
      </c>
      <c r="E997" s="414"/>
      <c r="F997" s="414"/>
      <c r="G997" s="414"/>
      <c r="H997" s="415"/>
      <c r="I997" s="415"/>
      <c r="J997" s="416"/>
      <c r="K997" s="222" t="s">
        <v>735</v>
      </c>
      <c r="L997" s="862"/>
      <c r="M997" s="418"/>
      <c r="N997" s="871"/>
      <c r="O997" s="871"/>
      <c r="P997" s="419"/>
      <c r="Q997" s="228"/>
      <c r="R997" s="228"/>
      <c r="S997" s="228"/>
      <c r="T997" s="228"/>
      <c r="U997" s="228"/>
      <c r="V997" s="228"/>
      <c r="W997" s="230"/>
      <c r="X997" s="230"/>
      <c r="Y997" s="230"/>
      <c r="Z997" s="230"/>
      <c r="AA997" s="230"/>
      <c r="AB997" s="230"/>
      <c r="AC997" s="378">
        <f t="shared" ref="AC997:AC1014" si="446">SUM(Q997:AB997)</f>
        <v>0</v>
      </c>
      <c r="AD997" s="420"/>
      <c r="AE997" s="241"/>
      <c r="AF997" s="194"/>
      <c r="AG997" s="194"/>
      <c r="AH997" s="194"/>
      <c r="AI997" s="194"/>
    </row>
    <row r="998" hidden="1">
      <c r="A998" s="126"/>
      <c r="B998" s="393"/>
      <c r="C998" s="413"/>
      <c r="D998" s="286" t="s">
        <v>194</v>
      </c>
      <c r="E998" s="414"/>
      <c r="F998" s="414"/>
      <c r="G998" s="414"/>
      <c r="H998" s="415"/>
      <c r="I998" s="415"/>
      <c r="J998" s="416"/>
      <c r="K998" s="222" t="s">
        <v>735</v>
      </c>
      <c r="L998" s="862"/>
      <c r="M998" s="418"/>
      <c r="N998" s="871"/>
      <c r="O998" s="871"/>
      <c r="P998" s="419"/>
      <c r="Q998" s="228"/>
      <c r="R998" s="228"/>
      <c r="S998" s="228"/>
      <c r="T998" s="228"/>
      <c r="U998" s="228"/>
      <c r="V998" s="228"/>
      <c r="W998" s="452"/>
      <c r="X998" s="452"/>
      <c r="Y998" s="452"/>
      <c r="Z998" s="452"/>
      <c r="AA998" s="452"/>
      <c r="AB998" s="452"/>
      <c r="AC998" s="378">
        <f t="shared" si="446"/>
        <v>0</v>
      </c>
      <c r="AD998" s="420"/>
      <c r="AE998" s="241"/>
      <c r="AF998" s="194"/>
      <c r="AG998" s="194"/>
      <c r="AH998" s="194"/>
      <c r="AI998" s="194"/>
    </row>
    <row r="999" hidden="1">
      <c r="A999" s="126"/>
      <c r="B999" s="393"/>
      <c r="C999" s="413"/>
      <c r="D999" s="286" t="s">
        <v>1113</v>
      </c>
      <c r="E999" s="414"/>
      <c r="F999" s="414"/>
      <c r="G999" s="414"/>
      <c r="H999" s="415"/>
      <c r="I999" s="415"/>
      <c r="J999" s="416"/>
      <c r="K999" s="222" t="s">
        <v>735</v>
      </c>
      <c r="L999" s="862"/>
      <c r="M999" s="418"/>
      <c r="N999" s="871"/>
      <c r="O999" s="871"/>
      <c r="P999" s="419"/>
      <c r="Q999" s="228"/>
      <c r="R999" s="228"/>
      <c r="S999" s="228"/>
      <c r="T999" s="228"/>
      <c r="U999" s="228"/>
      <c r="V999" s="228"/>
      <c r="W999" s="452"/>
      <c r="X999" s="452"/>
      <c r="Y999" s="452"/>
      <c r="Z999" s="452"/>
      <c r="AA999" s="452"/>
      <c r="AB999" s="452"/>
      <c r="AC999" s="378">
        <f t="shared" si="446"/>
        <v>0</v>
      </c>
      <c r="AD999" s="420"/>
      <c r="AE999" s="241"/>
      <c r="AF999" s="194"/>
      <c r="AG999" s="194"/>
      <c r="AH999" s="194"/>
      <c r="AI999" s="194"/>
    </row>
    <row r="1000">
      <c r="A1000" s="391"/>
      <c r="B1000" s="393"/>
      <c r="C1000" s="394">
        <v>71.0</v>
      </c>
      <c r="D1000" s="395" t="s">
        <v>1114</v>
      </c>
      <c r="E1000" s="198" t="s">
        <v>186</v>
      </c>
      <c r="F1000" s="198" t="s">
        <v>98</v>
      </c>
      <c r="G1000" s="198" t="s">
        <v>320</v>
      </c>
      <c r="H1000" s="198" t="s">
        <v>320</v>
      </c>
      <c r="I1000" s="198" t="s">
        <v>253</v>
      </c>
      <c r="J1000" s="198" t="s">
        <v>254</v>
      </c>
      <c r="K1000" s="396" t="s">
        <v>735</v>
      </c>
      <c r="L1000" s="397" t="s">
        <v>1115</v>
      </c>
      <c r="M1000" s="558" t="s">
        <v>1116</v>
      </c>
      <c r="N1000" s="399"/>
      <c r="O1000" s="399">
        <v>45292.0</v>
      </c>
      <c r="P1000" s="399">
        <v>48944.0</v>
      </c>
      <c r="Q1000" s="400">
        <v>6.87448061642E9</v>
      </c>
      <c r="R1000" s="400">
        <v>6.2092082987E9</v>
      </c>
      <c r="S1000" s="400">
        <v>6.87448061642E9</v>
      </c>
      <c r="T1000" s="401"/>
      <c r="U1000" s="401"/>
      <c r="V1000" s="401"/>
      <c r="W1000" s="401"/>
      <c r="X1000" s="401"/>
      <c r="Y1000" s="401"/>
      <c r="Z1000" s="401"/>
      <c r="AA1000" s="401"/>
      <c r="AB1000" s="401"/>
      <c r="AC1000" s="872">
        <f t="shared" si="446"/>
        <v>19958169532</v>
      </c>
      <c r="AD1000" s="178">
        <f>SUM(Q1000:AB1000)-AC1000</f>
        <v>0</v>
      </c>
      <c r="AE1000" s="692"/>
      <c r="AF1000" s="725">
        <v>1.9958169532E10</v>
      </c>
      <c r="AG1000" s="273"/>
      <c r="AH1000" s="273"/>
      <c r="AI1000" s="273"/>
    </row>
    <row r="1001" hidden="1">
      <c r="A1001" s="391"/>
      <c r="B1001" s="393"/>
      <c r="C1001" s="402"/>
      <c r="D1001" s="403"/>
      <c r="E1001" s="403"/>
      <c r="F1001" s="403"/>
      <c r="G1001" s="403"/>
      <c r="H1001" s="404"/>
      <c r="I1001" s="404"/>
      <c r="J1001" s="869"/>
      <c r="K1001" s="870" t="s">
        <v>735</v>
      </c>
      <c r="L1001" s="407"/>
      <c r="M1001" s="408"/>
      <c r="N1001" s="409"/>
      <c r="O1001" s="409"/>
      <c r="P1001" s="409"/>
      <c r="Q1001" s="249">
        <f t="shared" ref="Q1001:S1001" si="447">Q1000</f>
        <v>6874480616</v>
      </c>
      <c r="R1001" s="249">
        <f t="shared" si="447"/>
        <v>6209208299</v>
      </c>
      <c r="S1001" s="249">
        <f t="shared" si="447"/>
        <v>6874480616</v>
      </c>
      <c r="T1001" s="212"/>
      <c r="U1001" s="212"/>
      <c r="V1001" s="212"/>
      <c r="W1001" s="212"/>
      <c r="X1001" s="212"/>
      <c r="Y1001" s="212"/>
      <c r="Z1001" s="212"/>
      <c r="AA1001" s="212"/>
      <c r="AB1001" s="212"/>
      <c r="AC1001" s="213">
        <f t="shared" si="446"/>
        <v>19958169532</v>
      </c>
      <c r="AD1001" s="420"/>
      <c r="AE1001" s="411"/>
      <c r="AF1001" s="412"/>
      <c r="AG1001" s="412"/>
      <c r="AH1001" s="412"/>
      <c r="AI1001" s="412"/>
    </row>
    <row r="1002" hidden="1">
      <c r="A1002" s="126"/>
      <c r="B1002" s="393"/>
      <c r="C1002" s="413"/>
      <c r="D1002" s="250" t="s">
        <v>1117</v>
      </c>
      <c r="E1002" s="414"/>
      <c r="F1002" s="414"/>
      <c r="G1002" s="414"/>
      <c r="H1002" s="415"/>
      <c r="I1002" s="415"/>
      <c r="J1002" s="416"/>
      <c r="K1002" s="222" t="s">
        <v>735</v>
      </c>
      <c r="L1002" s="862"/>
      <c r="M1002" s="418"/>
      <c r="N1002" s="871"/>
      <c r="O1002" s="871"/>
      <c r="P1002" s="419"/>
      <c r="Q1002" s="228">
        <v>8.07126655916E9</v>
      </c>
      <c r="R1002" s="228">
        <v>6.96041021393E9</v>
      </c>
      <c r="S1002" s="228">
        <v>6.42125564697E9</v>
      </c>
      <c r="T1002" s="228">
        <v>7.27776963831E9</v>
      </c>
      <c r="U1002" s="228">
        <v>6.98427735595E9</v>
      </c>
      <c r="V1002" s="228">
        <v>6.23973818856E9</v>
      </c>
      <c r="W1002" s="230"/>
      <c r="X1002" s="230"/>
      <c r="Y1002" s="230"/>
      <c r="Z1002" s="230"/>
      <c r="AA1002" s="230"/>
      <c r="AB1002" s="230"/>
      <c r="AC1002" s="231">
        <f t="shared" si="446"/>
        <v>41954717603</v>
      </c>
      <c r="AD1002" s="420"/>
      <c r="AE1002" s="241"/>
      <c r="AF1002" s="194"/>
      <c r="AG1002" s="194"/>
      <c r="AH1002" s="194"/>
      <c r="AI1002" s="194"/>
    </row>
    <row r="1003" hidden="1">
      <c r="A1003" s="126"/>
      <c r="B1003" s="393"/>
      <c r="C1003" s="413"/>
      <c r="D1003" s="286" t="s">
        <v>194</v>
      </c>
      <c r="E1003" s="414"/>
      <c r="F1003" s="414"/>
      <c r="G1003" s="414"/>
      <c r="H1003" s="415"/>
      <c r="I1003" s="415"/>
      <c r="J1003" s="416"/>
      <c r="K1003" s="222" t="s">
        <v>735</v>
      </c>
      <c r="L1003" s="862"/>
      <c r="M1003" s="418"/>
      <c r="N1003" s="871"/>
      <c r="O1003" s="871"/>
      <c r="P1003" s="419"/>
      <c r="Q1003" s="228">
        <v>8.07126655916E9</v>
      </c>
      <c r="R1003" s="228">
        <v>6.96041021393E9</v>
      </c>
      <c r="S1003" s="228">
        <v>6.42125564697E9</v>
      </c>
      <c r="T1003" s="228">
        <v>7.27776963831E9</v>
      </c>
      <c r="U1003" s="228">
        <v>6.98427735595E9</v>
      </c>
      <c r="V1003" s="228">
        <v>6.23973818856E9</v>
      </c>
      <c r="W1003" s="452"/>
      <c r="X1003" s="452"/>
      <c r="Y1003" s="452"/>
      <c r="Z1003" s="452"/>
      <c r="AA1003" s="452"/>
      <c r="AB1003" s="452"/>
      <c r="AC1003" s="378">
        <f t="shared" si="446"/>
        <v>41954717603</v>
      </c>
      <c r="AD1003" s="420"/>
      <c r="AE1003" s="241"/>
      <c r="AF1003" s="194"/>
      <c r="AG1003" s="194"/>
      <c r="AH1003" s="194"/>
      <c r="AI1003" s="194"/>
    </row>
    <row r="1004" hidden="1">
      <c r="A1004" s="126"/>
      <c r="B1004" s="393"/>
      <c r="C1004" s="413"/>
      <c r="D1004" s="286" t="s">
        <v>1118</v>
      </c>
      <c r="E1004" s="414"/>
      <c r="F1004" s="414"/>
      <c r="G1004" s="414"/>
      <c r="H1004" s="415"/>
      <c r="I1004" s="415"/>
      <c r="J1004" s="416"/>
      <c r="K1004" s="222" t="s">
        <v>735</v>
      </c>
      <c r="L1004" s="862"/>
      <c r="M1004" s="418"/>
      <c r="N1004" s="871"/>
      <c r="O1004" s="871"/>
      <c r="P1004" s="419"/>
      <c r="Q1004" s="228">
        <v>8.07126655916E9</v>
      </c>
      <c r="R1004" s="228">
        <v>6.96041021393E9</v>
      </c>
      <c r="S1004" s="228">
        <v>6.42125564697E9</v>
      </c>
      <c r="T1004" s="228">
        <v>7.27776963831E9</v>
      </c>
      <c r="U1004" s="228">
        <v>6.98427735595E9</v>
      </c>
      <c r="V1004" s="228">
        <v>6.23973818856E9</v>
      </c>
      <c r="W1004" s="452"/>
      <c r="X1004" s="452"/>
      <c r="Y1004" s="452"/>
      <c r="Z1004" s="452"/>
      <c r="AA1004" s="452"/>
      <c r="AB1004" s="452"/>
      <c r="AC1004" s="378">
        <f t="shared" si="446"/>
        <v>41954717603</v>
      </c>
      <c r="AD1004" s="420"/>
      <c r="AE1004" s="241"/>
      <c r="AF1004" s="194"/>
      <c r="AG1004" s="194"/>
      <c r="AH1004" s="194"/>
      <c r="AI1004" s="194"/>
    </row>
    <row r="1005">
      <c r="A1005" s="391"/>
      <c r="B1005" s="393"/>
      <c r="C1005" s="394">
        <v>72.0</v>
      </c>
      <c r="D1005" s="873" t="s">
        <v>1119</v>
      </c>
      <c r="E1005" s="198" t="s">
        <v>186</v>
      </c>
      <c r="F1005" s="198" t="s">
        <v>98</v>
      </c>
      <c r="G1005" s="198" t="s">
        <v>320</v>
      </c>
      <c r="H1005" s="198" t="s">
        <v>320</v>
      </c>
      <c r="I1005" s="198" t="s">
        <v>253</v>
      </c>
      <c r="J1005" s="198" t="s">
        <v>254</v>
      </c>
      <c r="K1005" s="874" t="s">
        <v>735</v>
      </c>
      <c r="L1005" s="875"/>
      <c r="M1005" s="876"/>
      <c r="N1005" s="532"/>
      <c r="O1005" s="532"/>
      <c r="P1005" s="877"/>
      <c r="Q1005" s="400">
        <v>1.66666666666667E8</v>
      </c>
      <c r="R1005" s="400">
        <v>1.66666666666667E8</v>
      </c>
      <c r="S1005" s="400">
        <v>1.66666666666667E8</v>
      </c>
      <c r="T1005" s="878"/>
      <c r="U1005" s="878"/>
      <c r="V1005" s="878"/>
      <c r="W1005" s="401"/>
      <c r="X1005" s="401"/>
      <c r="Y1005" s="401"/>
      <c r="Z1005" s="401"/>
      <c r="AA1005" s="401"/>
      <c r="AB1005" s="401"/>
      <c r="AC1005" s="872">
        <f t="shared" si="446"/>
        <v>500000000</v>
      </c>
      <c r="AD1005" s="178">
        <f>SUM(Q1005:AB1005)-AC1005</f>
        <v>0</v>
      </c>
      <c r="AE1005" s="241"/>
      <c r="AF1005" s="725">
        <v>5.0E8</v>
      </c>
      <c r="AG1005" s="194"/>
      <c r="AH1005" s="194"/>
      <c r="AI1005" s="194"/>
    </row>
    <row r="1006" hidden="1">
      <c r="A1006" s="391"/>
      <c r="B1006" s="393"/>
      <c r="C1006" s="402"/>
      <c r="D1006" s="801" t="s">
        <v>1120</v>
      </c>
      <c r="E1006" s="403"/>
      <c r="F1006" s="403"/>
      <c r="G1006" s="403"/>
      <c r="H1006" s="404"/>
      <c r="I1006" s="404"/>
      <c r="J1006" s="869"/>
      <c r="K1006" s="870" t="s">
        <v>735</v>
      </c>
      <c r="L1006" s="879"/>
      <c r="M1006" s="408"/>
      <c r="N1006" s="880"/>
      <c r="O1006" s="880"/>
      <c r="P1006" s="409"/>
      <c r="Q1006" s="448"/>
      <c r="R1006" s="448"/>
      <c r="S1006" s="448"/>
      <c r="T1006" s="448"/>
      <c r="U1006" s="448"/>
      <c r="V1006" s="448"/>
      <c r="W1006" s="447"/>
      <c r="X1006" s="447"/>
      <c r="Y1006" s="447"/>
      <c r="Z1006" s="447"/>
      <c r="AA1006" s="447"/>
      <c r="AB1006" s="447"/>
      <c r="AC1006" s="628">
        <f t="shared" si="446"/>
        <v>0</v>
      </c>
      <c r="AD1006" s="420"/>
      <c r="AE1006" s="411"/>
      <c r="AF1006" s="412"/>
      <c r="AG1006" s="412"/>
      <c r="AH1006" s="412"/>
      <c r="AI1006" s="412"/>
    </row>
    <row r="1007" hidden="1">
      <c r="A1007" s="391"/>
      <c r="B1007" s="393"/>
      <c r="C1007" s="413"/>
      <c r="D1007" s="250" t="s">
        <v>1121</v>
      </c>
      <c r="E1007" s="414"/>
      <c r="F1007" s="414"/>
      <c r="G1007" s="414"/>
      <c r="H1007" s="415"/>
      <c r="I1007" s="415"/>
      <c r="J1007" s="416"/>
      <c r="K1007" s="222" t="s">
        <v>735</v>
      </c>
      <c r="L1007" s="862"/>
      <c r="M1007" s="418"/>
      <c r="N1007" s="871"/>
      <c r="O1007" s="871"/>
      <c r="P1007" s="419"/>
      <c r="Q1007" s="600"/>
      <c r="R1007" s="600"/>
      <c r="S1007" s="600"/>
      <c r="T1007" s="600"/>
      <c r="U1007" s="600"/>
      <c r="V1007" s="600"/>
      <c r="W1007" s="452"/>
      <c r="X1007" s="452"/>
      <c r="Y1007" s="452"/>
      <c r="Z1007" s="452"/>
      <c r="AA1007" s="452"/>
      <c r="AB1007" s="452"/>
      <c r="AC1007" s="538">
        <f t="shared" si="446"/>
        <v>0</v>
      </c>
      <c r="AD1007" s="420"/>
      <c r="AE1007" s="241"/>
      <c r="AF1007" s="194"/>
      <c r="AG1007" s="194"/>
      <c r="AH1007" s="194"/>
      <c r="AI1007" s="194"/>
    </row>
    <row r="1008" hidden="1">
      <c r="A1008" s="391"/>
      <c r="B1008" s="393"/>
      <c r="C1008" s="394"/>
      <c r="D1008" s="286" t="s">
        <v>194</v>
      </c>
      <c r="E1008" s="881"/>
      <c r="F1008" s="881"/>
      <c r="G1008" s="881"/>
      <c r="H1008" s="882"/>
      <c r="I1008" s="882"/>
      <c r="J1008" s="883"/>
      <c r="K1008" s="222" t="s">
        <v>735</v>
      </c>
      <c r="L1008" s="862"/>
      <c r="M1008" s="418"/>
      <c r="N1008" s="871"/>
      <c r="O1008" s="871"/>
      <c r="P1008" s="419"/>
      <c r="Q1008" s="600"/>
      <c r="R1008" s="600"/>
      <c r="S1008" s="600"/>
      <c r="T1008" s="600"/>
      <c r="U1008" s="600"/>
      <c r="V1008" s="600"/>
      <c r="W1008" s="452"/>
      <c r="X1008" s="452"/>
      <c r="Y1008" s="452"/>
      <c r="Z1008" s="452"/>
      <c r="AA1008" s="452"/>
      <c r="AB1008" s="452"/>
      <c r="AC1008" s="538">
        <f t="shared" si="446"/>
        <v>0</v>
      </c>
      <c r="AD1008" s="420"/>
      <c r="AE1008" s="241"/>
      <c r="AF1008" s="194"/>
      <c r="AG1008" s="194"/>
      <c r="AH1008" s="194"/>
      <c r="AI1008" s="194"/>
    </row>
    <row r="1009" hidden="1">
      <c r="A1009" s="391"/>
      <c r="B1009" s="393"/>
      <c r="C1009" s="394"/>
      <c r="D1009" s="286" t="s">
        <v>1122</v>
      </c>
      <c r="E1009" s="881"/>
      <c r="F1009" s="881"/>
      <c r="G1009" s="881"/>
      <c r="H1009" s="882"/>
      <c r="I1009" s="882"/>
      <c r="J1009" s="883"/>
      <c r="K1009" s="222" t="s">
        <v>735</v>
      </c>
      <c r="L1009" s="862"/>
      <c r="M1009" s="418"/>
      <c r="N1009" s="871"/>
      <c r="O1009" s="871"/>
      <c r="P1009" s="419"/>
      <c r="Q1009" s="600"/>
      <c r="R1009" s="600"/>
      <c r="S1009" s="600"/>
      <c r="T1009" s="600"/>
      <c r="U1009" s="600"/>
      <c r="V1009" s="600"/>
      <c r="W1009" s="452"/>
      <c r="X1009" s="452"/>
      <c r="Y1009" s="452"/>
      <c r="Z1009" s="452"/>
      <c r="AA1009" s="452"/>
      <c r="AB1009" s="452"/>
      <c r="AC1009" s="538">
        <f t="shared" si="446"/>
        <v>0</v>
      </c>
      <c r="AD1009" s="420"/>
      <c r="AE1009" s="241"/>
      <c r="AF1009" s="194"/>
      <c r="AG1009" s="194"/>
      <c r="AH1009" s="194"/>
      <c r="AI1009" s="194"/>
    </row>
    <row r="1010">
      <c r="A1010" s="391"/>
      <c r="B1010" s="393"/>
      <c r="C1010" s="394">
        <v>73.0</v>
      </c>
      <c r="D1010" s="884" t="s">
        <v>1123</v>
      </c>
      <c r="E1010" s="198" t="s">
        <v>186</v>
      </c>
      <c r="F1010" s="198" t="s">
        <v>98</v>
      </c>
      <c r="G1010" s="198" t="s">
        <v>320</v>
      </c>
      <c r="H1010" s="198" t="s">
        <v>320</v>
      </c>
      <c r="I1010" s="198" t="s">
        <v>253</v>
      </c>
      <c r="J1010" s="198" t="s">
        <v>254</v>
      </c>
      <c r="K1010" s="396" t="s">
        <v>735</v>
      </c>
      <c r="L1010" s="397" t="s">
        <v>1124</v>
      </c>
      <c r="M1010" s="398" t="s">
        <v>1125</v>
      </c>
      <c r="N1010" s="399"/>
      <c r="O1010" s="399"/>
      <c r="P1010" s="399"/>
      <c r="Q1010" s="400">
        <v>1.4896182E8</v>
      </c>
      <c r="R1010" s="400">
        <v>1.3454616E8</v>
      </c>
      <c r="S1010" s="400">
        <v>1.4896182E8</v>
      </c>
      <c r="T1010" s="401"/>
      <c r="U1010" s="401"/>
      <c r="V1010" s="401"/>
      <c r="W1010" s="401"/>
      <c r="X1010" s="401"/>
      <c r="Y1010" s="401"/>
      <c r="Z1010" s="401"/>
      <c r="AA1010" s="401"/>
      <c r="AB1010" s="401"/>
      <c r="AC1010" s="872">
        <f t="shared" si="446"/>
        <v>432469800</v>
      </c>
      <c r="AD1010" s="178">
        <f>SUM(Q1010:AB1010)-AC1010</f>
        <v>0</v>
      </c>
      <c r="AE1010" s="241"/>
      <c r="AF1010" s="725">
        <v>4.324698E8</v>
      </c>
      <c r="AG1010" s="194"/>
      <c r="AH1010" s="194"/>
      <c r="AI1010" s="194"/>
    </row>
    <row r="1011" hidden="1">
      <c r="A1011" s="391"/>
      <c r="B1011" s="393"/>
      <c r="C1011" s="402"/>
      <c r="D1011" s="801"/>
      <c r="E1011" s="403"/>
      <c r="F1011" s="403"/>
      <c r="G1011" s="403"/>
      <c r="H1011" s="404"/>
      <c r="I1011" s="404"/>
      <c r="J1011" s="405"/>
      <c r="K1011" s="406" t="s">
        <v>735</v>
      </c>
      <c r="L1011" s="407"/>
      <c r="M1011" s="796"/>
      <c r="N1011" s="733"/>
      <c r="O1011" s="733"/>
      <c r="P1011" s="733"/>
      <c r="Q1011" s="267">
        <f t="shared" ref="Q1011:S1011" si="448">Q1010</f>
        <v>148961820</v>
      </c>
      <c r="R1011" s="267">
        <f t="shared" si="448"/>
        <v>134546160</v>
      </c>
      <c r="S1011" s="267">
        <f t="shared" si="448"/>
        <v>148961820</v>
      </c>
      <c r="T1011" s="268"/>
      <c r="U1011" s="268"/>
      <c r="V1011" s="268"/>
      <c r="W1011" s="268"/>
      <c r="X1011" s="268"/>
      <c r="Y1011" s="268"/>
      <c r="Z1011" s="268"/>
      <c r="AA1011" s="268"/>
      <c r="AB1011" s="268"/>
      <c r="AC1011" s="637">
        <f t="shared" si="446"/>
        <v>432469800</v>
      </c>
      <c r="AD1011" s="420"/>
      <c r="AE1011" s="411"/>
      <c r="AF1011" s="412"/>
      <c r="AG1011" s="412"/>
      <c r="AH1011" s="412"/>
      <c r="AI1011" s="412"/>
    </row>
    <row r="1012" hidden="1">
      <c r="A1012" s="391"/>
      <c r="B1012" s="393"/>
      <c r="C1012" s="413"/>
      <c r="D1012" s="250" t="s">
        <v>1126</v>
      </c>
      <c r="E1012" s="414"/>
      <c r="F1012" s="414"/>
      <c r="G1012" s="414"/>
      <c r="H1012" s="415"/>
      <c r="I1012" s="415"/>
      <c r="J1012" s="416"/>
      <c r="K1012" s="222" t="s">
        <v>735</v>
      </c>
      <c r="L1012" s="798"/>
      <c r="M1012" s="799"/>
      <c r="N1012" s="800"/>
      <c r="O1012" s="800"/>
      <c r="P1012" s="800"/>
      <c r="Q1012" s="229"/>
      <c r="R1012" s="229"/>
      <c r="S1012" s="229"/>
      <c r="T1012" s="600">
        <v>1.0E9</v>
      </c>
      <c r="U1012" s="452"/>
      <c r="V1012" s="452"/>
      <c r="W1012" s="452"/>
      <c r="X1012" s="452"/>
      <c r="Y1012" s="452"/>
      <c r="Z1012" s="452"/>
      <c r="AA1012" s="452"/>
      <c r="AB1012" s="452"/>
      <c r="AC1012" s="538">
        <f t="shared" si="446"/>
        <v>1000000000</v>
      </c>
      <c r="AD1012" s="420"/>
      <c r="AE1012" s="241"/>
      <c r="AF1012" s="194"/>
      <c r="AG1012" s="194"/>
      <c r="AH1012" s="194"/>
      <c r="AI1012" s="194"/>
    </row>
    <row r="1013" hidden="1">
      <c r="A1013" s="391"/>
      <c r="B1013" s="393"/>
      <c r="C1013" s="413"/>
      <c r="D1013" s="286" t="s">
        <v>194</v>
      </c>
      <c r="E1013" s="414"/>
      <c r="F1013" s="414"/>
      <c r="G1013" s="414"/>
      <c r="H1013" s="415"/>
      <c r="I1013" s="415"/>
      <c r="J1013" s="416"/>
      <c r="K1013" s="222" t="s">
        <v>735</v>
      </c>
      <c r="L1013" s="417"/>
      <c r="M1013" s="799"/>
      <c r="N1013" s="800"/>
      <c r="O1013" s="800"/>
      <c r="P1013" s="800"/>
      <c r="Q1013" s="229"/>
      <c r="R1013" s="229"/>
      <c r="S1013" s="229"/>
      <c r="T1013" s="600">
        <v>1.0E9</v>
      </c>
      <c r="U1013" s="452"/>
      <c r="V1013" s="452"/>
      <c r="W1013" s="452"/>
      <c r="X1013" s="452"/>
      <c r="Y1013" s="452"/>
      <c r="Z1013" s="452"/>
      <c r="AA1013" s="452"/>
      <c r="AB1013" s="452"/>
      <c r="AC1013" s="378">
        <f t="shared" si="446"/>
        <v>1000000000</v>
      </c>
      <c r="AD1013" s="420"/>
      <c r="AE1013" s="241"/>
      <c r="AF1013" s="194"/>
      <c r="AG1013" s="194"/>
      <c r="AH1013" s="194"/>
      <c r="AI1013" s="194"/>
    </row>
    <row r="1014" hidden="1">
      <c r="A1014" s="391"/>
      <c r="B1014" s="393"/>
      <c r="C1014" s="413"/>
      <c r="D1014" s="286" t="s">
        <v>1127</v>
      </c>
      <c r="E1014" s="414"/>
      <c r="F1014" s="414"/>
      <c r="G1014" s="414"/>
      <c r="H1014" s="415"/>
      <c r="I1014" s="415"/>
      <c r="J1014" s="416"/>
      <c r="K1014" s="222" t="s">
        <v>735</v>
      </c>
      <c r="L1014" s="417"/>
      <c r="M1014" s="799"/>
      <c r="N1014" s="800"/>
      <c r="O1014" s="800"/>
      <c r="P1014" s="800"/>
      <c r="Q1014" s="229"/>
      <c r="R1014" s="229"/>
      <c r="S1014" s="229"/>
      <c r="T1014" s="600">
        <v>1.0E9</v>
      </c>
      <c r="U1014" s="452"/>
      <c r="V1014" s="452"/>
      <c r="W1014" s="452"/>
      <c r="X1014" s="452"/>
      <c r="Y1014" s="452"/>
      <c r="Z1014" s="452"/>
      <c r="AA1014" s="452"/>
      <c r="AB1014" s="452"/>
      <c r="AC1014" s="378">
        <f t="shared" si="446"/>
        <v>1000000000</v>
      </c>
      <c r="AD1014" s="420"/>
      <c r="AE1014" s="241"/>
      <c r="AF1014" s="194"/>
      <c r="AG1014" s="194"/>
      <c r="AH1014" s="194"/>
      <c r="AI1014" s="194"/>
    </row>
    <row r="1015">
      <c r="A1015" s="391"/>
      <c r="B1015" s="393"/>
      <c r="C1015" s="394">
        <v>74.0</v>
      </c>
      <c r="D1015" s="885" t="s">
        <v>1128</v>
      </c>
      <c r="E1015" s="198" t="s">
        <v>326</v>
      </c>
      <c r="F1015" s="198" t="s">
        <v>98</v>
      </c>
      <c r="G1015" s="198" t="s">
        <v>98</v>
      </c>
      <c r="H1015" s="198" t="s">
        <v>1129</v>
      </c>
      <c r="I1015" s="198" t="s">
        <v>187</v>
      </c>
      <c r="J1015" s="198" t="s">
        <v>188</v>
      </c>
      <c r="K1015" s="396" t="s">
        <v>735</v>
      </c>
      <c r="L1015" s="397"/>
      <c r="M1015" s="398"/>
      <c r="N1015" s="399"/>
      <c r="O1015" s="399"/>
      <c r="P1015" s="399"/>
      <c r="Q1015" s="793">
        <v>5.625E8</v>
      </c>
      <c r="R1015" s="793">
        <v>5.625E8</v>
      </c>
      <c r="S1015" s="793">
        <v>5.625E8</v>
      </c>
      <c r="T1015" s="793">
        <v>5.625E8</v>
      </c>
      <c r="U1015" s="793">
        <v>5.625E8</v>
      </c>
      <c r="V1015" s="793">
        <v>5.625E8</v>
      </c>
      <c r="W1015" s="793">
        <v>5.625E8</v>
      </c>
      <c r="X1015" s="793">
        <v>5.625E8</v>
      </c>
      <c r="Y1015" s="886"/>
      <c r="Z1015" s="886"/>
      <c r="AA1015" s="886"/>
      <c r="AB1015" s="886"/>
      <c r="AC1015" s="887">
        <v>4.5E9</v>
      </c>
      <c r="AD1015" s="178">
        <f>SUM(Q1015:AB1015)-AC1015</f>
        <v>0</v>
      </c>
      <c r="AE1015" s="241"/>
      <c r="AF1015" s="725">
        <v>4.5E9</v>
      </c>
      <c r="AG1015" s="194"/>
      <c r="AH1015" s="194"/>
      <c r="AI1015" s="194"/>
    </row>
    <row r="1016" hidden="1">
      <c r="A1016" s="391"/>
      <c r="B1016" s="393"/>
      <c r="C1016" s="402"/>
      <c r="D1016" s="795"/>
      <c r="E1016" s="403"/>
      <c r="F1016" s="403"/>
      <c r="G1016" s="403"/>
      <c r="H1016" s="404"/>
      <c r="I1016" s="404"/>
      <c r="J1016" s="405"/>
      <c r="K1016" s="406" t="s">
        <v>735</v>
      </c>
      <c r="L1016" s="407"/>
      <c r="M1016" s="796"/>
      <c r="N1016" s="733"/>
      <c r="O1016" s="733"/>
      <c r="P1016" s="733"/>
      <c r="Q1016" s="267"/>
      <c r="R1016" s="267"/>
      <c r="S1016" s="267"/>
      <c r="T1016" s="268"/>
      <c r="U1016" s="268"/>
      <c r="V1016" s="268"/>
      <c r="W1016" s="268"/>
      <c r="X1016" s="268"/>
      <c r="Y1016" s="268"/>
      <c r="Z1016" s="268"/>
      <c r="AA1016" s="268"/>
      <c r="AB1016" s="268"/>
      <c r="AC1016" s="637"/>
      <c r="AD1016" s="420"/>
      <c r="AE1016" s="411"/>
      <c r="AF1016" s="412"/>
      <c r="AG1016" s="412"/>
      <c r="AH1016" s="412"/>
      <c r="AI1016" s="412"/>
    </row>
    <row r="1017" hidden="1">
      <c r="A1017" s="391"/>
      <c r="B1017" s="393"/>
      <c r="C1017" s="413"/>
      <c r="D1017" s="250" t="s">
        <v>1130</v>
      </c>
      <c r="E1017" s="414"/>
      <c r="F1017" s="414"/>
      <c r="G1017" s="414"/>
      <c r="H1017" s="415"/>
      <c r="I1017" s="415"/>
      <c r="J1017" s="416"/>
      <c r="K1017" s="222" t="s">
        <v>735</v>
      </c>
      <c r="L1017" s="798"/>
      <c r="M1017" s="799"/>
      <c r="N1017" s="800"/>
      <c r="O1017" s="800"/>
      <c r="P1017" s="800"/>
      <c r="Q1017" s="229"/>
      <c r="R1017" s="229"/>
      <c r="S1017" s="229"/>
      <c r="T1017" s="600"/>
      <c r="U1017" s="452"/>
      <c r="V1017" s="452"/>
      <c r="W1017" s="452"/>
      <c r="X1017" s="452"/>
      <c r="Y1017" s="452"/>
      <c r="Z1017" s="452"/>
      <c r="AA1017" s="452"/>
      <c r="AB1017" s="452"/>
      <c r="AC1017" s="378">
        <f t="shared" ref="AC1017:AC1019" si="449">SUM(Q1017:AB1017)</f>
        <v>0</v>
      </c>
      <c r="AD1017" s="420"/>
      <c r="AE1017" s="241"/>
      <c r="AF1017" s="194"/>
      <c r="AG1017" s="194"/>
      <c r="AH1017" s="194"/>
      <c r="AI1017" s="194"/>
    </row>
    <row r="1018" hidden="1">
      <c r="A1018" s="391"/>
      <c r="B1018" s="393"/>
      <c r="C1018" s="413"/>
      <c r="D1018" s="286" t="s">
        <v>194</v>
      </c>
      <c r="E1018" s="414"/>
      <c r="F1018" s="414"/>
      <c r="G1018" s="414"/>
      <c r="H1018" s="415"/>
      <c r="I1018" s="415"/>
      <c r="J1018" s="416"/>
      <c r="K1018" s="222" t="s">
        <v>735</v>
      </c>
      <c r="L1018" s="417"/>
      <c r="M1018" s="799"/>
      <c r="N1018" s="800"/>
      <c r="O1018" s="800"/>
      <c r="P1018" s="800"/>
      <c r="Q1018" s="229"/>
      <c r="R1018" s="229"/>
      <c r="S1018" s="229"/>
      <c r="T1018" s="600"/>
      <c r="U1018" s="452"/>
      <c r="V1018" s="452"/>
      <c r="W1018" s="452"/>
      <c r="X1018" s="452"/>
      <c r="Y1018" s="452"/>
      <c r="Z1018" s="452"/>
      <c r="AA1018" s="452"/>
      <c r="AB1018" s="452"/>
      <c r="AC1018" s="378">
        <f t="shared" si="449"/>
        <v>0</v>
      </c>
      <c r="AD1018" s="420"/>
      <c r="AE1018" s="241"/>
      <c r="AF1018" s="194"/>
      <c r="AG1018" s="194"/>
      <c r="AH1018" s="194"/>
      <c r="AI1018" s="194"/>
    </row>
    <row r="1019" hidden="1">
      <c r="A1019" s="391"/>
      <c r="B1019" s="393"/>
      <c r="C1019" s="413"/>
      <c r="D1019" s="286" t="s">
        <v>1131</v>
      </c>
      <c r="E1019" s="414"/>
      <c r="F1019" s="414"/>
      <c r="G1019" s="414"/>
      <c r="H1019" s="415"/>
      <c r="I1019" s="415"/>
      <c r="J1019" s="416"/>
      <c r="K1019" s="222" t="s">
        <v>735</v>
      </c>
      <c r="L1019" s="417"/>
      <c r="M1019" s="799"/>
      <c r="N1019" s="800"/>
      <c r="O1019" s="800"/>
      <c r="P1019" s="800"/>
      <c r="Q1019" s="229"/>
      <c r="R1019" s="229"/>
      <c r="S1019" s="229"/>
      <c r="T1019" s="600"/>
      <c r="U1019" s="452"/>
      <c r="V1019" s="452"/>
      <c r="W1019" s="452"/>
      <c r="X1019" s="452"/>
      <c r="Y1019" s="452"/>
      <c r="Z1019" s="452"/>
      <c r="AA1019" s="452"/>
      <c r="AB1019" s="452"/>
      <c r="AC1019" s="378">
        <f t="shared" si="449"/>
        <v>0</v>
      </c>
      <c r="AD1019" s="420"/>
      <c r="AE1019" s="241"/>
      <c r="AF1019" s="194"/>
      <c r="AG1019" s="194"/>
      <c r="AH1019" s="194"/>
      <c r="AI1019" s="194"/>
    </row>
    <row r="1020">
      <c r="A1020" s="391"/>
      <c r="B1020" s="393"/>
      <c r="C1020" s="394">
        <v>75.0</v>
      </c>
      <c r="D1020" s="885" t="s">
        <v>1132</v>
      </c>
      <c r="E1020" s="198" t="s">
        <v>326</v>
      </c>
      <c r="F1020" s="198" t="s">
        <v>98</v>
      </c>
      <c r="G1020" s="198" t="s">
        <v>98</v>
      </c>
      <c r="H1020" s="198" t="s">
        <v>1129</v>
      </c>
      <c r="I1020" s="198" t="s">
        <v>187</v>
      </c>
      <c r="J1020" s="198" t="s">
        <v>188</v>
      </c>
      <c r="K1020" s="396" t="s">
        <v>735</v>
      </c>
      <c r="L1020" s="397"/>
      <c r="M1020" s="398"/>
      <c r="N1020" s="399"/>
      <c r="O1020" s="399"/>
      <c r="P1020" s="399"/>
      <c r="Q1020" s="886"/>
      <c r="R1020" s="886"/>
      <c r="S1020" s="793">
        <v>6.5E8</v>
      </c>
      <c r="T1020" s="886"/>
      <c r="U1020" s="886"/>
      <c r="V1020" s="886"/>
      <c r="W1020" s="886"/>
      <c r="X1020" s="886"/>
      <c r="Y1020" s="886"/>
      <c r="Z1020" s="886"/>
      <c r="AA1020" s="886"/>
      <c r="AB1020" s="886"/>
      <c r="AC1020" s="887">
        <v>6.5E8</v>
      </c>
      <c r="AD1020" s="178">
        <f>SUM(Q1020:AB1020)-AC1020</f>
        <v>0</v>
      </c>
      <c r="AE1020" s="241"/>
      <c r="AF1020" s="725">
        <v>6.5E8</v>
      </c>
      <c r="AG1020" s="194"/>
      <c r="AH1020" s="194"/>
      <c r="AI1020" s="194"/>
    </row>
    <row r="1021" hidden="1">
      <c r="A1021" s="391"/>
      <c r="B1021" s="393"/>
      <c r="C1021" s="402"/>
      <c r="D1021" s="795"/>
      <c r="E1021" s="403"/>
      <c r="F1021" s="403"/>
      <c r="G1021" s="403"/>
      <c r="H1021" s="404"/>
      <c r="I1021" s="404"/>
      <c r="J1021" s="405"/>
      <c r="K1021" s="406" t="s">
        <v>735</v>
      </c>
      <c r="L1021" s="407"/>
      <c r="M1021" s="796"/>
      <c r="N1021" s="733"/>
      <c r="O1021" s="733"/>
      <c r="P1021" s="733"/>
      <c r="Q1021" s="267"/>
      <c r="R1021" s="267"/>
      <c r="S1021" s="267"/>
      <c r="T1021" s="268"/>
      <c r="U1021" s="268"/>
      <c r="V1021" s="268"/>
      <c r="W1021" s="268"/>
      <c r="X1021" s="268"/>
      <c r="Y1021" s="268"/>
      <c r="Z1021" s="268"/>
      <c r="AA1021" s="268"/>
      <c r="AB1021" s="268"/>
      <c r="AC1021" s="637"/>
      <c r="AD1021" s="420"/>
      <c r="AE1021" s="411"/>
      <c r="AF1021" s="412"/>
      <c r="AG1021" s="412"/>
      <c r="AH1021" s="412"/>
      <c r="AI1021" s="412"/>
    </row>
    <row r="1022" hidden="1">
      <c r="A1022" s="391"/>
      <c r="B1022" s="393"/>
      <c r="C1022" s="413"/>
      <c r="D1022" s="250" t="s">
        <v>1133</v>
      </c>
      <c r="E1022" s="414"/>
      <c r="F1022" s="414"/>
      <c r="G1022" s="414"/>
      <c r="H1022" s="415"/>
      <c r="I1022" s="415"/>
      <c r="J1022" s="416"/>
      <c r="K1022" s="222" t="s">
        <v>735</v>
      </c>
      <c r="L1022" s="798"/>
      <c r="M1022" s="799"/>
      <c r="N1022" s="800"/>
      <c r="O1022" s="800"/>
      <c r="P1022" s="800"/>
      <c r="Q1022" s="229"/>
      <c r="R1022" s="229"/>
      <c r="S1022" s="229"/>
      <c r="T1022" s="600"/>
      <c r="U1022" s="452"/>
      <c r="V1022" s="452"/>
      <c r="W1022" s="452"/>
      <c r="X1022" s="452"/>
      <c r="Y1022" s="452"/>
      <c r="Z1022" s="452"/>
      <c r="AA1022" s="452"/>
      <c r="AB1022" s="452"/>
      <c r="AC1022" s="378">
        <f t="shared" ref="AC1022:AC1024" si="450">SUM(Q1022:AB1022)</f>
        <v>0</v>
      </c>
      <c r="AD1022" s="420"/>
      <c r="AE1022" s="241"/>
      <c r="AF1022" s="194"/>
      <c r="AG1022" s="194"/>
      <c r="AH1022" s="194"/>
      <c r="AI1022" s="194"/>
    </row>
    <row r="1023" hidden="1">
      <c r="A1023" s="391"/>
      <c r="B1023" s="393"/>
      <c r="C1023" s="413"/>
      <c r="D1023" s="286" t="s">
        <v>194</v>
      </c>
      <c r="E1023" s="414"/>
      <c r="F1023" s="414"/>
      <c r="G1023" s="414"/>
      <c r="H1023" s="415"/>
      <c r="I1023" s="415"/>
      <c r="J1023" s="416"/>
      <c r="K1023" s="222" t="s">
        <v>735</v>
      </c>
      <c r="L1023" s="417"/>
      <c r="M1023" s="799"/>
      <c r="N1023" s="800"/>
      <c r="O1023" s="800"/>
      <c r="P1023" s="800"/>
      <c r="Q1023" s="229"/>
      <c r="R1023" s="229"/>
      <c r="S1023" s="229"/>
      <c r="T1023" s="600"/>
      <c r="U1023" s="452"/>
      <c r="V1023" s="452"/>
      <c r="W1023" s="452"/>
      <c r="X1023" s="452"/>
      <c r="Y1023" s="452"/>
      <c r="Z1023" s="452"/>
      <c r="AA1023" s="452"/>
      <c r="AB1023" s="452"/>
      <c r="AC1023" s="378">
        <f t="shared" si="450"/>
        <v>0</v>
      </c>
      <c r="AD1023" s="420"/>
      <c r="AE1023" s="241"/>
      <c r="AF1023" s="194"/>
      <c r="AG1023" s="194"/>
      <c r="AH1023" s="194"/>
      <c r="AI1023" s="194"/>
    </row>
    <row r="1024" hidden="1">
      <c r="A1024" s="391"/>
      <c r="B1024" s="393"/>
      <c r="C1024" s="413"/>
      <c r="D1024" s="286" t="s">
        <v>1134</v>
      </c>
      <c r="E1024" s="414"/>
      <c r="F1024" s="414"/>
      <c r="G1024" s="414"/>
      <c r="H1024" s="415"/>
      <c r="I1024" s="415"/>
      <c r="J1024" s="416"/>
      <c r="K1024" s="222" t="s">
        <v>735</v>
      </c>
      <c r="L1024" s="417"/>
      <c r="M1024" s="799"/>
      <c r="N1024" s="800"/>
      <c r="O1024" s="800"/>
      <c r="P1024" s="800"/>
      <c r="Q1024" s="229"/>
      <c r="R1024" s="229"/>
      <c r="S1024" s="229"/>
      <c r="T1024" s="600"/>
      <c r="U1024" s="452"/>
      <c r="V1024" s="452"/>
      <c r="W1024" s="452"/>
      <c r="X1024" s="452"/>
      <c r="Y1024" s="452"/>
      <c r="Z1024" s="452"/>
      <c r="AA1024" s="452"/>
      <c r="AB1024" s="452"/>
      <c r="AC1024" s="378">
        <f t="shared" si="450"/>
        <v>0</v>
      </c>
      <c r="AD1024" s="420"/>
      <c r="AE1024" s="241"/>
      <c r="AF1024" s="194"/>
      <c r="AG1024" s="194"/>
      <c r="AH1024" s="194"/>
      <c r="AI1024" s="194"/>
    </row>
    <row r="1025">
      <c r="A1025" s="391"/>
      <c r="B1025" s="393"/>
      <c r="C1025" s="394">
        <v>76.0</v>
      </c>
      <c r="D1025" s="885" t="s">
        <v>1135</v>
      </c>
      <c r="E1025" s="198" t="s">
        <v>326</v>
      </c>
      <c r="F1025" s="198" t="s">
        <v>98</v>
      </c>
      <c r="G1025" s="198" t="s">
        <v>98</v>
      </c>
      <c r="H1025" s="198" t="s">
        <v>1129</v>
      </c>
      <c r="I1025" s="198" t="s">
        <v>187</v>
      </c>
      <c r="J1025" s="198" t="s">
        <v>188</v>
      </c>
      <c r="K1025" s="396" t="s">
        <v>735</v>
      </c>
      <c r="L1025" s="397"/>
      <c r="M1025" s="398"/>
      <c r="N1025" s="399"/>
      <c r="O1025" s="399"/>
      <c r="P1025" s="399"/>
      <c r="Q1025" s="886"/>
      <c r="R1025" s="886"/>
      <c r="S1025" s="886"/>
      <c r="T1025" s="793">
        <v>2.16666667E8</v>
      </c>
      <c r="U1025" s="886"/>
      <c r="V1025" s="886"/>
      <c r="W1025" s="886"/>
      <c r="X1025" s="793">
        <v>2.16666667E8</v>
      </c>
      <c r="Y1025" s="886"/>
      <c r="Z1025" s="886"/>
      <c r="AA1025" s="886"/>
      <c r="AB1025" s="793">
        <v>2.16666667E8</v>
      </c>
      <c r="AC1025" s="794">
        <v>6.5E8</v>
      </c>
      <c r="AD1025" s="178">
        <f>SUM(Q1025:AB1025)-AC1025</f>
        <v>1</v>
      </c>
      <c r="AE1025" s="241"/>
      <c r="AF1025" s="725">
        <v>6.5E8</v>
      </c>
      <c r="AG1025" s="194"/>
      <c r="AH1025" s="194"/>
      <c r="AI1025" s="194"/>
    </row>
    <row r="1026" hidden="1">
      <c r="A1026" s="391"/>
      <c r="B1026" s="393"/>
      <c r="C1026" s="402"/>
      <c r="D1026" s="795"/>
      <c r="E1026" s="403"/>
      <c r="F1026" s="403"/>
      <c r="G1026" s="403"/>
      <c r="H1026" s="404"/>
      <c r="I1026" s="404"/>
      <c r="J1026" s="405"/>
      <c r="K1026" s="406" t="s">
        <v>735</v>
      </c>
      <c r="L1026" s="407"/>
      <c r="M1026" s="796"/>
      <c r="N1026" s="733"/>
      <c r="O1026" s="733"/>
      <c r="P1026" s="733"/>
      <c r="Q1026" s="267"/>
      <c r="R1026" s="267"/>
      <c r="S1026" s="267"/>
      <c r="T1026" s="268"/>
      <c r="U1026" s="268"/>
      <c r="V1026" s="268"/>
      <c r="W1026" s="268"/>
      <c r="X1026" s="268"/>
      <c r="Y1026" s="268"/>
      <c r="Z1026" s="268"/>
      <c r="AA1026" s="268"/>
      <c r="AB1026" s="268"/>
      <c r="AC1026" s="637"/>
      <c r="AD1026" s="420"/>
      <c r="AE1026" s="411"/>
      <c r="AF1026" s="412"/>
      <c r="AG1026" s="412"/>
      <c r="AH1026" s="412"/>
      <c r="AI1026" s="412"/>
    </row>
    <row r="1027" hidden="1">
      <c r="A1027" s="391"/>
      <c r="B1027" s="393"/>
      <c r="C1027" s="413"/>
      <c r="D1027" s="250" t="s">
        <v>1136</v>
      </c>
      <c r="E1027" s="414"/>
      <c r="F1027" s="414"/>
      <c r="G1027" s="414"/>
      <c r="H1027" s="415"/>
      <c r="I1027" s="415"/>
      <c r="J1027" s="416"/>
      <c r="K1027" s="222" t="s">
        <v>735</v>
      </c>
      <c r="L1027" s="798"/>
      <c r="M1027" s="799"/>
      <c r="N1027" s="800"/>
      <c r="O1027" s="800"/>
      <c r="P1027" s="800"/>
      <c r="Q1027" s="229"/>
      <c r="R1027" s="229"/>
      <c r="S1027" s="229"/>
      <c r="T1027" s="600"/>
      <c r="U1027" s="452"/>
      <c r="V1027" s="452"/>
      <c r="W1027" s="452"/>
      <c r="X1027" s="452"/>
      <c r="Y1027" s="452"/>
      <c r="Z1027" s="452"/>
      <c r="AA1027" s="452"/>
      <c r="AB1027" s="452"/>
      <c r="AC1027" s="378">
        <f t="shared" ref="AC1027:AC1029" si="451">SUM(Q1027:AB1027)</f>
        <v>0</v>
      </c>
      <c r="AD1027" s="420"/>
      <c r="AE1027" s="241"/>
      <c r="AF1027" s="194"/>
      <c r="AG1027" s="194"/>
      <c r="AH1027" s="194"/>
      <c r="AI1027" s="194"/>
    </row>
    <row r="1028" hidden="1">
      <c r="A1028" s="391"/>
      <c r="B1028" s="393"/>
      <c r="C1028" s="413"/>
      <c r="D1028" s="286" t="s">
        <v>194</v>
      </c>
      <c r="E1028" s="414"/>
      <c r="F1028" s="414"/>
      <c r="G1028" s="414"/>
      <c r="H1028" s="415"/>
      <c r="I1028" s="415"/>
      <c r="J1028" s="416"/>
      <c r="K1028" s="222" t="s">
        <v>735</v>
      </c>
      <c r="L1028" s="417"/>
      <c r="M1028" s="799"/>
      <c r="N1028" s="800"/>
      <c r="O1028" s="800"/>
      <c r="P1028" s="800"/>
      <c r="Q1028" s="229"/>
      <c r="R1028" s="229"/>
      <c r="S1028" s="229"/>
      <c r="T1028" s="600"/>
      <c r="U1028" s="452"/>
      <c r="V1028" s="452"/>
      <c r="W1028" s="452"/>
      <c r="X1028" s="452"/>
      <c r="Y1028" s="452"/>
      <c r="Z1028" s="452"/>
      <c r="AA1028" s="452"/>
      <c r="AB1028" s="452"/>
      <c r="AC1028" s="378">
        <f t="shared" si="451"/>
        <v>0</v>
      </c>
      <c r="AD1028" s="420"/>
      <c r="AE1028" s="241"/>
      <c r="AF1028" s="194"/>
      <c r="AG1028" s="194"/>
      <c r="AH1028" s="194"/>
      <c r="AI1028" s="194"/>
    </row>
    <row r="1029" hidden="1">
      <c r="A1029" s="391"/>
      <c r="B1029" s="393"/>
      <c r="C1029" s="413"/>
      <c r="D1029" s="286" t="s">
        <v>1137</v>
      </c>
      <c r="E1029" s="414"/>
      <c r="F1029" s="414"/>
      <c r="G1029" s="414"/>
      <c r="H1029" s="415"/>
      <c r="I1029" s="415"/>
      <c r="J1029" s="416"/>
      <c r="K1029" s="222" t="s">
        <v>735</v>
      </c>
      <c r="L1029" s="417"/>
      <c r="M1029" s="799"/>
      <c r="N1029" s="800"/>
      <c r="O1029" s="800"/>
      <c r="P1029" s="800"/>
      <c r="Q1029" s="229"/>
      <c r="R1029" s="229"/>
      <c r="S1029" s="229"/>
      <c r="T1029" s="600"/>
      <c r="U1029" s="452"/>
      <c r="V1029" s="452"/>
      <c r="W1029" s="452"/>
      <c r="X1029" s="452"/>
      <c r="Y1029" s="452"/>
      <c r="Z1029" s="452"/>
      <c r="AA1029" s="452"/>
      <c r="AB1029" s="452"/>
      <c r="AC1029" s="378">
        <f t="shared" si="451"/>
        <v>0</v>
      </c>
      <c r="AD1029" s="420"/>
      <c r="AE1029" s="241"/>
      <c r="AF1029" s="194"/>
      <c r="AG1029" s="194"/>
      <c r="AH1029" s="194"/>
      <c r="AI1029" s="194"/>
    </row>
    <row r="1030">
      <c r="A1030" s="391"/>
      <c r="B1030" s="393"/>
      <c r="C1030" s="394">
        <v>77.0</v>
      </c>
      <c r="D1030" s="885" t="s">
        <v>1138</v>
      </c>
      <c r="E1030" s="198" t="s">
        <v>326</v>
      </c>
      <c r="F1030" s="198" t="s">
        <v>98</v>
      </c>
      <c r="G1030" s="198" t="s">
        <v>98</v>
      </c>
      <c r="H1030" s="198" t="s">
        <v>1129</v>
      </c>
      <c r="I1030" s="198" t="s">
        <v>187</v>
      </c>
      <c r="J1030" s="198" t="s">
        <v>188</v>
      </c>
      <c r="K1030" s="396" t="s">
        <v>735</v>
      </c>
      <c r="L1030" s="397"/>
      <c r="M1030" s="398"/>
      <c r="N1030" s="399"/>
      <c r="O1030" s="399"/>
      <c r="P1030" s="399"/>
      <c r="Q1030" s="886"/>
      <c r="R1030" s="886"/>
      <c r="S1030" s="886"/>
      <c r="T1030" s="886"/>
      <c r="U1030" s="886"/>
      <c r="V1030" s="793">
        <v>1.875E8</v>
      </c>
      <c r="W1030" s="886"/>
      <c r="X1030" s="793">
        <v>1.875E8</v>
      </c>
      <c r="Y1030" s="886"/>
      <c r="Z1030" s="793">
        <v>1.875E8</v>
      </c>
      <c r="AA1030" s="886"/>
      <c r="AB1030" s="793">
        <v>1.875E8</v>
      </c>
      <c r="AC1030" s="794">
        <v>7.5E8</v>
      </c>
      <c r="AD1030" s="178">
        <f>SUM(Q1030:AB1030)-AC1030</f>
        <v>0</v>
      </c>
      <c r="AE1030" s="241"/>
      <c r="AF1030" s="725">
        <v>7.5E8</v>
      </c>
      <c r="AG1030" s="194"/>
      <c r="AH1030" s="194"/>
      <c r="AI1030" s="194"/>
    </row>
    <row r="1031" hidden="1">
      <c r="A1031" s="391"/>
      <c r="B1031" s="393"/>
      <c r="C1031" s="402"/>
      <c r="D1031" s="795"/>
      <c r="E1031" s="403"/>
      <c r="F1031" s="403"/>
      <c r="G1031" s="403"/>
      <c r="H1031" s="404"/>
      <c r="I1031" s="404"/>
      <c r="J1031" s="405"/>
      <c r="K1031" s="406" t="s">
        <v>735</v>
      </c>
      <c r="L1031" s="407"/>
      <c r="M1031" s="796"/>
      <c r="N1031" s="733"/>
      <c r="O1031" s="733"/>
      <c r="P1031" s="733"/>
      <c r="Q1031" s="267"/>
      <c r="R1031" s="267"/>
      <c r="S1031" s="267"/>
      <c r="T1031" s="268"/>
      <c r="U1031" s="268"/>
      <c r="V1031" s="268"/>
      <c r="W1031" s="268"/>
      <c r="X1031" s="268"/>
      <c r="Y1031" s="268"/>
      <c r="Z1031" s="268"/>
      <c r="AA1031" s="268"/>
      <c r="AB1031" s="268"/>
      <c r="AC1031" s="637"/>
      <c r="AD1031" s="420"/>
      <c r="AE1031" s="411"/>
      <c r="AF1031" s="412"/>
      <c r="AG1031" s="412"/>
      <c r="AH1031" s="412"/>
      <c r="AI1031" s="412"/>
    </row>
    <row r="1032" hidden="1">
      <c r="A1032" s="391"/>
      <c r="B1032" s="393"/>
      <c r="C1032" s="413"/>
      <c r="D1032" s="250" t="s">
        <v>1139</v>
      </c>
      <c r="E1032" s="414"/>
      <c r="F1032" s="414"/>
      <c r="G1032" s="414"/>
      <c r="H1032" s="415"/>
      <c r="I1032" s="415"/>
      <c r="J1032" s="416"/>
      <c r="K1032" s="222" t="s">
        <v>735</v>
      </c>
      <c r="L1032" s="798"/>
      <c r="M1032" s="799"/>
      <c r="N1032" s="800"/>
      <c r="O1032" s="800"/>
      <c r="P1032" s="800"/>
      <c r="Q1032" s="229"/>
      <c r="R1032" s="229"/>
      <c r="S1032" s="229"/>
      <c r="T1032" s="600"/>
      <c r="U1032" s="452"/>
      <c r="V1032" s="452"/>
      <c r="W1032" s="452"/>
      <c r="X1032" s="452"/>
      <c r="Y1032" s="452"/>
      <c r="Z1032" s="452"/>
      <c r="AA1032" s="452"/>
      <c r="AB1032" s="452"/>
      <c r="AC1032" s="378">
        <f t="shared" ref="AC1032:AC1034" si="452">SUM(Q1032:AB1032)</f>
        <v>0</v>
      </c>
      <c r="AD1032" s="420"/>
      <c r="AE1032" s="241"/>
      <c r="AF1032" s="194"/>
      <c r="AG1032" s="194"/>
      <c r="AH1032" s="194"/>
      <c r="AI1032" s="194"/>
    </row>
    <row r="1033" hidden="1">
      <c r="A1033" s="391"/>
      <c r="B1033" s="393"/>
      <c r="C1033" s="413"/>
      <c r="D1033" s="286" t="s">
        <v>194</v>
      </c>
      <c r="E1033" s="414"/>
      <c r="F1033" s="414"/>
      <c r="G1033" s="414"/>
      <c r="H1033" s="415"/>
      <c r="I1033" s="415"/>
      <c r="J1033" s="416"/>
      <c r="K1033" s="222" t="s">
        <v>735</v>
      </c>
      <c r="L1033" s="417"/>
      <c r="M1033" s="799"/>
      <c r="N1033" s="800"/>
      <c r="O1033" s="800"/>
      <c r="P1033" s="800"/>
      <c r="Q1033" s="229"/>
      <c r="R1033" s="229"/>
      <c r="S1033" s="229"/>
      <c r="T1033" s="600"/>
      <c r="U1033" s="452"/>
      <c r="V1033" s="452"/>
      <c r="W1033" s="452"/>
      <c r="X1033" s="452"/>
      <c r="Y1033" s="452"/>
      <c r="Z1033" s="452"/>
      <c r="AA1033" s="452"/>
      <c r="AB1033" s="452"/>
      <c r="AC1033" s="378">
        <f t="shared" si="452"/>
        <v>0</v>
      </c>
      <c r="AD1033" s="420"/>
      <c r="AE1033" s="241"/>
      <c r="AF1033" s="194"/>
      <c r="AG1033" s="194"/>
      <c r="AH1033" s="194"/>
      <c r="AI1033" s="194"/>
    </row>
    <row r="1034" hidden="1">
      <c r="A1034" s="391"/>
      <c r="B1034" s="393"/>
      <c r="C1034" s="413"/>
      <c r="D1034" s="286" t="s">
        <v>1140</v>
      </c>
      <c r="E1034" s="414"/>
      <c r="F1034" s="414"/>
      <c r="G1034" s="414"/>
      <c r="H1034" s="415"/>
      <c r="I1034" s="415"/>
      <c r="J1034" s="416"/>
      <c r="K1034" s="222" t="s">
        <v>735</v>
      </c>
      <c r="L1034" s="417"/>
      <c r="M1034" s="799"/>
      <c r="N1034" s="800"/>
      <c r="O1034" s="800"/>
      <c r="P1034" s="800"/>
      <c r="Q1034" s="229"/>
      <c r="R1034" s="229"/>
      <c r="S1034" s="229"/>
      <c r="T1034" s="600"/>
      <c r="U1034" s="452"/>
      <c r="V1034" s="452"/>
      <c r="W1034" s="452"/>
      <c r="X1034" s="452"/>
      <c r="Y1034" s="452"/>
      <c r="Z1034" s="452"/>
      <c r="AA1034" s="452"/>
      <c r="AB1034" s="452"/>
      <c r="AC1034" s="378">
        <f t="shared" si="452"/>
        <v>0</v>
      </c>
      <c r="AD1034" s="420"/>
      <c r="AE1034" s="241"/>
      <c r="AF1034" s="194"/>
      <c r="AG1034" s="194"/>
      <c r="AH1034" s="194"/>
      <c r="AI1034" s="194"/>
    </row>
    <row r="1035">
      <c r="A1035" s="391"/>
      <c r="B1035" s="393"/>
      <c r="C1035" s="394">
        <v>78.0</v>
      </c>
      <c r="D1035" s="885" t="s">
        <v>1141</v>
      </c>
      <c r="E1035" s="198" t="s">
        <v>326</v>
      </c>
      <c r="F1035" s="198" t="s">
        <v>98</v>
      </c>
      <c r="G1035" s="198" t="s">
        <v>98</v>
      </c>
      <c r="H1035" s="198" t="s">
        <v>1129</v>
      </c>
      <c r="I1035" s="198" t="s">
        <v>187</v>
      </c>
      <c r="J1035" s="198" t="s">
        <v>188</v>
      </c>
      <c r="K1035" s="396" t="s">
        <v>735</v>
      </c>
      <c r="L1035" s="397"/>
      <c r="M1035" s="398"/>
      <c r="N1035" s="399"/>
      <c r="O1035" s="399"/>
      <c r="P1035" s="399"/>
      <c r="Q1035" s="886"/>
      <c r="R1035" s="886"/>
      <c r="S1035" s="886"/>
      <c r="T1035" s="886"/>
      <c r="U1035" s="793">
        <v>1.875E8</v>
      </c>
      <c r="V1035" s="886"/>
      <c r="W1035" s="793">
        <v>1.875E8</v>
      </c>
      <c r="X1035" s="886"/>
      <c r="Y1035" s="793">
        <v>1.875E8</v>
      </c>
      <c r="Z1035" s="886"/>
      <c r="AA1035" s="793">
        <v>1.875E8</v>
      </c>
      <c r="AB1035" s="886"/>
      <c r="AC1035" s="794">
        <v>7.5E8</v>
      </c>
      <c r="AD1035" s="178">
        <f>SUM(Q1035:AB1035)-AC1035</f>
        <v>0</v>
      </c>
      <c r="AE1035" s="241"/>
      <c r="AF1035" s="725">
        <v>7.5E8</v>
      </c>
      <c r="AG1035" s="194"/>
      <c r="AH1035" s="194"/>
      <c r="AI1035" s="194"/>
    </row>
    <row r="1036" hidden="1">
      <c r="A1036" s="391"/>
      <c r="B1036" s="393"/>
      <c r="C1036" s="402"/>
      <c r="D1036" s="795"/>
      <c r="E1036" s="403"/>
      <c r="F1036" s="403"/>
      <c r="G1036" s="403"/>
      <c r="H1036" s="404"/>
      <c r="I1036" s="404"/>
      <c r="J1036" s="405"/>
      <c r="K1036" s="406" t="s">
        <v>735</v>
      </c>
      <c r="L1036" s="407"/>
      <c r="M1036" s="796"/>
      <c r="N1036" s="733"/>
      <c r="O1036" s="733"/>
      <c r="P1036" s="733"/>
      <c r="Q1036" s="267"/>
      <c r="R1036" s="267"/>
      <c r="S1036" s="267"/>
      <c r="T1036" s="268"/>
      <c r="U1036" s="268"/>
      <c r="V1036" s="268"/>
      <c r="W1036" s="268"/>
      <c r="X1036" s="268"/>
      <c r="Y1036" s="268"/>
      <c r="Z1036" s="268"/>
      <c r="AA1036" s="268"/>
      <c r="AB1036" s="268"/>
      <c r="AC1036" s="637"/>
      <c r="AD1036" s="420"/>
      <c r="AE1036" s="411"/>
      <c r="AF1036" s="412"/>
      <c r="AG1036" s="412"/>
      <c r="AH1036" s="412"/>
      <c r="AI1036" s="412"/>
    </row>
    <row r="1037" hidden="1">
      <c r="A1037" s="391"/>
      <c r="B1037" s="393"/>
      <c r="C1037" s="413"/>
      <c r="D1037" s="250" t="s">
        <v>1142</v>
      </c>
      <c r="E1037" s="414"/>
      <c r="F1037" s="414"/>
      <c r="G1037" s="414"/>
      <c r="H1037" s="415"/>
      <c r="I1037" s="415"/>
      <c r="J1037" s="416"/>
      <c r="K1037" s="222" t="s">
        <v>735</v>
      </c>
      <c r="L1037" s="798"/>
      <c r="M1037" s="799"/>
      <c r="N1037" s="800"/>
      <c r="O1037" s="800"/>
      <c r="P1037" s="800"/>
      <c r="Q1037" s="229"/>
      <c r="R1037" s="229"/>
      <c r="S1037" s="229"/>
      <c r="T1037" s="600"/>
      <c r="U1037" s="452"/>
      <c r="V1037" s="452"/>
      <c r="W1037" s="452"/>
      <c r="X1037" s="452"/>
      <c r="Y1037" s="452"/>
      <c r="Z1037" s="452"/>
      <c r="AA1037" s="452"/>
      <c r="AB1037" s="452"/>
      <c r="AC1037" s="378">
        <f t="shared" ref="AC1037:AC1039" si="453">SUM(Q1037:AB1037)</f>
        <v>0</v>
      </c>
      <c r="AD1037" s="420"/>
      <c r="AE1037" s="241"/>
      <c r="AF1037" s="194"/>
      <c r="AG1037" s="194"/>
      <c r="AH1037" s="194"/>
      <c r="AI1037" s="194"/>
    </row>
    <row r="1038" hidden="1">
      <c r="A1038" s="391"/>
      <c r="B1038" s="393"/>
      <c r="C1038" s="413"/>
      <c r="D1038" s="286" t="s">
        <v>194</v>
      </c>
      <c r="E1038" s="414"/>
      <c r="F1038" s="414"/>
      <c r="G1038" s="414"/>
      <c r="H1038" s="415"/>
      <c r="I1038" s="415"/>
      <c r="J1038" s="416"/>
      <c r="K1038" s="222" t="s">
        <v>735</v>
      </c>
      <c r="L1038" s="417"/>
      <c r="M1038" s="799"/>
      <c r="N1038" s="800"/>
      <c r="O1038" s="800"/>
      <c r="P1038" s="800"/>
      <c r="Q1038" s="229"/>
      <c r="R1038" s="229"/>
      <c r="S1038" s="229"/>
      <c r="T1038" s="600"/>
      <c r="U1038" s="452"/>
      <c r="V1038" s="452"/>
      <c r="W1038" s="452"/>
      <c r="X1038" s="452"/>
      <c r="Y1038" s="452"/>
      <c r="Z1038" s="452"/>
      <c r="AA1038" s="452"/>
      <c r="AB1038" s="452"/>
      <c r="AC1038" s="378">
        <f t="shared" si="453"/>
        <v>0</v>
      </c>
      <c r="AD1038" s="420"/>
      <c r="AE1038" s="241"/>
      <c r="AF1038" s="194"/>
      <c r="AG1038" s="194"/>
      <c r="AH1038" s="194"/>
      <c r="AI1038" s="194"/>
    </row>
    <row r="1039" hidden="1">
      <c r="A1039" s="391"/>
      <c r="B1039" s="393"/>
      <c r="C1039" s="413"/>
      <c r="D1039" s="286" t="s">
        <v>1143</v>
      </c>
      <c r="E1039" s="414"/>
      <c r="F1039" s="414"/>
      <c r="G1039" s="414"/>
      <c r="H1039" s="415"/>
      <c r="I1039" s="415"/>
      <c r="J1039" s="416"/>
      <c r="K1039" s="222" t="s">
        <v>735</v>
      </c>
      <c r="L1039" s="417"/>
      <c r="M1039" s="799"/>
      <c r="N1039" s="800"/>
      <c r="O1039" s="800"/>
      <c r="P1039" s="800"/>
      <c r="Q1039" s="229"/>
      <c r="R1039" s="229"/>
      <c r="S1039" s="229"/>
      <c r="T1039" s="600"/>
      <c r="U1039" s="452"/>
      <c r="V1039" s="452"/>
      <c r="W1039" s="452"/>
      <c r="X1039" s="452"/>
      <c r="Y1039" s="452"/>
      <c r="Z1039" s="452"/>
      <c r="AA1039" s="452"/>
      <c r="AB1039" s="452"/>
      <c r="AC1039" s="378">
        <f t="shared" si="453"/>
        <v>0</v>
      </c>
      <c r="AD1039" s="420"/>
      <c r="AE1039" s="241"/>
      <c r="AF1039" s="194"/>
      <c r="AG1039" s="194"/>
      <c r="AH1039" s="194"/>
      <c r="AI1039" s="194"/>
    </row>
    <row r="1040">
      <c r="A1040" s="391"/>
      <c r="B1040" s="393"/>
      <c r="C1040" s="394">
        <v>79.0</v>
      </c>
      <c r="D1040" s="885" t="s">
        <v>1144</v>
      </c>
      <c r="E1040" s="198" t="s">
        <v>326</v>
      </c>
      <c r="F1040" s="198" t="s">
        <v>98</v>
      </c>
      <c r="G1040" s="198" t="s">
        <v>98</v>
      </c>
      <c r="H1040" s="198" t="s">
        <v>1129</v>
      </c>
      <c r="I1040" s="198" t="s">
        <v>187</v>
      </c>
      <c r="J1040" s="198" t="s">
        <v>188</v>
      </c>
      <c r="K1040" s="396" t="s">
        <v>735</v>
      </c>
      <c r="L1040" s="397"/>
      <c r="M1040" s="398"/>
      <c r="N1040" s="399"/>
      <c r="O1040" s="399"/>
      <c r="P1040" s="399"/>
      <c r="Q1040" s="886"/>
      <c r="R1040" s="886"/>
      <c r="S1040" s="886"/>
      <c r="T1040" s="886"/>
      <c r="U1040" s="886"/>
      <c r="V1040" s="886"/>
      <c r="W1040" s="793">
        <v>4.5E9</v>
      </c>
      <c r="X1040" s="793">
        <v>4.5E9</v>
      </c>
      <c r="Y1040" s="886"/>
      <c r="Z1040" s="886"/>
      <c r="AA1040" s="886"/>
      <c r="AB1040" s="886"/>
      <c r="AC1040" s="794">
        <v>9.0E9</v>
      </c>
      <c r="AD1040" s="178">
        <f>SUM(Q1040:AB1040)-AC1040</f>
        <v>0</v>
      </c>
      <c r="AE1040" s="241"/>
      <c r="AF1040" s="725">
        <v>9.0E9</v>
      </c>
      <c r="AG1040" s="194"/>
      <c r="AH1040" s="194"/>
      <c r="AI1040" s="194"/>
    </row>
    <row r="1041" hidden="1">
      <c r="A1041" s="391"/>
      <c r="B1041" s="393"/>
      <c r="C1041" s="402"/>
      <c r="D1041" s="795"/>
      <c r="E1041" s="403"/>
      <c r="F1041" s="403"/>
      <c r="G1041" s="403"/>
      <c r="H1041" s="404"/>
      <c r="I1041" s="404"/>
      <c r="J1041" s="405"/>
      <c r="K1041" s="406" t="s">
        <v>735</v>
      </c>
      <c r="L1041" s="407"/>
      <c r="M1041" s="796"/>
      <c r="N1041" s="733"/>
      <c r="O1041" s="733"/>
      <c r="P1041" s="733"/>
      <c r="Q1041" s="267"/>
      <c r="R1041" s="267"/>
      <c r="S1041" s="267"/>
      <c r="T1041" s="268"/>
      <c r="U1041" s="268"/>
      <c r="V1041" s="268"/>
      <c r="W1041" s="268"/>
      <c r="X1041" s="268"/>
      <c r="Y1041" s="268"/>
      <c r="Z1041" s="268"/>
      <c r="AA1041" s="268"/>
      <c r="AB1041" s="268"/>
      <c r="AC1041" s="637"/>
      <c r="AD1041" s="420"/>
      <c r="AE1041" s="411"/>
      <c r="AF1041" s="412"/>
      <c r="AG1041" s="412"/>
      <c r="AH1041" s="412"/>
      <c r="AI1041" s="412"/>
    </row>
    <row r="1042" hidden="1">
      <c r="A1042" s="391"/>
      <c r="B1042" s="393"/>
      <c r="C1042" s="413"/>
      <c r="D1042" s="250" t="s">
        <v>1145</v>
      </c>
      <c r="E1042" s="414"/>
      <c r="F1042" s="414"/>
      <c r="G1042" s="414"/>
      <c r="H1042" s="415"/>
      <c r="I1042" s="415"/>
      <c r="J1042" s="416"/>
      <c r="K1042" s="222" t="s">
        <v>735</v>
      </c>
      <c r="L1042" s="798"/>
      <c r="M1042" s="799"/>
      <c r="N1042" s="800"/>
      <c r="O1042" s="800"/>
      <c r="P1042" s="800"/>
      <c r="Q1042" s="229"/>
      <c r="R1042" s="229"/>
      <c r="S1042" s="229"/>
      <c r="T1042" s="600"/>
      <c r="U1042" s="452"/>
      <c r="V1042" s="452"/>
      <c r="W1042" s="452"/>
      <c r="X1042" s="452"/>
      <c r="Y1042" s="452"/>
      <c r="Z1042" s="452"/>
      <c r="AA1042" s="452"/>
      <c r="AB1042" s="452"/>
      <c r="AC1042" s="378">
        <f t="shared" ref="AC1042:AC1044" si="454">SUM(Q1042:AB1042)</f>
        <v>0</v>
      </c>
      <c r="AD1042" s="420"/>
      <c r="AE1042" s="241"/>
      <c r="AF1042" s="194"/>
      <c r="AG1042" s="194"/>
      <c r="AH1042" s="194"/>
      <c r="AI1042" s="194"/>
    </row>
    <row r="1043" hidden="1">
      <c r="A1043" s="391"/>
      <c r="B1043" s="393"/>
      <c r="C1043" s="413"/>
      <c r="D1043" s="286" t="s">
        <v>194</v>
      </c>
      <c r="E1043" s="414"/>
      <c r="F1043" s="414"/>
      <c r="G1043" s="414"/>
      <c r="H1043" s="415"/>
      <c r="I1043" s="415"/>
      <c r="J1043" s="416"/>
      <c r="K1043" s="222" t="s">
        <v>735</v>
      </c>
      <c r="L1043" s="417"/>
      <c r="M1043" s="799"/>
      <c r="N1043" s="800"/>
      <c r="O1043" s="800"/>
      <c r="P1043" s="800"/>
      <c r="Q1043" s="229"/>
      <c r="R1043" s="229"/>
      <c r="S1043" s="229"/>
      <c r="T1043" s="600"/>
      <c r="U1043" s="452"/>
      <c r="V1043" s="452"/>
      <c r="W1043" s="452"/>
      <c r="X1043" s="452"/>
      <c r="Y1043" s="452"/>
      <c r="Z1043" s="452"/>
      <c r="AA1043" s="452"/>
      <c r="AB1043" s="452"/>
      <c r="AC1043" s="378">
        <f t="shared" si="454"/>
        <v>0</v>
      </c>
      <c r="AD1043" s="420"/>
      <c r="AE1043" s="241"/>
      <c r="AF1043" s="194"/>
      <c r="AG1043" s="194"/>
      <c r="AH1043" s="194"/>
      <c r="AI1043" s="194"/>
    </row>
    <row r="1044" hidden="1">
      <c r="A1044" s="391"/>
      <c r="B1044" s="393"/>
      <c r="C1044" s="413"/>
      <c r="D1044" s="286" t="s">
        <v>1146</v>
      </c>
      <c r="E1044" s="414"/>
      <c r="F1044" s="414"/>
      <c r="G1044" s="414"/>
      <c r="H1044" s="415"/>
      <c r="I1044" s="415"/>
      <c r="J1044" s="416"/>
      <c r="K1044" s="222" t="s">
        <v>735</v>
      </c>
      <c r="L1044" s="417"/>
      <c r="M1044" s="799"/>
      <c r="N1044" s="800"/>
      <c r="O1044" s="800"/>
      <c r="P1044" s="800"/>
      <c r="Q1044" s="229"/>
      <c r="R1044" s="229"/>
      <c r="S1044" s="229"/>
      <c r="T1044" s="600"/>
      <c r="U1044" s="452"/>
      <c r="V1044" s="452"/>
      <c r="W1044" s="452"/>
      <c r="X1044" s="452"/>
      <c r="Y1044" s="452"/>
      <c r="Z1044" s="452"/>
      <c r="AA1044" s="452"/>
      <c r="AB1044" s="452"/>
      <c r="AC1044" s="378">
        <f t="shared" si="454"/>
        <v>0</v>
      </c>
      <c r="AD1044" s="420"/>
      <c r="AE1044" s="241"/>
      <c r="AF1044" s="194"/>
      <c r="AG1044" s="194"/>
      <c r="AH1044" s="194"/>
      <c r="AI1044" s="194"/>
    </row>
    <row r="1045">
      <c r="A1045" s="391"/>
      <c r="B1045" s="393"/>
      <c r="C1045" s="394">
        <v>80.0</v>
      </c>
      <c r="D1045" s="885" t="s">
        <v>1147</v>
      </c>
      <c r="E1045" s="198" t="s">
        <v>326</v>
      </c>
      <c r="F1045" s="198" t="s">
        <v>98</v>
      </c>
      <c r="G1045" s="198" t="s">
        <v>98</v>
      </c>
      <c r="H1045" s="198" t="s">
        <v>1129</v>
      </c>
      <c r="I1045" s="198" t="s">
        <v>187</v>
      </c>
      <c r="J1045" s="198" t="s">
        <v>188</v>
      </c>
      <c r="K1045" s="396" t="s">
        <v>735</v>
      </c>
      <c r="L1045" s="397"/>
      <c r="M1045" s="398"/>
      <c r="N1045" s="399"/>
      <c r="O1045" s="399"/>
      <c r="P1045" s="399"/>
      <c r="Q1045" s="886"/>
      <c r="R1045" s="886"/>
      <c r="S1045" s="886"/>
      <c r="T1045" s="886"/>
      <c r="U1045" s="886"/>
      <c r="V1045" s="886"/>
      <c r="W1045" s="886"/>
      <c r="X1045" s="793">
        <v>1.0E9</v>
      </c>
      <c r="Y1045" s="886"/>
      <c r="Z1045" s="886"/>
      <c r="AA1045" s="886"/>
      <c r="AB1045" s="886"/>
      <c r="AC1045" s="794">
        <v>1.0E9</v>
      </c>
      <c r="AD1045" s="178">
        <f>SUM(Q1045:AB1045)-AC1045</f>
        <v>0</v>
      </c>
      <c r="AE1045" s="241"/>
      <c r="AF1045" s="725">
        <v>1.0E9</v>
      </c>
      <c r="AG1045" s="194"/>
      <c r="AH1045" s="194"/>
      <c r="AI1045" s="194"/>
    </row>
    <row r="1046" hidden="1">
      <c r="A1046" s="391"/>
      <c r="B1046" s="393"/>
      <c r="C1046" s="402"/>
      <c r="D1046" s="795"/>
      <c r="E1046" s="403"/>
      <c r="F1046" s="403"/>
      <c r="G1046" s="403"/>
      <c r="H1046" s="404"/>
      <c r="I1046" s="404"/>
      <c r="J1046" s="405"/>
      <c r="K1046" s="406" t="s">
        <v>735</v>
      </c>
      <c r="L1046" s="407"/>
      <c r="M1046" s="796"/>
      <c r="N1046" s="733"/>
      <c r="O1046" s="733"/>
      <c r="P1046" s="733"/>
      <c r="Q1046" s="267"/>
      <c r="R1046" s="267"/>
      <c r="S1046" s="267"/>
      <c r="T1046" s="268"/>
      <c r="U1046" s="268"/>
      <c r="V1046" s="268"/>
      <c r="W1046" s="268"/>
      <c r="X1046" s="268"/>
      <c r="Y1046" s="268"/>
      <c r="Z1046" s="268"/>
      <c r="AA1046" s="268"/>
      <c r="AB1046" s="268"/>
      <c r="AC1046" s="637"/>
      <c r="AD1046" s="420"/>
      <c r="AE1046" s="411"/>
      <c r="AF1046" s="412"/>
      <c r="AG1046" s="412"/>
      <c r="AH1046" s="412"/>
      <c r="AI1046" s="412"/>
    </row>
    <row r="1047" hidden="1">
      <c r="A1047" s="391"/>
      <c r="B1047" s="393"/>
      <c r="C1047" s="413"/>
      <c r="D1047" s="250" t="s">
        <v>1148</v>
      </c>
      <c r="E1047" s="414"/>
      <c r="F1047" s="414"/>
      <c r="G1047" s="414"/>
      <c r="H1047" s="415"/>
      <c r="I1047" s="415"/>
      <c r="J1047" s="416"/>
      <c r="K1047" s="222" t="s">
        <v>735</v>
      </c>
      <c r="L1047" s="798"/>
      <c r="M1047" s="799"/>
      <c r="N1047" s="800"/>
      <c r="O1047" s="800"/>
      <c r="P1047" s="800"/>
      <c r="Q1047" s="229"/>
      <c r="R1047" s="229"/>
      <c r="S1047" s="229"/>
      <c r="T1047" s="600"/>
      <c r="U1047" s="452"/>
      <c r="V1047" s="452"/>
      <c r="W1047" s="452"/>
      <c r="X1047" s="452"/>
      <c r="Y1047" s="452"/>
      <c r="Z1047" s="452"/>
      <c r="AA1047" s="452"/>
      <c r="AB1047" s="452"/>
      <c r="AC1047" s="378">
        <f t="shared" ref="AC1047:AC1049" si="455">SUM(Q1047:AB1047)</f>
        <v>0</v>
      </c>
      <c r="AD1047" s="420"/>
      <c r="AE1047" s="241"/>
      <c r="AF1047" s="194"/>
      <c r="AG1047" s="194"/>
      <c r="AH1047" s="194"/>
      <c r="AI1047" s="194"/>
    </row>
    <row r="1048" hidden="1">
      <c r="A1048" s="391"/>
      <c r="B1048" s="393"/>
      <c r="C1048" s="413"/>
      <c r="D1048" s="286" t="s">
        <v>194</v>
      </c>
      <c r="E1048" s="414"/>
      <c r="F1048" s="414"/>
      <c r="G1048" s="414"/>
      <c r="H1048" s="415"/>
      <c r="I1048" s="415"/>
      <c r="J1048" s="416"/>
      <c r="K1048" s="222" t="s">
        <v>735</v>
      </c>
      <c r="L1048" s="417"/>
      <c r="M1048" s="799"/>
      <c r="N1048" s="800"/>
      <c r="O1048" s="800"/>
      <c r="P1048" s="800"/>
      <c r="Q1048" s="229"/>
      <c r="R1048" s="229"/>
      <c r="S1048" s="229"/>
      <c r="T1048" s="600"/>
      <c r="U1048" s="452"/>
      <c r="V1048" s="452"/>
      <c r="W1048" s="452"/>
      <c r="X1048" s="452"/>
      <c r="Y1048" s="452"/>
      <c r="Z1048" s="452"/>
      <c r="AA1048" s="452"/>
      <c r="AB1048" s="452"/>
      <c r="AC1048" s="378">
        <f t="shared" si="455"/>
        <v>0</v>
      </c>
      <c r="AD1048" s="420"/>
      <c r="AE1048" s="241"/>
      <c r="AF1048" s="194"/>
      <c r="AG1048" s="194"/>
      <c r="AH1048" s="194"/>
      <c r="AI1048" s="194"/>
    </row>
    <row r="1049" hidden="1">
      <c r="A1049" s="391"/>
      <c r="B1049" s="393"/>
      <c r="C1049" s="413"/>
      <c r="D1049" s="286" t="s">
        <v>1149</v>
      </c>
      <c r="E1049" s="414"/>
      <c r="F1049" s="414"/>
      <c r="G1049" s="414"/>
      <c r="H1049" s="415"/>
      <c r="I1049" s="415"/>
      <c r="J1049" s="416"/>
      <c r="K1049" s="222" t="s">
        <v>735</v>
      </c>
      <c r="L1049" s="417"/>
      <c r="M1049" s="799"/>
      <c r="N1049" s="800"/>
      <c r="O1049" s="800"/>
      <c r="P1049" s="800"/>
      <c r="Q1049" s="229"/>
      <c r="R1049" s="229"/>
      <c r="S1049" s="229"/>
      <c r="T1049" s="600"/>
      <c r="U1049" s="452"/>
      <c r="V1049" s="452"/>
      <c r="W1049" s="452"/>
      <c r="X1049" s="452"/>
      <c r="Y1049" s="452"/>
      <c r="Z1049" s="452"/>
      <c r="AA1049" s="452"/>
      <c r="AB1049" s="452"/>
      <c r="AC1049" s="378">
        <f t="shared" si="455"/>
        <v>0</v>
      </c>
      <c r="AD1049" s="420"/>
      <c r="AE1049" s="241"/>
      <c r="AF1049" s="194"/>
      <c r="AG1049" s="194"/>
      <c r="AH1049" s="194"/>
      <c r="AI1049" s="194"/>
    </row>
    <row r="1050">
      <c r="A1050" s="391"/>
      <c r="B1050" s="393"/>
      <c r="C1050" s="394">
        <v>81.0</v>
      </c>
      <c r="D1050" s="885" t="s">
        <v>1150</v>
      </c>
      <c r="E1050" s="198" t="s">
        <v>326</v>
      </c>
      <c r="F1050" s="198" t="s">
        <v>98</v>
      </c>
      <c r="G1050" s="198" t="s">
        <v>98</v>
      </c>
      <c r="H1050" s="198" t="s">
        <v>1129</v>
      </c>
      <c r="I1050" s="198" t="s">
        <v>187</v>
      </c>
      <c r="J1050" s="198" t="s">
        <v>188</v>
      </c>
      <c r="K1050" s="396" t="s">
        <v>735</v>
      </c>
      <c r="L1050" s="397"/>
      <c r="M1050" s="398"/>
      <c r="N1050" s="399"/>
      <c r="O1050" s="399"/>
      <c r="P1050" s="399"/>
      <c r="Q1050" s="886"/>
      <c r="R1050" s="886"/>
      <c r="S1050" s="886"/>
      <c r="T1050" s="886"/>
      <c r="U1050" s="886"/>
      <c r="V1050" s="886"/>
      <c r="W1050" s="886"/>
      <c r="X1050" s="886"/>
      <c r="Y1050" s="886"/>
      <c r="Z1050" s="886"/>
      <c r="AA1050" s="886"/>
      <c r="AB1050" s="793">
        <v>8.5E8</v>
      </c>
      <c r="AC1050" s="794">
        <v>8.5E8</v>
      </c>
      <c r="AD1050" s="178">
        <f>SUM(Q1050:AB1050)-AC1050</f>
        <v>0</v>
      </c>
      <c r="AE1050" s="241"/>
      <c r="AF1050" s="725">
        <v>8.5E8</v>
      </c>
      <c r="AG1050" s="194"/>
      <c r="AH1050" s="194"/>
      <c r="AI1050" s="194"/>
    </row>
    <row r="1051" hidden="1">
      <c r="A1051" s="391"/>
      <c r="B1051" s="393"/>
      <c r="C1051" s="402"/>
      <c r="D1051" s="795"/>
      <c r="E1051" s="403"/>
      <c r="F1051" s="403"/>
      <c r="G1051" s="403"/>
      <c r="H1051" s="404"/>
      <c r="I1051" s="404"/>
      <c r="J1051" s="405"/>
      <c r="K1051" s="406" t="s">
        <v>735</v>
      </c>
      <c r="L1051" s="407"/>
      <c r="M1051" s="796"/>
      <c r="N1051" s="733"/>
      <c r="O1051" s="733"/>
      <c r="P1051" s="733"/>
      <c r="Q1051" s="267"/>
      <c r="R1051" s="267"/>
      <c r="S1051" s="267"/>
      <c r="T1051" s="268"/>
      <c r="U1051" s="268"/>
      <c r="V1051" s="268"/>
      <c r="W1051" s="268"/>
      <c r="X1051" s="268"/>
      <c r="Y1051" s="268"/>
      <c r="Z1051" s="268"/>
      <c r="AA1051" s="268"/>
      <c r="AB1051" s="268"/>
      <c r="AC1051" s="637"/>
      <c r="AD1051" s="420"/>
      <c r="AE1051" s="411"/>
      <c r="AF1051" s="412"/>
      <c r="AG1051" s="412"/>
      <c r="AH1051" s="412"/>
      <c r="AI1051" s="412"/>
    </row>
    <row r="1052" hidden="1">
      <c r="A1052" s="391"/>
      <c r="B1052" s="393"/>
      <c r="C1052" s="413"/>
      <c r="D1052" s="250" t="s">
        <v>1151</v>
      </c>
      <c r="E1052" s="414"/>
      <c r="F1052" s="414"/>
      <c r="G1052" s="414"/>
      <c r="H1052" s="415"/>
      <c r="I1052" s="415"/>
      <c r="J1052" s="416"/>
      <c r="K1052" s="222" t="s">
        <v>735</v>
      </c>
      <c r="L1052" s="798"/>
      <c r="M1052" s="799"/>
      <c r="N1052" s="800"/>
      <c r="O1052" s="800"/>
      <c r="P1052" s="800"/>
      <c r="Q1052" s="229"/>
      <c r="R1052" s="229"/>
      <c r="S1052" s="229"/>
      <c r="T1052" s="600"/>
      <c r="U1052" s="452"/>
      <c r="V1052" s="452"/>
      <c r="W1052" s="452"/>
      <c r="X1052" s="452"/>
      <c r="Y1052" s="452"/>
      <c r="Z1052" s="452"/>
      <c r="AA1052" s="452"/>
      <c r="AB1052" s="452"/>
      <c r="AC1052" s="378">
        <f t="shared" ref="AC1052:AC1054" si="456">SUM(Q1052:AB1052)</f>
        <v>0</v>
      </c>
      <c r="AD1052" s="420"/>
      <c r="AE1052" s="241"/>
      <c r="AF1052" s="194"/>
      <c r="AG1052" s="194"/>
      <c r="AH1052" s="194"/>
      <c r="AI1052" s="194"/>
    </row>
    <row r="1053" hidden="1">
      <c r="A1053" s="391"/>
      <c r="B1053" s="393"/>
      <c r="C1053" s="413"/>
      <c r="D1053" s="286" t="s">
        <v>194</v>
      </c>
      <c r="E1053" s="414"/>
      <c r="F1053" s="414"/>
      <c r="G1053" s="414"/>
      <c r="H1053" s="415"/>
      <c r="I1053" s="415"/>
      <c r="J1053" s="416"/>
      <c r="K1053" s="222" t="s">
        <v>735</v>
      </c>
      <c r="L1053" s="417"/>
      <c r="M1053" s="799"/>
      <c r="N1053" s="800"/>
      <c r="O1053" s="800"/>
      <c r="P1053" s="800"/>
      <c r="Q1053" s="229"/>
      <c r="R1053" s="229"/>
      <c r="S1053" s="229"/>
      <c r="T1053" s="600"/>
      <c r="U1053" s="452"/>
      <c r="V1053" s="452"/>
      <c r="W1053" s="452"/>
      <c r="X1053" s="452"/>
      <c r="Y1053" s="452"/>
      <c r="Z1053" s="452"/>
      <c r="AA1053" s="452"/>
      <c r="AB1053" s="452"/>
      <c r="AC1053" s="378">
        <f t="shared" si="456"/>
        <v>0</v>
      </c>
      <c r="AD1053" s="420"/>
      <c r="AE1053" s="241"/>
      <c r="AF1053" s="194"/>
      <c r="AG1053" s="194"/>
      <c r="AH1053" s="194"/>
      <c r="AI1053" s="194"/>
    </row>
    <row r="1054" hidden="1">
      <c r="A1054" s="391"/>
      <c r="B1054" s="393"/>
      <c r="C1054" s="413"/>
      <c r="D1054" s="286" t="s">
        <v>1152</v>
      </c>
      <c r="E1054" s="414"/>
      <c r="F1054" s="414"/>
      <c r="G1054" s="414"/>
      <c r="H1054" s="415"/>
      <c r="I1054" s="415"/>
      <c r="J1054" s="416"/>
      <c r="K1054" s="222" t="s">
        <v>735</v>
      </c>
      <c r="L1054" s="417"/>
      <c r="M1054" s="799"/>
      <c r="N1054" s="800"/>
      <c r="O1054" s="800"/>
      <c r="P1054" s="800"/>
      <c r="Q1054" s="229"/>
      <c r="R1054" s="229"/>
      <c r="S1054" s="229"/>
      <c r="T1054" s="600"/>
      <c r="U1054" s="452"/>
      <c r="V1054" s="452"/>
      <c r="W1054" s="452"/>
      <c r="X1054" s="452"/>
      <c r="Y1054" s="452"/>
      <c r="Z1054" s="452"/>
      <c r="AA1054" s="452"/>
      <c r="AB1054" s="452"/>
      <c r="AC1054" s="378">
        <f t="shared" si="456"/>
        <v>0</v>
      </c>
      <c r="AD1054" s="420"/>
      <c r="AE1054" s="241"/>
      <c r="AF1054" s="194"/>
      <c r="AG1054" s="194"/>
      <c r="AH1054" s="194"/>
      <c r="AI1054" s="194"/>
    </row>
    <row r="1055">
      <c r="A1055" s="391"/>
      <c r="B1055" s="393"/>
      <c r="C1055" s="394">
        <v>82.0</v>
      </c>
      <c r="D1055" s="885" t="s">
        <v>1153</v>
      </c>
      <c r="E1055" s="198" t="s">
        <v>326</v>
      </c>
      <c r="F1055" s="198" t="s">
        <v>98</v>
      </c>
      <c r="G1055" s="198" t="s">
        <v>98</v>
      </c>
      <c r="H1055" s="198" t="s">
        <v>1154</v>
      </c>
      <c r="I1055" s="198" t="s">
        <v>187</v>
      </c>
      <c r="J1055" s="198" t="s">
        <v>188</v>
      </c>
      <c r="K1055" s="396" t="s">
        <v>735</v>
      </c>
      <c r="L1055" s="397"/>
      <c r="M1055" s="398"/>
      <c r="N1055" s="399"/>
      <c r="O1055" s="399"/>
      <c r="P1055" s="399"/>
      <c r="Q1055" s="793">
        <v>2.025E8</v>
      </c>
      <c r="R1055" s="793">
        <v>2.025E8</v>
      </c>
      <c r="S1055" s="886"/>
      <c r="T1055" s="886"/>
      <c r="U1055" s="886"/>
      <c r="V1055" s="886"/>
      <c r="W1055" s="886"/>
      <c r="X1055" s="886"/>
      <c r="Y1055" s="886"/>
      <c r="Z1055" s="886"/>
      <c r="AA1055" s="886"/>
      <c r="AB1055" s="886"/>
      <c r="AC1055" s="794">
        <v>4.05E8</v>
      </c>
      <c r="AD1055" s="178">
        <f>SUM(Q1055:AB1055)-AC1055</f>
        <v>0</v>
      </c>
      <c r="AE1055" s="241"/>
      <c r="AF1055" s="725">
        <v>4.05E8</v>
      </c>
      <c r="AG1055" s="194"/>
      <c r="AH1055" s="194"/>
      <c r="AI1055" s="194"/>
    </row>
    <row r="1056" hidden="1">
      <c r="A1056" s="391"/>
      <c r="B1056" s="393"/>
      <c r="C1056" s="402"/>
      <c r="D1056" s="795"/>
      <c r="E1056" s="403"/>
      <c r="F1056" s="403"/>
      <c r="G1056" s="403"/>
      <c r="H1056" s="404"/>
      <c r="I1056" s="404"/>
      <c r="J1056" s="405"/>
      <c r="K1056" s="406" t="s">
        <v>735</v>
      </c>
      <c r="L1056" s="407"/>
      <c r="M1056" s="796"/>
      <c r="N1056" s="733"/>
      <c r="O1056" s="733"/>
      <c r="P1056" s="733"/>
      <c r="Q1056" s="267"/>
      <c r="R1056" s="267"/>
      <c r="S1056" s="267"/>
      <c r="T1056" s="268"/>
      <c r="U1056" s="268"/>
      <c r="V1056" s="268"/>
      <c r="W1056" s="268"/>
      <c r="X1056" s="268"/>
      <c r="Y1056" s="268"/>
      <c r="Z1056" s="268"/>
      <c r="AA1056" s="268"/>
      <c r="AB1056" s="268"/>
      <c r="AC1056" s="637"/>
      <c r="AD1056" s="420"/>
      <c r="AE1056" s="411"/>
      <c r="AF1056" s="412"/>
      <c r="AG1056" s="412"/>
      <c r="AH1056" s="412"/>
      <c r="AI1056" s="412"/>
    </row>
    <row r="1057" hidden="1">
      <c r="A1057" s="391"/>
      <c r="B1057" s="393"/>
      <c r="C1057" s="413"/>
      <c r="D1057" s="250" t="s">
        <v>1155</v>
      </c>
      <c r="E1057" s="414"/>
      <c r="F1057" s="414"/>
      <c r="G1057" s="414"/>
      <c r="H1057" s="415"/>
      <c r="I1057" s="415"/>
      <c r="J1057" s="416"/>
      <c r="K1057" s="222" t="s">
        <v>735</v>
      </c>
      <c r="L1057" s="798"/>
      <c r="M1057" s="799"/>
      <c r="N1057" s="800"/>
      <c r="O1057" s="800"/>
      <c r="P1057" s="800"/>
      <c r="Q1057" s="229"/>
      <c r="R1057" s="229"/>
      <c r="S1057" s="229"/>
      <c r="T1057" s="600"/>
      <c r="U1057" s="452"/>
      <c r="V1057" s="452"/>
      <c r="W1057" s="452"/>
      <c r="X1057" s="452"/>
      <c r="Y1057" s="452"/>
      <c r="Z1057" s="452"/>
      <c r="AA1057" s="452"/>
      <c r="AB1057" s="452"/>
      <c r="AC1057" s="378">
        <f t="shared" ref="AC1057:AC1059" si="457">SUM(Q1057:AB1057)</f>
        <v>0</v>
      </c>
      <c r="AD1057" s="420"/>
      <c r="AE1057" s="241"/>
      <c r="AF1057" s="194"/>
      <c r="AG1057" s="194"/>
      <c r="AH1057" s="194"/>
      <c r="AI1057" s="194"/>
    </row>
    <row r="1058" hidden="1">
      <c r="A1058" s="391"/>
      <c r="B1058" s="393"/>
      <c r="C1058" s="413"/>
      <c r="D1058" s="286" t="s">
        <v>194</v>
      </c>
      <c r="E1058" s="414"/>
      <c r="F1058" s="414"/>
      <c r="G1058" s="414"/>
      <c r="H1058" s="415"/>
      <c r="I1058" s="415"/>
      <c r="J1058" s="416"/>
      <c r="K1058" s="222" t="s">
        <v>735</v>
      </c>
      <c r="L1058" s="417"/>
      <c r="M1058" s="799"/>
      <c r="N1058" s="800"/>
      <c r="O1058" s="800"/>
      <c r="P1058" s="800"/>
      <c r="Q1058" s="229"/>
      <c r="R1058" s="229"/>
      <c r="S1058" s="229"/>
      <c r="T1058" s="600"/>
      <c r="U1058" s="452"/>
      <c r="V1058" s="452"/>
      <c r="W1058" s="452"/>
      <c r="X1058" s="452"/>
      <c r="Y1058" s="452"/>
      <c r="Z1058" s="452"/>
      <c r="AA1058" s="452"/>
      <c r="AB1058" s="452"/>
      <c r="AC1058" s="378">
        <f t="shared" si="457"/>
        <v>0</v>
      </c>
      <c r="AD1058" s="420"/>
      <c r="AE1058" s="241"/>
      <c r="AF1058" s="194"/>
      <c r="AG1058" s="194"/>
      <c r="AH1058" s="194"/>
      <c r="AI1058" s="194"/>
    </row>
    <row r="1059" hidden="1">
      <c r="A1059" s="391"/>
      <c r="B1059" s="393"/>
      <c r="C1059" s="413"/>
      <c r="D1059" s="286" t="s">
        <v>1156</v>
      </c>
      <c r="E1059" s="414"/>
      <c r="F1059" s="414"/>
      <c r="G1059" s="414"/>
      <c r="H1059" s="415"/>
      <c r="I1059" s="415"/>
      <c r="J1059" s="416"/>
      <c r="K1059" s="222" t="s">
        <v>735</v>
      </c>
      <c r="L1059" s="417"/>
      <c r="M1059" s="799"/>
      <c r="N1059" s="800"/>
      <c r="O1059" s="800"/>
      <c r="P1059" s="800"/>
      <c r="Q1059" s="229"/>
      <c r="R1059" s="229"/>
      <c r="S1059" s="229"/>
      <c r="T1059" s="600"/>
      <c r="U1059" s="452"/>
      <c r="V1059" s="452"/>
      <c r="W1059" s="452"/>
      <c r="X1059" s="452"/>
      <c r="Y1059" s="452"/>
      <c r="Z1059" s="452"/>
      <c r="AA1059" s="452"/>
      <c r="AB1059" s="452"/>
      <c r="AC1059" s="378">
        <f t="shared" si="457"/>
        <v>0</v>
      </c>
      <c r="AD1059" s="420"/>
      <c r="AE1059" s="241"/>
      <c r="AF1059" s="194"/>
      <c r="AG1059" s="194"/>
      <c r="AH1059" s="194"/>
      <c r="AI1059" s="194"/>
    </row>
    <row r="1060">
      <c r="A1060" s="391"/>
      <c r="B1060" s="393"/>
      <c r="C1060" s="394">
        <v>83.0</v>
      </c>
      <c r="D1060" s="885" t="s">
        <v>1157</v>
      </c>
      <c r="E1060" s="198" t="s">
        <v>326</v>
      </c>
      <c r="F1060" s="198" t="s">
        <v>98</v>
      </c>
      <c r="G1060" s="198" t="s">
        <v>98</v>
      </c>
      <c r="H1060" s="198" t="s">
        <v>1154</v>
      </c>
      <c r="I1060" s="198" t="s">
        <v>187</v>
      </c>
      <c r="J1060" s="198" t="s">
        <v>188</v>
      </c>
      <c r="K1060" s="396" t="s">
        <v>735</v>
      </c>
      <c r="L1060" s="397"/>
      <c r="M1060" s="398"/>
      <c r="N1060" s="399"/>
      <c r="O1060" s="399"/>
      <c r="P1060" s="399"/>
      <c r="Q1060" s="886"/>
      <c r="R1060" s="886"/>
      <c r="S1060" s="886"/>
      <c r="T1060" s="886"/>
      <c r="U1060" s="793">
        <v>2.5E8</v>
      </c>
      <c r="V1060" s="793">
        <v>2.5E8</v>
      </c>
      <c r="W1060" s="886"/>
      <c r="X1060" s="886"/>
      <c r="Y1060" s="886"/>
      <c r="Z1060" s="886"/>
      <c r="AA1060" s="886"/>
      <c r="AB1060" s="886"/>
      <c r="AC1060" s="794">
        <v>5.0E8</v>
      </c>
      <c r="AD1060" s="178">
        <f>SUM(Q1060:AB1060)-AC1060</f>
        <v>0</v>
      </c>
      <c r="AE1060" s="241"/>
      <c r="AF1060" s="725">
        <v>5.0E8</v>
      </c>
      <c r="AG1060" s="194"/>
      <c r="AH1060" s="194"/>
      <c r="AI1060" s="194"/>
    </row>
    <row r="1061" hidden="1">
      <c r="A1061" s="391"/>
      <c r="B1061" s="393"/>
      <c r="C1061" s="402"/>
      <c r="D1061" s="795"/>
      <c r="E1061" s="403"/>
      <c r="F1061" s="403"/>
      <c r="G1061" s="403"/>
      <c r="H1061" s="404"/>
      <c r="I1061" s="404"/>
      <c r="J1061" s="405"/>
      <c r="K1061" s="406" t="s">
        <v>735</v>
      </c>
      <c r="L1061" s="407"/>
      <c r="M1061" s="796"/>
      <c r="N1061" s="733"/>
      <c r="O1061" s="733"/>
      <c r="P1061" s="733"/>
      <c r="Q1061" s="267"/>
      <c r="R1061" s="267"/>
      <c r="S1061" s="267"/>
      <c r="T1061" s="268"/>
      <c r="U1061" s="268"/>
      <c r="V1061" s="268"/>
      <c r="W1061" s="268"/>
      <c r="X1061" s="268"/>
      <c r="Y1061" s="268"/>
      <c r="Z1061" s="268"/>
      <c r="AA1061" s="268"/>
      <c r="AB1061" s="268"/>
      <c r="AC1061" s="637"/>
      <c r="AD1061" s="420"/>
      <c r="AE1061" s="411"/>
      <c r="AF1061" s="412"/>
      <c r="AG1061" s="412"/>
      <c r="AH1061" s="412"/>
      <c r="AI1061" s="412"/>
    </row>
    <row r="1062" hidden="1">
      <c r="A1062" s="391"/>
      <c r="B1062" s="393"/>
      <c r="C1062" s="413"/>
      <c r="D1062" s="250" t="s">
        <v>1158</v>
      </c>
      <c r="E1062" s="414"/>
      <c r="F1062" s="414"/>
      <c r="G1062" s="414"/>
      <c r="H1062" s="415"/>
      <c r="I1062" s="415"/>
      <c r="J1062" s="416"/>
      <c r="K1062" s="222" t="s">
        <v>735</v>
      </c>
      <c r="L1062" s="798"/>
      <c r="M1062" s="799"/>
      <c r="N1062" s="800"/>
      <c r="O1062" s="800"/>
      <c r="P1062" s="800"/>
      <c r="Q1062" s="229"/>
      <c r="R1062" s="229"/>
      <c r="S1062" s="229"/>
      <c r="T1062" s="600"/>
      <c r="U1062" s="452"/>
      <c r="V1062" s="452"/>
      <c r="W1062" s="452"/>
      <c r="X1062" s="452"/>
      <c r="Y1062" s="452"/>
      <c r="Z1062" s="452"/>
      <c r="AA1062" s="452"/>
      <c r="AB1062" s="452"/>
      <c r="AC1062" s="378">
        <f t="shared" ref="AC1062:AC1064" si="458">SUM(Q1062:AB1062)</f>
        <v>0</v>
      </c>
      <c r="AD1062" s="420"/>
      <c r="AE1062" s="241"/>
      <c r="AF1062" s="194"/>
      <c r="AG1062" s="194"/>
      <c r="AH1062" s="194"/>
      <c r="AI1062" s="194"/>
    </row>
    <row r="1063" hidden="1">
      <c r="A1063" s="391"/>
      <c r="B1063" s="393"/>
      <c r="C1063" s="413"/>
      <c r="D1063" s="286" t="s">
        <v>194</v>
      </c>
      <c r="E1063" s="414"/>
      <c r="F1063" s="414"/>
      <c r="G1063" s="414"/>
      <c r="H1063" s="415"/>
      <c r="I1063" s="415"/>
      <c r="J1063" s="416"/>
      <c r="K1063" s="222" t="s">
        <v>735</v>
      </c>
      <c r="L1063" s="417"/>
      <c r="M1063" s="799"/>
      <c r="N1063" s="800"/>
      <c r="O1063" s="800"/>
      <c r="P1063" s="800"/>
      <c r="Q1063" s="229"/>
      <c r="R1063" s="229"/>
      <c r="S1063" s="229"/>
      <c r="T1063" s="600"/>
      <c r="U1063" s="452"/>
      <c r="V1063" s="452"/>
      <c r="W1063" s="452"/>
      <c r="X1063" s="452"/>
      <c r="Y1063" s="452"/>
      <c r="Z1063" s="452"/>
      <c r="AA1063" s="452"/>
      <c r="AB1063" s="452"/>
      <c r="AC1063" s="378">
        <f t="shared" si="458"/>
        <v>0</v>
      </c>
      <c r="AD1063" s="420"/>
      <c r="AE1063" s="241"/>
      <c r="AF1063" s="194"/>
      <c r="AG1063" s="194"/>
      <c r="AH1063" s="194"/>
      <c r="AI1063" s="194"/>
    </row>
    <row r="1064" hidden="1">
      <c r="A1064" s="391"/>
      <c r="B1064" s="393"/>
      <c r="C1064" s="413"/>
      <c r="D1064" s="286" t="s">
        <v>1159</v>
      </c>
      <c r="E1064" s="414"/>
      <c r="F1064" s="414"/>
      <c r="G1064" s="414"/>
      <c r="H1064" s="415"/>
      <c r="I1064" s="415"/>
      <c r="J1064" s="416"/>
      <c r="K1064" s="222" t="s">
        <v>735</v>
      </c>
      <c r="L1064" s="417"/>
      <c r="M1064" s="799"/>
      <c r="N1064" s="800"/>
      <c r="O1064" s="800"/>
      <c r="P1064" s="800"/>
      <c r="Q1064" s="229"/>
      <c r="R1064" s="229"/>
      <c r="S1064" s="229"/>
      <c r="T1064" s="600"/>
      <c r="U1064" s="452"/>
      <c r="V1064" s="452"/>
      <c r="W1064" s="452"/>
      <c r="X1064" s="452"/>
      <c r="Y1064" s="452"/>
      <c r="Z1064" s="452"/>
      <c r="AA1064" s="452"/>
      <c r="AB1064" s="452"/>
      <c r="AC1064" s="378">
        <f t="shared" si="458"/>
        <v>0</v>
      </c>
      <c r="AD1064" s="420"/>
      <c r="AE1064" s="241"/>
      <c r="AF1064" s="194"/>
      <c r="AG1064" s="194"/>
      <c r="AH1064" s="194"/>
      <c r="AI1064" s="194"/>
    </row>
    <row r="1065">
      <c r="A1065" s="391"/>
      <c r="B1065" s="393"/>
      <c r="C1065" s="394">
        <v>84.0</v>
      </c>
      <c r="D1065" s="885" t="s">
        <v>1160</v>
      </c>
      <c r="E1065" s="198" t="s">
        <v>326</v>
      </c>
      <c r="F1065" s="198" t="s">
        <v>98</v>
      </c>
      <c r="G1065" s="198" t="s">
        <v>98</v>
      </c>
      <c r="H1065" s="198" t="s">
        <v>1154</v>
      </c>
      <c r="I1065" s="198" t="s">
        <v>187</v>
      </c>
      <c r="J1065" s="198" t="s">
        <v>188</v>
      </c>
      <c r="K1065" s="396" t="s">
        <v>735</v>
      </c>
      <c r="L1065" s="397"/>
      <c r="M1065" s="398"/>
      <c r="N1065" s="399"/>
      <c r="O1065" s="399"/>
      <c r="P1065" s="399"/>
      <c r="Q1065" s="886"/>
      <c r="R1065" s="886"/>
      <c r="S1065" s="886"/>
      <c r="T1065" s="886"/>
      <c r="U1065" s="793">
        <v>1.83333333E8</v>
      </c>
      <c r="V1065" s="793">
        <v>1.83333333E8</v>
      </c>
      <c r="W1065" s="793">
        <v>1.83333333E8</v>
      </c>
      <c r="X1065" s="886"/>
      <c r="Y1065" s="886"/>
      <c r="Z1065" s="886"/>
      <c r="AA1065" s="886"/>
      <c r="AB1065" s="886"/>
      <c r="AC1065" s="794">
        <v>5.5E8</v>
      </c>
      <c r="AD1065" s="178">
        <f>SUM(Q1065:AB1065)-AC1065</f>
        <v>-1</v>
      </c>
      <c r="AE1065" s="241"/>
      <c r="AF1065" s="725">
        <v>5.5E8</v>
      </c>
      <c r="AG1065" s="194"/>
      <c r="AH1065" s="194"/>
      <c r="AI1065" s="194"/>
    </row>
    <row r="1066" hidden="1">
      <c r="A1066" s="391"/>
      <c r="B1066" s="393"/>
      <c r="C1066" s="402"/>
      <c r="D1066" s="795"/>
      <c r="E1066" s="403"/>
      <c r="F1066" s="403"/>
      <c r="G1066" s="403"/>
      <c r="H1066" s="404"/>
      <c r="I1066" s="404"/>
      <c r="J1066" s="405"/>
      <c r="K1066" s="406" t="s">
        <v>735</v>
      </c>
      <c r="L1066" s="407"/>
      <c r="M1066" s="796"/>
      <c r="N1066" s="733"/>
      <c r="O1066" s="733"/>
      <c r="P1066" s="733"/>
      <c r="Q1066" s="267"/>
      <c r="R1066" s="267"/>
      <c r="S1066" s="267"/>
      <c r="T1066" s="268"/>
      <c r="U1066" s="268"/>
      <c r="V1066" s="268"/>
      <c r="W1066" s="268"/>
      <c r="X1066" s="268"/>
      <c r="Y1066" s="268"/>
      <c r="Z1066" s="268"/>
      <c r="AA1066" s="268"/>
      <c r="AB1066" s="268"/>
      <c r="AC1066" s="637"/>
      <c r="AD1066" s="420"/>
      <c r="AE1066" s="411"/>
      <c r="AF1066" s="412"/>
      <c r="AG1066" s="412"/>
      <c r="AH1066" s="412"/>
      <c r="AI1066" s="412"/>
    </row>
    <row r="1067" hidden="1">
      <c r="A1067" s="391"/>
      <c r="B1067" s="393"/>
      <c r="C1067" s="413"/>
      <c r="D1067" s="250" t="s">
        <v>1161</v>
      </c>
      <c r="E1067" s="414"/>
      <c r="F1067" s="414"/>
      <c r="G1067" s="414"/>
      <c r="H1067" s="415"/>
      <c r="I1067" s="415"/>
      <c r="J1067" s="416"/>
      <c r="K1067" s="222" t="s">
        <v>735</v>
      </c>
      <c r="L1067" s="798"/>
      <c r="M1067" s="799"/>
      <c r="N1067" s="800"/>
      <c r="O1067" s="800"/>
      <c r="P1067" s="800"/>
      <c r="Q1067" s="229"/>
      <c r="R1067" s="229"/>
      <c r="S1067" s="229"/>
      <c r="T1067" s="600"/>
      <c r="U1067" s="452"/>
      <c r="V1067" s="452"/>
      <c r="W1067" s="452"/>
      <c r="X1067" s="452"/>
      <c r="Y1067" s="452"/>
      <c r="Z1067" s="452"/>
      <c r="AA1067" s="452"/>
      <c r="AB1067" s="452"/>
      <c r="AC1067" s="378">
        <f t="shared" ref="AC1067:AC1069" si="459">SUM(Q1067:AB1067)</f>
        <v>0</v>
      </c>
      <c r="AD1067" s="420"/>
      <c r="AE1067" s="241"/>
      <c r="AF1067" s="194"/>
      <c r="AG1067" s="194"/>
      <c r="AH1067" s="194"/>
      <c r="AI1067" s="194"/>
    </row>
    <row r="1068" hidden="1">
      <c r="A1068" s="391"/>
      <c r="B1068" s="393"/>
      <c r="C1068" s="413"/>
      <c r="D1068" s="286" t="s">
        <v>194</v>
      </c>
      <c r="E1068" s="414"/>
      <c r="F1068" s="414"/>
      <c r="G1068" s="414"/>
      <c r="H1068" s="415"/>
      <c r="I1068" s="415"/>
      <c r="J1068" s="416"/>
      <c r="K1068" s="222" t="s">
        <v>735</v>
      </c>
      <c r="L1068" s="417"/>
      <c r="M1068" s="799"/>
      <c r="N1068" s="800"/>
      <c r="O1068" s="800"/>
      <c r="P1068" s="800"/>
      <c r="Q1068" s="229"/>
      <c r="R1068" s="229"/>
      <c r="S1068" s="229"/>
      <c r="T1068" s="600"/>
      <c r="U1068" s="452"/>
      <c r="V1068" s="452"/>
      <c r="W1068" s="452"/>
      <c r="X1068" s="452"/>
      <c r="Y1068" s="452"/>
      <c r="Z1068" s="452"/>
      <c r="AA1068" s="452"/>
      <c r="AB1068" s="452"/>
      <c r="AC1068" s="378">
        <f t="shared" si="459"/>
        <v>0</v>
      </c>
      <c r="AD1068" s="420"/>
      <c r="AE1068" s="241"/>
      <c r="AF1068" s="194"/>
      <c r="AG1068" s="194"/>
      <c r="AH1068" s="194"/>
      <c r="AI1068" s="194"/>
    </row>
    <row r="1069" hidden="1">
      <c r="A1069" s="391"/>
      <c r="B1069" s="393"/>
      <c r="C1069" s="413"/>
      <c r="D1069" s="286" t="s">
        <v>1162</v>
      </c>
      <c r="E1069" s="414"/>
      <c r="F1069" s="414"/>
      <c r="G1069" s="414"/>
      <c r="H1069" s="415"/>
      <c r="I1069" s="415"/>
      <c r="J1069" s="416"/>
      <c r="K1069" s="222" t="s">
        <v>735</v>
      </c>
      <c r="L1069" s="417"/>
      <c r="M1069" s="799"/>
      <c r="N1069" s="800"/>
      <c r="O1069" s="800"/>
      <c r="P1069" s="800"/>
      <c r="Q1069" s="229"/>
      <c r="R1069" s="229"/>
      <c r="S1069" s="229"/>
      <c r="T1069" s="600"/>
      <c r="U1069" s="452"/>
      <c r="V1069" s="452"/>
      <c r="W1069" s="452"/>
      <c r="X1069" s="452"/>
      <c r="Y1069" s="452"/>
      <c r="Z1069" s="452"/>
      <c r="AA1069" s="452"/>
      <c r="AB1069" s="452"/>
      <c r="AC1069" s="378">
        <f t="shared" si="459"/>
        <v>0</v>
      </c>
      <c r="AD1069" s="420"/>
      <c r="AE1069" s="241"/>
      <c r="AF1069" s="194"/>
      <c r="AG1069" s="194"/>
      <c r="AH1069" s="194"/>
      <c r="AI1069" s="194"/>
    </row>
    <row r="1070">
      <c r="A1070" s="391"/>
      <c r="B1070" s="393"/>
      <c r="C1070" s="394">
        <v>85.0</v>
      </c>
      <c r="D1070" s="885" t="s">
        <v>1163</v>
      </c>
      <c r="E1070" s="198" t="s">
        <v>326</v>
      </c>
      <c r="F1070" s="198" t="s">
        <v>98</v>
      </c>
      <c r="G1070" s="198" t="s">
        <v>98</v>
      </c>
      <c r="H1070" s="198" t="s">
        <v>1154</v>
      </c>
      <c r="I1070" s="198" t="s">
        <v>187</v>
      </c>
      <c r="J1070" s="198" t="s">
        <v>188</v>
      </c>
      <c r="K1070" s="396" t="s">
        <v>735</v>
      </c>
      <c r="L1070" s="397"/>
      <c r="M1070" s="398"/>
      <c r="N1070" s="399"/>
      <c r="O1070" s="399"/>
      <c r="P1070" s="399"/>
      <c r="Q1070" s="886"/>
      <c r="R1070" s="886"/>
      <c r="S1070" s="886"/>
      <c r="T1070" s="886"/>
      <c r="U1070" s="886"/>
      <c r="V1070" s="886"/>
      <c r="W1070" s="793">
        <v>1.5E8</v>
      </c>
      <c r="X1070" s="886"/>
      <c r="Y1070" s="886"/>
      <c r="Z1070" s="886"/>
      <c r="AA1070" s="886"/>
      <c r="AB1070" s="886"/>
      <c r="AC1070" s="794">
        <v>1.5E8</v>
      </c>
      <c r="AD1070" s="178">
        <f>SUM(Q1070:AB1070)-AC1070</f>
        <v>0</v>
      </c>
      <c r="AE1070" s="241"/>
      <c r="AF1070" s="725">
        <v>1.5E8</v>
      </c>
      <c r="AG1070" s="194"/>
      <c r="AH1070" s="194"/>
      <c r="AI1070" s="194"/>
    </row>
    <row r="1071" hidden="1">
      <c r="A1071" s="391"/>
      <c r="B1071" s="393"/>
      <c r="C1071" s="402"/>
      <c r="D1071" s="795"/>
      <c r="E1071" s="403"/>
      <c r="F1071" s="403"/>
      <c r="G1071" s="403"/>
      <c r="H1071" s="404"/>
      <c r="I1071" s="404"/>
      <c r="J1071" s="405"/>
      <c r="K1071" s="406" t="s">
        <v>735</v>
      </c>
      <c r="L1071" s="407"/>
      <c r="M1071" s="796"/>
      <c r="N1071" s="733"/>
      <c r="O1071" s="733"/>
      <c r="P1071" s="733"/>
      <c r="Q1071" s="267"/>
      <c r="R1071" s="267"/>
      <c r="S1071" s="267"/>
      <c r="T1071" s="268"/>
      <c r="U1071" s="268"/>
      <c r="V1071" s="268"/>
      <c r="W1071" s="268"/>
      <c r="X1071" s="268"/>
      <c r="Y1071" s="268"/>
      <c r="Z1071" s="268"/>
      <c r="AA1071" s="268"/>
      <c r="AB1071" s="268"/>
      <c r="AC1071" s="637"/>
      <c r="AD1071" s="420"/>
      <c r="AE1071" s="411"/>
      <c r="AF1071" s="412"/>
      <c r="AG1071" s="412"/>
      <c r="AH1071" s="412"/>
      <c r="AI1071" s="412"/>
    </row>
    <row r="1072" hidden="1">
      <c r="A1072" s="391"/>
      <c r="B1072" s="393"/>
      <c r="C1072" s="413"/>
      <c r="D1072" s="250" t="s">
        <v>1164</v>
      </c>
      <c r="E1072" s="414"/>
      <c r="F1072" s="414"/>
      <c r="G1072" s="414"/>
      <c r="H1072" s="415"/>
      <c r="I1072" s="415"/>
      <c r="J1072" s="416"/>
      <c r="K1072" s="222" t="s">
        <v>735</v>
      </c>
      <c r="L1072" s="798"/>
      <c r="M1072" s="799"/>
      <c r="N1072" s="800"/>
      <c r="O1072" s="800"/>
      <c r="P1072" s="800"/>
      <c r="Q1072" s="229"/>
      <c r="R1072" s="229"/>
      <c r="S1072" s="229"/>
      <c r="T1072" s="600"/>
      <c r="U1072" s="452"/>
      <c r="V1072" s="452"/>
      <c r="W1072" s="452"/>
      <c r="X1072" s="452"/>
      <c r="Y1072" s="452"/>
      <c r="Z1072" s="452"/>
      <c r="AA1072" s="452"/>
      <c r="AB1072" s="452"/>
      <c r="AC1072" s="378">
        <f t="shared" ref="AC1072:AC1074" si="460">SUM(Q1072:AB1072)</f>
        <v>0</v>
      </c>
      <c r="AD1072" s="420"/>
      <c r="AE1072" s="241"/>
      <c r="AF1072" s="194"/>
      <c r="AG1072" s="194"/>
      <c r="AH1072" s="194"/>
      <c r="AI1072" s="194"/>
    </row>
    <row r="1073" hidden="1">
      <c r="A1073" s="391"/>
      <c r="B1073" s="393"/>
      <c r="C1073" s="413"/>
      <c r="D1073" s="286" t="s">
        <v>194</v>
      </c>
      <c r="E1073" s="414"/>
      <c r="F1073" s="414"/>
      <c r="G1073" s="414"/>
      <c r="H1073" s="415"/>
      <c r="I1073" s="415"/>
      <c r="J1073" s="416"/>
      <c r="K1073" s="222" t="s">
        <v>735</v>
      </c>
      <c r="L1073" s="417"/>
      <c r="M1073" s="799"/>
      <c r="N1073" s="800"/>
      <c r="O1073" s="800"/>
      <c r="P1073" s="800"/>
      <c r="Q1073" s="229"/>
      <c r="R1073" s="229"/>
      <c r="S1073" s="229"/>
      <c r="T1073" s="600"/>
      <c r="U1073" s="452"/>
      <c r="V1073" s="452"/>
      <c r="W1073" s="452"/>
      <c r="X1073" s="452"/>
      <c r="Y1073" s="452"/>
      <c r="Z1073" s="452"/>
      <c r="AA1073" s="452"/>
      <c r="AB1073" s="452"/>
      <c r="AC1073" s="378">
        <f t="shared" si="460"/>
        <v>0</v>
      </c>
      <c r="AD1073" s="420"/>
      <c r="AE1073" s="241"/>
      <c r="AF1073" s="194"/>
      <c r="AG1073" s="194"/>
      <c r="AH1073" s="194"/>
      <c r="AI1073" s="194"/>
    </row>
    <row r="1074" hidden="1">
      <c r="A1074" s="391"/>
      <c r="B1074" s="393"/>
      <c r="C1074" s="413"/>
      <c r="D1074" s="286" t="s">
        <v>1165</v>
      </c>
      <c r="E1074" s="414"/>
      <c r="F1074" s="414"/>
      <c r="G1074" s="414"/>
      <c r="H1074" s="415"/>
      <c r="I1074" s="415"/>
      <c r="J1074" s="416"/>
      <c r="K1074" s="222" t="s">
        <v>735</v>
      </c>
      <c r="L1074" s="417"/>
      <c r="M1074" s="799"/>
      <c r="N1074" s="800"/>
      <c r="O1074" s="800"/>
      <c r="P1074" s="800"/>
      <c r="Q1074" s="229"/>
      <c r="R1074" s="229"/>
      <c r="S1074" s="229"/>
      <c r="T1074" s="600"/>
      <c r="U1074" s="452"/>
      <c r="V1074" s="452"/>
      <c r="W1074" s="452"/>
      <c r="X1074" s="452"/>
      <c r="Y1074" s="452"/>
      <c r="Z1074" s="452"/>
      <c r="AA1074" s="452"/>
      <c r="AB1074" s="452"/>
      <c r="AC1074" s="378">
        <f t="shared" si="460"/>
        <v>0</v>
      </c>
      <c r="AD1074" s="420"/>
      <c r="AE1074" s="241"/>
      <c r="AF1074" s="194"/>
      <c r="AG1074" s="194"/>
      <c r="AH1074" s="194"/>
      <c r="AI1074" s="194"/>
    </row>
    <row r="1075">
      <c r="A1075" s="391"/>
      <c r="B1075" s="393"/>
      <c r="C1075" s="394">
        <v>86.0</v>
      </c>
      <c r="D1075" s="885" t="s">
        <v>1166</v>
      </c>
      <c r="E1075" s="198" t="s">
        <v>326</v>
      </c>
      <c r="F1075" s="198" t="s">
        <v>98</v>
      </c>
      <c r="G1075" s="198" t="s">
        <v>98</v>
      </c>
      <c r="H1075" s="198" t="s">
        <v>1154</v>
      </c>
      <c r="I1075" s="198" t="s">
        <v>253</v>
      </c>
      <c r="J1075" s="198" t="s">
        <v>254</v>
      </c>
      <c r="K1075" s="396" t="s">
        <v>735</v>
      </c>
      <c r="L1075" s="397"/>
      <c r="M1075" s="398"/>
      <c r="N1075" s="399"/>
      <c r="O1075" s="399"/>
      <c r="P1075" s="399"/>
      <c r="Q1075" s="886"/>
      <c r="R1075" s="886"/>
      <c r="S1075" s="886"/>
      <c r="T1075" s="886"/>
      <c r="U1075" s="886"/>
      <c r="V1075" s="886"/>
      <c r="W1075" s="886"/>
      <c r="X1075" s="886"/>
      <c r="Y1075" s="793">
        <v>3.0E8</v>
      </c>
      <c r="Z1075" s="886"/>
      <c r="AA1075" s="886"/>
      <c r="AB1075" s="886"/>
      <c r="AC1075" s="794">
        <v>3.0E8</v>
      </c>
      <c r="AD1075" s="178">
        <f>SUM(Q1075:AB1075)-AC1075</f>
        <v>0</v>
      </c>
      <c r="AE1075" s="241"/>
      <c r="AF1075" s="725">
        <v>3.0E8</v>
      </c>
      <c r="AG1075" s="194"/>
      <c r="AH1075" s="194"/>
      <c r="AI1075" s="194"/>
    </row>
    <row r="1076" hidden="1">
      <c r="A1076" s="391"/>
      <c r="B1076" s="393"/>
      <c r="C1076" s="402"/>
      <c r="D1076" s="795"/>
      <c r="E1076" s="403"/>
      <c r="F1076" s="403"/>
      <c r="G1076" s="403"/>
      <c r="H1076" s="404"/>
      <c r="I1076" s="404"/>
      <c r="J1076" s="405"/>
      <c r="K1076" s="406" t="s">
        <v>735</v>
      </c>
      <c r="L1076" s="407"/>
      <c r="M1076" s="796"/>
      <c r="N1076" s="733"/>
      <c r="O1076" s="733"/>
      <c r="P1076" s="733"/>
      <c r="Q1076" s="267"/>
      <c r="R1076" s="267"/>
      <c r="S1076" s="267"/>
      <c r="T1076" s="268"/>
      <c r="U1076" s="268"/>
      <c r="V1076" s="268"/>
      <c r="W1076" s="268"/>
      <c r="X1076" s="268"/>
      <c r="Y1076" s="268"/>
      <c r="Z1076" s="268"/>
      <c r="AA1076" s="268"/>
      <c r="AB1076" s="268"/>
      <c r="AC1076" s="637"/>
      <c r="AD1076" s="420"/>
      <c r="AE1076" s="411"/>
      <c r="AF1076" s="412"/>
      <c r="AG1076" s="412"/>
      <c r="AH1076" s="412"/>
      <c r="AI1076" s="412"/>
    </row>
    <row r="1077" hidden="1">
      <c r="A1077" s="391"/>
      <c r="B1077" s="393"/>
      <c r="C1077" s="413"/>
      <c r="D1077" s="250" t="s">
        <v>1167</v>
      </c>
      <c r="E1077" s="414"/>
      <c r="F1077" s="414"/>
      <c r="G1077" s="414"/>
      <c r="H1077" s="415"/>
      <c r="I1077" s="415"/>
      <c r="J1077" s="416"/>
      <c r="K1077" s="222" t="s">
        <v>735</v>
      </c>
      <c r="L1077" s="798"/>
      <c r="M1077" s="799"/>
      <c r="N1077" s="800"/>
      <c r="O1077" s="800"/>
      <c r="P1077" s="800"/>
      <c r="Q1077" s="229"/>
      <c r="R1077" s="229"/>
      <c r="S1077" s="229"/>
      <c r="T1077" s="600"/>
      <c r="U1077" s="452"/>
      <c r="V1077" s="452"/>
      <c r="W1077" s="452"/>
      <c r="X1077" s="452"/>
      <c r="Y1077" s="452"/>
      <c r="Z1077" s="452"/>
      <c r="AA1077" s="452"/>
      <c r="AB1077" s="452"/>
      <c r="AC1077" s="378">
        <f t="shared" ref="AC1077:AC1079" si="461">SUM(Q1077:AB1077)</f>
        <v>0</v>
      </c>
      <c r="AD1077" s="420"/>
      <c r="AE1077" s="241"/>
      <c r="AF1077" s="194"/>
      <c r="AG1077" s="194"/>
      <c r="AH1077" s="194"/>
      <c r="AI1077" s="194"/>
    </row>
    <row r="1078" hidden="1">
      <c r="A1078" s="391"/>
      <c r="B1078" s="393"/>
      <c r="C1078" s="413"/>
      <c r="D1078" s="286" t="s">
        <v>194</v>
      </c>
      <c r="E1078" s="414"/>
      <c r="F1078" s="414"/>
      <c r="G1078" s="414"/>
      <c r="H1078" s="415"/>
      <c r="I1078" s="415"/>
      <c r="J1078" s="416"/>
      <c r="K1078" s="222" t="s">
        <v>735</v>
      </c>
      <c r="L1078" s="417"/>
      <c r="M1078" s="799"/>
      <c r="N1078" s="800"/>
      <c r="O1078" s="800"/>
      <c r="P1078" s="800"/>
      <c r="Q1078" s="229"/>
      <c r="R1078" s="229"/>
      <c r="S1078" s="229"/>
      <c r="T1078" s="600"/>
      <c r="U1078" s="452"/>
      <c r="V1078" s="452"/>
      <c r="W1078" s="452"/>
      <c r="X1078" s="452"/>
      <c r="Y1078" s="452"/>
      <c r="Z1078" s="452"/>
      <c r="AA1078" s="452"/>
      <c r="AB1078" s="452"/>
      <c r="AC1078" s="378">
        <f t="shared" si="461"/>
        <v>0</v>
      </c>
      <c r="AD1078" s="420"/>
      <c r="AE1078" s="241"/>
      <c r="AF1078" s="194"/>
      <c r="AG1078" s="194"/>
      <c r="AH1078" s="194"/>
      <c r="AI1078" s="194"/>
    </row>
    <row r="1079" hidden="1">
      <c r="A1079" s="391"/>
      <c r="B1079" s="393"/>
      <c r="C1079" s="413"/>
      <c r="D1079" s="286" t="s">
        <v>1168</v>
      </c>
      <c r="E1079" s="414"/>
      <c r="F1079" s="414"/>
      <c r="G1079" s="414"/>
      <c r="H1079" s="415"/>
      <c r="I1079" s="415"/>
      <c r="J1079" s="416"/>
      <c r="K1079" s="222" t="s">
        <v>735</v>
      </c>
      <c r="L1079" s="417"/>
      <c r="M1079" s="799"/>
      <c r="N1079" s="800"/>
      <c r="O1079" s="800"/>
      <c r="P1079" s="800"/>
      <c r="Q1079" s="229"/>
      <c r="R1079" s="229"/>
      <c r="S1079" s="229"/>
      <c r="T1079" s="600"/>
      <c r="U1079" s="452"/>
      <c r="V1079" s="452"/>
      <c r="W1079" s="452"/>
      <c r="X1079" s="452"/>
      <c r="Y1079" s="452"/>
      <c r="Z1079" s="452"/>
      <c r="AA1079" s="452"/>
      <c r="AB1079" s="452"/>
      <c r="AC1079" s="378">
        <f t="shared" si="461"/>
        <v>0</v>
      </c>
      <c r="AD1079" s="420"/>
      <c r="AE1079" s="241"/>
      <c r="AF1079" s="194"/>
      <c r="AG1079" s="194"/>
      <c r="AH1079" s="194"/>
      <c r="AI1079" s="194"/>
    </row>
    <row r="1080">
      <c r="A1080" s="391"/>
      <c r="B1080" s="393"/>
      <c r="C1080" s="394">
        <v>87.0</v>
      </c>
      <c r="D1080" s="885" t="s">
        <v>1169</v>
      </c>
      <c r="E1080" s="198" t="s">
        <v>326</v>
      </c>
      <c r="F1080" s="198" t="s">
        <v>98</v>
      </c>
      <c r="G1080" s="198" t="s">
        <v>98</v>
      </c>
      <c r="H1080" s="198" t="s">
        <v>1154</v>
      </c>
      <c r="I1080" s="198" t="s">
        <v>187</v>
      </c>
      <c r="J1080" s="198" t="s">
        <v>188</v>
      </c>
      <c r="K1080" s="396" t="s">
        <v>735</v>
      </c>
      <c r="L1080" s="397"/>
      <c r="M1080" s="398"/>
      <c r="N1080" s="399"/>
      <c r="O1080" s="399"/>
      <c r="P1080" s="399"/>
      <c r="Q1080" s="886"/>
      <c r="R1080" s="886"/>
      <c r="S1080" s="886"/>
      <c r="T1080" s="886"/>
      <c r="U1080" s="886"/>
      <c r="V1080" s="886"/>
      <c r="W1080" s="886"/>
      <c r="X1080" s="886"/>
      <c r="Y1080" s="793">
        <v>1.75E8</v>
      </c>
      <c r="Z1080" s="793">
        <v>1.75E8</v>
      </c>
      <c r="AA1080" s="886"/>
      <c r="AB1080" s="886"/>
      <c r="AC1080" s="794">
        <v>3.5E8</v>
      </c>
      <c r="AD1080" s="178">
        <f>SUM(Q1080:AB1080)-AC1080</f>
        <v>0</v>
      </c>
      <c r="AE1080" s="241"/>
      <c r="AF1080" s="725">
        <v>3.5E8</v>
      </c>
      <c r="AG1080" s="194"/>
      <c r="AH1080" s="194"/>
      <c r="AI1080" s="194"/>
    </row>
    <row r="1081" hidden="1">
      <c r="A1081" s="391"/>
      <c r="B1081" s="393"/>
      <c r="C1081" s="402"/>
      <c r="D1081" s="795"/>
      <c r="E1081" s="403"/>
      <c r="F1081" s="403"/>
      <c r="G1081" s="403"/>
      <c r="H1081" s="404"/>
      <c r="I1081" s="404"/>
      <c r="J1081" s="405"/>
      <c r="K1081" s="406" t="s">
        <v>735</v>
      </c>
      <c r="L1081" s="407"/>
      <c r="M1081" s="796"/>
      <c r="N1081" s="733"/>
      <c r="O1081" s="733"/>
      <c r="P1081" s="733"/>
      <c r="Q1081" s="267"/>
      <c r="R1081" s="267"/>
      <c r="S1081" s="267"/>
      <c r="T1081" s="268"/>
      <c r="U1081" s="268"/>
      <c r="V1081" s="268"/>
      <c r="W1081" s="268"/>
      <c r="X1081" s="268"/>
      <c r="Y1081" s="268"/>
      <c r="Z1081" s="268"/>
      <c r="AA1081" s="268"/>
      <c r="AB1081" s="268"/>
      <c r="AC1081" s="637"/>
      <c r="AD1081" s="420"/>
      <c r="AE1081" s="411"/>
      <c r="AF1081" s="412"/>
      <c r="AG1081" s="412"/>
      <c r="AH1081" s="412"/>
      <c r="AI1081" s="412"/>
    </row>
    <row r="1082" hidden="1">
      <c r="A1082" s="391"/>
      <c r="B1082" s="393"/>
      <c r="C1082" s="413"/>
      <c r="D1082" s="250" t="s">
        <v>1170</v>
      </c>
      <c r="E1082" s="414"/>
      <c r="F1082" s="414"/>
      <c r="G1082" s="414"/>
      <c r="H1082" s="415"/>
      <c r="I1082" s="415"/>
      <c r="J1082" s="416"/>
      <c r="K1082" s="222" t="s">
        <v>735</v>
      </c>
      <c r="L1082" s="798"/>
      <c r="M1082" s="799"/>
      <c r="N1082" s="800"/>
      <c r="O1082" s="800"/>
      <c r="P1082" s="800"/>
      <c r="Q1082" s="229"/>
      <c r="R1082" s="229"/>
      <c r="S1082" s="229"/>
      <c r="T1082" s="600"/>
      <c r="U1082" s="452"/>
      <c r="V1082" s="452"/>
      <c r="W1082" s="452"/>
      <c r="X1082" s="452"/>
      <c r="Y1082" s="452"/>
      <c r="Z1082" s="452"/>
      <c r="AA1082" s="452"/>
      <c r="AB1082" s="452"/>
      <c r="AC1082" s="378">
        <f t="shared" ref="AC1082:AC1084" si="462">SUM(Q1082:AB1082)</f>
        <v>0</v>
      </c>
      <c r="AD1082" s="420"/>
      <c r="AE1082" s="241"/>
      <c r="AF1082" s="194"/>
      <c r="AG1082" s="194"/>
      <c r="AH1082" s="194"/>
      <c r="AI1082" s="194"/>
    </row>
    <row r="1083" hidden="1">
      <c r="A1083" s="391"/>
      <c r="B1083" s="393"/>
      <c r="C1083" s="413"/>
      <c r="D1083" s="286" t="s">
        <v>194</v>
      </c>
      <c r="E1083" s="414"/>
      <c r="F1083" s="414"/>
      <c r="G1083" s="414"/>
      <c r="H1083" s="415"/>
      <c r="I1083" s="415"/>
      <c r="J1083" s="416"/>
      <c r="K1083" s="222" t="s">
        <v>735</v>
      </c>
      <c r="L1083" s="417"/>
      <c r="M1083" s="799"/>
      <c r="N1083" s="800"/>
      <c r="O1083" s="800"/>
      <c r="P1083" s="800"/>
      <c r="Q1083" s="229"/>
      <c r="R1083" s="229"/>
      <c r="S1083" s="229"/>
      <c r="T1083" s="600"/>
      <c r="U1083" s="452"/>
      <c r="V1083" s="452"/>
      <c r="W1083" s="452"/>
      <c r="X1083" s="452"/>
      <c r="Y1083" s="452"/>
      <c r="Z1083" s="452"/>
      <c r="AA1083" s="452"/>
      <c r="AB1083" s="452"/>
      <c r="AC1083" s="378">
        <f t="shared" si="462"/>
        <v>0</v>
      </c>
      <c r="AD1083" s="420"/>
      <c r="AE1083" s="241"/>
      <c r="AF1083" s="194"/>
      <c r="AG1083" s="194"/>
      <c r="AH1083" s="194"/>
      <c r="AI1083" s="194"/>
    </row>
    <row r="1084" hidden="1">
      <c r="A1084" s="391"/>
      <c r="B1084" s="393"/>
      <c r="C1084" s="413"/>
      <c r="D1084" s="286" t="s">
        <v>1171</v>
      </c>
      <c r="E1084" s="414"/>
      <c r="F1084" s="414"/>
      <c r="G1084" s="414"/>
      <c r="H1084" s="415"/>
      <c r="I1084" s="415"/>
      <c r="J1084" s="416"/>
      <c r="K1084" s="222" t="s">
        <v>735</v>
      </c>
      <c r="L1084" s="417"/>
      <c r="M1084" s="799"/>
      <c r="N1084" s="800"/>
      <c r="O1084" s="800"/>
      <c r="P1084" s="800"/>
      <c r="Q1084" s="229"/>
      <c r="R1084" s="229"/>
      <c r="S1084" s="229"/>
      <c r="T1084" s="600"/>
      <c r="U1084" s="452"/>
      <c r="V1084" s="452"/>
      <c r="W1084" s="452"/>
      <c r="X1084" s="452"/>
      <c r="Y1084" s="452"/>
      <c r="Z1084" s="452"/>
      <c r="AA1084" s="452"/>
      <c r="AB1084" s="452"/>
      <c r="AC1084" s="378">
        <f t="shared" si="462"/>
        <v>0</v>
      </c>
      <c r="AD1084" s="420"/>
      <c r="AE1084" s="241"/>
      <c r="AF1084" s="194"/>
      <c r="AG1084" s="194"/>
      <c r="AH1084" s="194"/>
      <c r="AI1084" s="194"/>
    </row>
    <row r="1085">
      <c r="A1085" s="391"/>
      <c r="B1085" s="393"/>
      <c r="C1085" s="394">
        <v>88.0</v>
      </c>
      <c r="D1085" s="885" t="s">
        <v>1172</v>
      </c>
      <c r="E1085" s="198" t="s">
        <v>326</v>
      </c>
      <c r="F1085" s="198" t="s">
        <v>98</v>
      </c>
      <c r="G1085" s="198" t="s">
        <v>98</v>
      </c>
      <c r="H1085" s="198" t="s">
        <v>1154</v>
      </c>
      <c r="I1085" s="198" t="s">
        <v>187</v>
      </c>
      <c r="J1085" s="198" t="s">
        <v>188</v>
      </c>
      <c r="K1085" s="396" t="s">
        <v>735</v>
      </c>
      <c r="L1085" s="397"/>
      <c r="M1085" s="398"/>
      <c r="N1085" s="399"/>
      <c r="O1085" s="399"/>
      <c r="P1085" s="399"/>
      <c r="Q1085" s="886"/>
      <c r="R1085" s="886"/>
      <c r="S1085" s="886"/>
      <c r="T1085" s="886"/>
      <c r="U1085" s="886"/>
      <c r="V1085" s="886"/>
      <c r="W1085" s="886"/>
      <c r="X1085" s="886"/>
      <c r="Y1085" s="886"/>
      <c r="Z1085" s="886"/>
      <c r="AA1085" s="793">
        <v>4.25E8</v>
      </c>
      <c r="AB1085" s="793">
        <v>4.25E8</v>
      </c>
      <c r="AC1085" s="794">
        <v>8.5E8</v>
      </c>
      <c r="AD1085" s="178">
        <f>SUM(Q1085:AB1085)-AC1085</f>
        <v>0</v>
      </c>
      <c r="AE1085" s="241"/>
      <c r="AF1085" s="725">
        <v>8.5E8</v>
      </c>
      <c r="AG1085" s="194"/>
      <c r="AH1085" s="194"/>
      <c r="AI1085" s="194"/>
    </row>
    <row r="1086" hidden="1">
      <c r="A1086" s="391"/>
      <c r="B1086" s="393"/>
      <c r="C1086" s="402"/>
      <c r="D1086" s="795"/>
      <c r="E1086" s="403"/>
      <c r="F1086" s="403"/>
      <c r="G1086" s="403"/>
      <c r="H1086" s="404"/>
      <c r="I1086" s="404"/>
      <c r="J1086" s="405"/>
      <c r="K1086" s="406" t="s">
        <v>735</v>
      </c>
      <c r="L1086" s="407"/>
      <c r="M1086" s="796"/>
      <c r="N1086" s="733"/>
      <c r="O1086" s="733"/>
      <c r="P1086" s="733"/>
      <c r="Q1086" s="267"/>
      <c r="R1086" s="267"/>
      <c r="S1086" s="267"/>
      <c r="T1086" s="268"/>
      <c r="U1086" s="268"/>
      <c r="V1086" s="268"/>
      <c r="W1086" s="268"/>
      <c r="X1086" s="268"/>
      <c r="Y1086" s="268"/>
      <c r="Z1086" s="268"/>
      <c r="AA1086" s="268"/>
      <c r="AB1086" s="268"/>
      <c r="AC1086" s="637"/>
      <c r="AD1086" s="420"/>
      <c r="AE1086" s="411"/>
      <c r="AF1086" s="412"/>
      <c r="AG1086" s="412"/>
      <c r="AH1086" s="412"/>
      <c r="AI1086" s="412"/>
    </row>
    <row r="1087" hidden="1">
      <c r="A1087" s="391"/>
      <c r="B1087" s="393"/>
      <c r="C1087" s="413"/>
      <c r="D1087" s="250" t="s">
        <v>1173</v>
      </c>
      <c r="E1087" s="414"/>
      <c r="F1087" s="414"/>
      <c r="G1087" s="414"/>
      <c r="H1087" s="415"/>
      <c r="I1087" s="415"/>
      <c r="J1087" s="416"/>
      <c r="K1087" s="222" t="s">
        <v>735</v>
      </c>
      <c r="L1087" s="798"/>
      <c r="M1087" s="799"/>
      <c r="N1087" s="800"/>
      <c r="O1087" s="800"/>
      <c r="P1087" s="800"/>
      <c r="Q1087" s="229"/>
      <c r="R1087" s="229"/>
      <c r="S1087" s="229"/>
      <c r="T1087" s="600"/>
      <c r="U1087" s="452"/>
      <c r="V1087" s="452"/>
      <c r="W1087" s="452"/>
      <c r="X1087" s="452"/>
      <c r="Y1087" s="452"/>
      <c r="Z1087" s="452"/>
      <c r="AA1087" s="452"/>
      <c r="AB1087" s="452"/>
      <c r="AC1087" s="378">
        <f t="shared" ref="AC1087:AC1089" si="463">SUM(Q1087:AB1087)</f>
        <v>0</v>
      </c>
      <c r="AD1087" s="420"/>
      <c r="AE1087" s="241"/>
      <c r="AF1087" s="194"/>
      <c r="AG1087" s="194"/>
      <c r="AH1087" s="194"/>
      <c r="AI1087" s="194"/>
    </row>
    <row r="1088" hidden="1">
      <c r="A1088" s="391"/>
      <c r="B1088" s="393"/>
      <c r="C1088" s="413"/>
      <c r="D1088" s="286" t="s">
        <v>194</v>
      </c>
      <c r="E1088" s="414"/>
      <c r="F1088" s="414"/>
      <c r="G1088" s="414"/>
      <c r="H1088" s="415"/>
      <c r="I1088" s="415"/>
      <c r="J1088" s="416"/>
      <c r="K1088" s="222" t="s">
        <v>735</v>
      </c>
      <c r="L1088" s="417"/>
      <c r="M1088" s="799"/>
      <c r="N1088" s="800"/>
      <c r="O1088" s="800"/>
      <c r="P1088" s="800"/>
      <c r="Q1088" s="229"/>
      <c r="R1088" s="229"/>
      <c r="S1088" s="229"/>
      <c r="T1088" s="600"/>
      <c r="U1088" s="452"/>
      <c r="V1088" s="452"/>
      <c r="W1088" s="452"/>
      <c r="X1088" s="452"/>
      <c r="Y1088" s="452"/>
      <c r="Z1088" s="452"/>
      <c r="AA1088" s="452"/>
      <c r="AB1088" s="452"/>
      <c r="AC1088" s="378">
        <f t="shared" si="463"/>
        <v>0</v>
      </c>
      <c r="AD1088" s="420"/>
      <c r="AE1088" s="241"/>
      <c r="AF1088" s="194"/>
      <c r="AG1088" s="194"/>
      <c r="AH1088" s="194"/>
      <c r="AI1088" s="194"/>
    </row>
    <row r="1089" hidden="1">
      <c r="A1089" s="391"/>
      <c r="B1089" s="393"/>
      <c r="C1089" s="413"/>
      <c r="D1089" s="286" t="s">
        <v>1174</v>
      </c>
      <c r="E1089" s="414"/>
      <c r="F1089" s="414"/>
      <c r="G1089" s="414"/>
      <c r="H1089" s="415"/>
      <c r="I1089" s="415"/>
      <c r="J1089" s="416"/>
      <c r="K1089" s="222" t="s">
        <v>735</v>
      </c>
      <c r="L1089" s="417"/>
      <c r="M1089" s="799"/>
      <c r="N1089" s="800"/>
      <c r="O1089" s="800"/>
      <c r="P1089" s="800"/>
      <c r="Q1089" s="229"/>
      <c r="R1089" s="229"/>
      <c r="S1089" s="229"/>
      <c r="T1089" s="600"/>
      <c r="U1089" s="452"/>
      <c r="V1089" s="452"/>
      <c r="W1089" s="452"/>
      <c r="X1089" s="452"/>
      <c r="Y1089" s="452"/>
      <c r="Z1089" s="452"/>
      <c r="AA1089" s="452"/>
      <c r="AB1089" s="452"/>
      <c r="AC1089" s="378">
        <f t="shared" si="463"/>
        <v>0</v>
      </c>
      <c r="AD1089" s="420"/>
      <c r="AE1089" s="241"/>
      <c r="AF1089" s="194"/>
      <c r="AG1089" s="194"/>
      <c r="AH1089" s="194"/>
      <c r="AI1089" s="194"/>
    </row>
    <row r="1090">
      <c r="A1090" s="391"/>
      <c r="B1090" s="393"/>
      <c r="C1090" s="394">
        <v>89.0</v>
      </c>
      <c r="D1090" s="885" t="s">
        <v>1175</v>
      </c>
      <c r="E1090" s="198" t="s">
        <v>326</v>
      </c>
      <c r="F1090" s="198" t="s">
        <v>98</v>
      </c>
      <c r="G1090" s="198" t="s">
        <v>98</v>
      </c>
      <c r="H1090" s="198" t="s">
        <v>1176</v>
      </c>
      <c r="I1090" s="198" t="s">
        <v>187</v>
      </c>
      <c r="J1090" s="198" t="s">
        <v>188</v>
      </c>
      <c r="K1090" s="396" t="s">
        <v>735</v>
      </c>
      <c r="L1090" s="397"/>
      <c r="M1090" s="398"/>
      <c r="N1090" s="399"/>
      <c r="O1090" s="399"/>
      <c r="P1090" s="399"/>
      <c r="Q1090" s="793">
        <v>2.0E8</v>
      </c>
      <c r="R1090" s="793">
        <v>2.0E8</v>
      </c>
      <c r="S1090" s="793">
        <v>2.0E8</v>
      </c>
      <c r="T1090" s="793">
        <v>2.0E8</v>
      </c>
      <c r="U1090" s="886"/>
      <c r="V1090" s="886"/>
      <c r="W1090" s="886"/>
      <c r="X1090" s="886"/>
      <c r="Y1090" s="886"/>
      <c r="Z1090" s="886"/>
      <c r="AA1090" s="886"/>
      <c r="AB1090" s="886"/>
      <c r="AC1090" s="794">
        <v>8.0E8</v>
      </c>
      <c r="AD1090" s="178">
        <f>SUM(Q1090:AB1090)-AC1090</f>
        <v>0</v>
      </c>
      <c r="AE1090" s="241"/>
      <c r="AF1090" s="725">
        <v>8.0E8</v>
      </c>
      <c r="AG1090" s="194"/>
      <c r="AH1090" s="194"/>
      <c r="AI1090" s="194"/>
    </row>
    <row r="1091" hidden="1">
      <c r="A1091" s="391"/>
      <c r="B1091" s="393"/>
      <c r="C1091" s="402"/>
      <c r="D1091" s="795"/>
      <c r="E1091" s="403"/>
      <c r="F1091" s="403"/>
      <c r="G1091" s="403"/>
      <c r="H1091" s="404"/>
      <c r="I1091" s="404"/>
      <c r="J1091" s="405"/>
      <c r="K1091" s="406" t="s">
        <v>735</v>
      </c>
      <c r="L1091" s="407"/>
      <c r="M1091" s="796"/>
      <c r="N1091" s="733"/>
      <c r="O1091" s="733"/>
      <c r="P1091" s="733"/>
      <c r="Q1091" s="267"/>
      <c r="R1091" s="267"/>
      <c r="S1091" s="267"/>
      <c r="T1091" s="268"/>
      <c r="U1091" s="268"/>
      <c r="V1091" s="268"/>
      <c r="W1091" s="268"/>
      <c r="X1091" s="268"/>
      <c r="Y1091" s="268"/>
      <c r="Z1091" s="268"/>
      <c r="AA1091" s="268"/>
      <c r="AB1091" s="268"/>
      <c r="AC1091" s="637"/>
      <c r="AD1091" s="420"/>
      <c r="AE1091" s="411"/>
      <c r="AF1091" s="412"/>
      <c r="AG1091" s="412"/>
      <c r="AH1091" s="412"/>
      <c r="AI1091" s="412"/>
    </row>
    <row r="1092" hidden="1">
      <c r="A1092" s="391"/>
      <c r="B1092" s="393"/>
      <c r="C1092" s="413"/>
      <c r="D1092" s="250" t="s">
        <v>1177</v>
      </c>
      <c r="E1092" s="414"/>
      <c r="F1092" s="414"/>
      <c r="G1092" s="414"/>
      <c r="H1092" s="415"/>
      <c r="I1092" s="415"/>
      <c r="J1092" s="416"/>
      <c r="K1092" s="222" t="s">
        <v>735</v>
      </c>
      <c r="L1092" s="798"/>
      <c r="M1092" s="799"/>
      <c r="N1092" s="800"/>
      <c r="O1092" s="800"/>
      <c r="P1092" s="800"/>
      <c r="Q1092" s="229"/>
      <c r="R1092" s="229"/>
      <c r="S1092" s="229"/>
      <c r="T1092" s="600"/>
      <c r="U1092" s="452"/>
      <c r="V1092" s="452"/>
      <c r="W1092" s="452"/>
      <c r="X1092" s="452"/>
      <c r="Y1092" s="452"/>
      <c r="Z1092" s="452"/>
      <c r="AA1092" s="452"/>
      <c r="AB1092" s="452"/>
      <c r="AC1092" s="378">
        <f t="shared" ref="AC1092:AC1094" si="464">SUM(Q1092:AB1092)</f>
        <v>0</v>
      </c>
      <c r="AD1092" s="420"/>
      <c r="AE1092" s="241"/>
      <c r="AF1092" s="194"/>
      <c r="AG1092" s="194"/>
      <c r="AH1092" s="194"/>
      <c r="AI1092" s="194"/>
    </row>
    <row r="1093" hidden="1">
      <c r="A1093" s="391"/>
      <c r="B1093" s="393"/>
      <c r="C1093" s="413"/>
      <c r="D1093" s="286" t="s">
        <v>194</v>
      </c>
      <c r="E1093" s="414"/>
      <c r="F1093" s="414"/>
      <c r="G1093" s="414"/>
      <c r="H1093" s="415"/>
      <c r="I1093" s="415"/>
      <c r="J1093" s="416"/>
      <c r="K1093" s="222" t="s">
        <v>735</v>
      </c>
      <c r="L1093" s="417"/>
      <c r="M1093" s="799"/>
      <c r="N1093" s="800"/>
      <c r="O1093" s="800"/>
      <c r="P1093" s="800"/>
      <c r="Q1093" s="229"/>
      <c r="R1093" s="229"/>
      <c r="S1093" s="229"/>
      <c r="T1093" s="600"/>
      <c r="U1093" s="452"/>
      <c r="V1093" s="452"/>
      <c r="W1093" s="452"/>
      <c r="X1093" s="452"/>
      <c r="Y1093" s="452"/>
      <c r="Z1093" s="452"/>
      <c r="AA1093" s="452"/>
      <c r="AB1093" s="452"/>
      <c r="AC1093" s="378">
        <f t="shared" si="464"/>
        <v>0</v>
      </c>
      <c r="AD1093" s="420"/>
      <c r="AE1093" s="241"/>
      <c r="AF1093" s="194"/>
      <c r="AG1093" s="194"/>
      <c r="AH1093" s="194"/>
      <c r="AI1093" s="194"/>
    </row>
    <row r="1094" hidden="1">
      <c r="A1094" s="391"/>
      <c r="B1094" s="393"/>
      <c r="C1094" s="413"/>
      <c r="D1094" s="286" t="s">
        <v>1178</v>
      </c>
      <c r="E1094" s="414"/>
      <c r="F1094" s="414"/>
      <c r="G1094" s="414"/>
      <c r="H1094" s="415"/>
      <c r="I1094" s="415"/>
      <c r="J1094" s="416"/>
      <c r="K1094" s="222" t="s">
        <v>735</v>
      </c>
      <c r="L1094" s="417"/>
      <c r="M1094" s="799"/>
      <c r="N1094" s="800"/>
      <c r="O1094" s="800"/>
      <c r="P1094" s="800"/>
      <c r="Q1094" s="229"/>
      <c r="R1094" s="229"/>
      <c r="S1094" s="229"/>
      <c r="T1094" s="600"/>
      <c r="U1094" s="452"/>
      <c r="V1094" s="452"/>
      <c r="W1094" s="452"/>
      <c r="X1094" s="452"/>
      <c r="Y1094" s="452"/>
      <c r="Z1094" s="452"/>
      <c r="AA1094" s="452"/>
      <c r="AB1094" s="452"/>
      <c r="AC1094" s="378">
        <f t="shared" si="464"/>
        <v>0</v>
      </c>
      <c r="AD1094" s="420"/>
      <c r="AE1094" s="241"/>
      <c r="AF1094" s="194"/>
      <c r="AG1094" s="194"/>
      <c r="AH1094" s="194"/>
      <c r="AI1094" s="194"/>
    </row>
    <row r="1095">
      <c r="A1095" s="391"/>
      <c r="B1095" s="393"/>
      <c r="C1095" s="394">
        <v>90.0</v>
      </c>
      <c r="D1095" s="885" t="s">
        <v>1179</v>
      </c>
      <c r="E1095" s="198" t="s">
        <v>994</v>
      </c>
      <c r="F1095" s="198" t="s">
        <v>88</v>
      </c>
      <c r="G1095" s="198" t="s">
        <v>88</v>
      </c>
      <c r="H1095" s="198" t="s">
        <v>218</v>
      </c>
      <c r="I1095" s="198" t="s">
        <v>253</v>
      </c>
      <c r="J1095" s="198" t="s">
        <v>254</v>
      </c>
      <c r="K1095" s="396" t="s">
        <v>735</v>
      </c>
      <c r="L1095" s="397"/>
      <c r="M1095" s="398"/>
      <c r="N1095" s="399"/>
      <c r="O1095" s="399"/>
      <c r="P1095" s="399"/>
      <c r="Q1095" s="793">
        <v>2.34221542E8</v>
      </c>
      <c r="R1095" s="793">
        <v>2.34221542E8</v>
      </c>
      <c r="S1095" s="793">
        <v>2.34221542E8</v>
      </c>
      <c r="T1095" s="793">
        <v>2.34221542E8</v>
      </c>
      <c r="U1095" s="793">
        <v>2.34221542E8</v>
      </c>
      <c r="V1095" s="793">
        <v>2.34221542E8</v>
      </c>
      <c r="W1095" s="793">
        <v>2.34221542E8</v>
      </c>
      <c r="X1095" s="793">
        <v>2.34221542E8</v>
      </c>
      <c r="Y1095" s="793">
        <v>2.34221542E8</v>
      </c>
      <c r="Z1095" s="793">
        <v>2.34221542E8</v>
      </c>
      <c r="AA1095" s="793">
        <v>2.34221542E8</v>
      </c>
      <c r="AB1095" s="793">
        <v>2.34221542E8</v>
      </c>
      <c r="AC1095" s="794">
        <v>2.810658503E9</v>
      </c>
      <c r="AD1095" s="178">
        <f>SUM(Q1095:AB1095)-AC1095</f>
        <v>1</v>
      </c>
      <c r="AE1095" s="241"/>
      <c r="AF1095" s="725">
        <v>2.810658503E9</v>
      </c>
      <c r="AG1095" s="194"/>
      <c r="AH1095" s="194"/>
      <c r="AI1095" s="194"/>
    </row>
    <row r="1096" hidden="1">
      <c r="A1096" s="391"/>
      <c r="B1096" s="393"/>
      <c r="C1096" s="402"/>
      <c r="D1096" s="795"/>
      <c r="E1096" s="403"/>
      <c r="F1096" s="403"/>
      <c r="G1096" s="403"/>
      <c r="H1096" s="404"/>
      <c r="I1096" s="404"/>
      <c r="J1096" s="405"/>
      <c r="K1096" s="406" t="s">
        <v>735</v>
      </c>
      <c r="L1096" s="407"/>
      <c r="M1096" s="796"/>
      <c r="N1096" s="733"/>
      <c r="O1096" s="733"/>
      <c r="P1096" s="733"/>
      <c r="Q1096" s="267"/>
      <c r="R1096" s="267"/>
      <c r="S1096" s="267"/>
      <c r="T1096" s="268"/>
      <c r="U1096" s="268"/>
      <c r="V1096" s="268"/>
      <c r="W1096" s="268"/>
      <c r="X1096" s="268"/>
      <c r="Y1096" s="268"/>
      <c r="Z1096" s="268"/>
      <c r="AA1096" s="268"/>
      <c r="AB1096" s="268"/>
      <c r="AC1096" s="637"/>
      <c r="AD1096" s="420"/>
      <c r="AE1096" s="411"/>
      <c r="AF1096" s="412"/>
      <c r="AG1096" s="412"/>
      <c r="AH1096" s="412"/>
      <c r="AI1096" s="412"/>
    </row>
    <row r="1097" hidden="1">
      <c r="A1097" s="391"/>
      <c r="B1097" s="393"/>
      <c r="C1097" s="413"/>
      <c r="D1097" s="250" t="s">
        <v>1180</v>
      </c>
      <c r="E1097" s="414"/>
      <c r="F1097" s="414"/>
      <c r="G1097" s="414"/>
      <c r="H1097" s="415"/>
      <c r="I1097" s="415"/>
      <c r="J1097" s="416"/>
      <c r="K1097" s="222" t="s">
        <v>735</v>
      </c>
      <c r="L1097" s="798"/>
      <c r="M1097" s="799"/>
      <c r="N1097" s="800"/>
      <c r="O1097" s="800"/>
      <c r="P1097" s="800"/>
      <c r="Q1097" s="229"/>
      <c r="R1097" s="229"/>
      <c r="S1097" s="229"/>
      <c r="T1097" s="600"/>
      <c r="U1097" s="452"/>
      <c r="V1097" s="452"/>
      <c r="W1097" s="452"/>
      <c r="X1097" s="452"/>
      <c r="Y1097" s="452"/>
      <c r="Z1097" s="452"/>
      <c r="AA1097" s="452"/>
      <c r="AB1097" s="452"/>
      <c r="AC1097" s="378">
        <f t="shared" ref="AC1097:AC1099" si="465">SUM(Q1097:AB1097)</f>
        <v>0</v>
      </c>
      <c r="AD1097" s="420"/>
      <c r="AE1097" s="241"/>
      <c r="AF1097" s="194"/>
      <c r="AG1097" s="194"/>
      <c r="AH1097" s="194"/>
      <c r="AI1097" s="194"/>
    </row>
    <row r="1098" hidden="1">
      <c r="A1098" s="391"/>
      <c r="B1098" s="393"/>
      <c r="C1098" s="413"/>
      <c r="D1098" s="286" t="s">
        <v>194</v>
      </c>
      <c r="E1098" s="414"/>
      <c r="F1098" s="414"/>
      <c r="G1098" s="414"/>
      <c r="H1098" s="415"/>
      <c r="I1098" s="415"/>
      <c r="J1098" s="416"/>
      <c r="K1098" s="222" t="s">
        <v>735</v>
      </c>
      <c r="L1098" s="417"/>
      <c r="M1098" s="799"/>
      <c r="N1098" s="800"/>
      <c r="O1098" s="800"/>
      <c r="P1098" s="800"/>
      <c r="Q1098" s="229"/>
      <c r="R1098" s="229"/>
      <c r="S1098" s="229"/>
      <c r="T1098" s="600"/>
      <c r="U1098" s="452"/>
      <c r="V1098" s="452"/>
      <c r="W1098" s="452"/>
      <c r="X1098" s="452"/>
      <c r="Y1098" s="452"/>
      <c r="Z1098" s="452"/>
      <c r="AA1098" s="452"/>
      <c r="AB1098" s="452"/>
      <c r="AC1098" s="378">
        <f t="shared" si="465"/>
        <v>0</v>
      </c>
      <c r="AD1098" s="420"/>
      <c r="AE1098" s="241"/>
      <c r="AF1098" s="194"/>
      <c r="AG1098" s="194"/>
      <c r="AH1098" s="194"/>
      <c r="AI1098" s="194"/>
    </row>
    <row r="1099" hidden="1">
      <c r="A1099" s="391"/>
      <c r="B1099" s="393"/>
      <c r="C1099" s="413"/>
      <c r="D1099" s="286" t="s">
        <v>1181</v>
      </c>
      <c r="E1099" s="414"/>
      <c r="F1099" s="414"/>
      <c r="G1099" s="414"/>
      <c r="H1099" s="415"/>
      <c r="I1099" s="415"/>
      <c r="J1099" s="416"/>
      <c r="K1099" s="222" t="s">
        <v>735</v>
      </c>
      <c r="L1099" s="417"/>
      <c r="M1099" s="799"/>
      <c r="N1099" s="800"/>
      <c r="O1099" s="800"/>
      <c r="P1099" s="800"/>
      <c r="Q1099" s="229"/>
      <c r="R1099" s="229"/>
      <c r="S1099" s="229"/>
      <c r="T1099" s="600"/>
      <c r="U1099" s="452"/>
      <c r="V1099" s="452"/>
      <c r="W1099" s="452"/>
      <c r="X1099" s="452"/>
      <c r="Y1099" s="452"/>
      <c r="Z1099" s="452"/>
      <c r="AA1099" s="452"/>
      <c r="AB1099" s="452"/>
      <c r="AC1099" s="378">
        <f t="shared" si="465"/>
        <v>0</v>
      </c>
      <c r="AD1099" s="420"/>
      <c r="AE1099" s="241"/>
      <c r="AF1099" s="194"/>
      <c r="AG1099" s="194"/>
      <c r="AH1099" s="194"/>
      <c r="AI1099" s="194"/>
    </row>
    <row r="1100">
      <c r="A1100" s="391"/>
      <c r="B1100" s="888"/>
      <c r="C1100" s="394">
        <v>91.0</v>
      </c>
      <c r="D1100" s="889" t="s">
        <v>1182</v>
      </c>
      <c r="E1100" s="198" t="s">
        <v>186</v>
      </c>
      <c r="F1100" s="198" t="s">
        <v>88</v>
      </c>
      <c r="G1100" s="198" t="s">
        <v>88</v>
      </c>
      <c r="H1100" s="198" t="s">
        <v>218</v>
      </c>
      <c r="I1100" s="198" t="s">
        <v>187</v>
      </c>
      <c r="J1100" s="198" t="s">
        <v>188</v>
      </c>
      <c r="K1100" s="477" t="s">
        <v>730</v>
      </c>
      <c r="L1100" s="397"/>
      <c r="M1100" s="398"/>
      <c r="N1100" s="399"/>
      <c r="O1100" s="399"/>
      <c r="P1100" s="399"/>
      <c r="Q1100" s="890"/>
      <c r="R1100" s="890"/>
      <c r="S1100" s="890"/>
      <c r="T1100" s="890"/>
      <c r="U1100" s="891">
        <v>7.812175E7</v>
      </c>
      <c r="V1100" s="891">
        <v>7.812175E7</v>
      </c>
      <c r="W1100" s="891">
        <v>7.812175E7</v>
      </c>
      <c r="X1100" s="891">
        <v>7.812175E7</v>
      </c>
      <c r="Y1100" s="891">
        <v>7.812175E7</v>
      </c>
      <c r="Z1100" s="891">
        <v>7.812175E7</v>
      </c>
      <c r="AA1100" s="891">
        <v>7.812175E7</v>
      </c>
      <c r="AB1100" s="891">
        <v>7.812175E7</v>
      </c>
      <c r="AC1100" s="892">
        <v>6.24974E8</v>
      </c>
      <c r="AD1100" s="178">
        <f>SUM(Q1100:AB1100)-AC1100</f>
        <v>0</v>
      </c>
      <c r="AE1100" s="241"/>
      <c r="AF1100" s="725">
        <v>6.24974E8</v>
      </c>
      <c r="AG1100" s="194"/>
      <c r="AH1100" s="194"/>
      <c r="AI1100" s="194"/>
    </row>
    <row r="1101" hidden="1">
      <c r="A1101" s="391"/>
      <c r="B1101" s="888"/>
      <c r="C1101" s="402"/>
      <c r="D1101" s="801"/>
      <c r="E1101" s="403"/>
      <c r="F1101" s="403"/>
      <c r="G1101" s="403"/>
      <c r="H1101" s="404"/>
      <c r="I1101" s="404"/>
      <c r="J1101" s="405"/>
      <c r="K1101" s="406" t="s">
        <v>730</v>
      </c>
      <c r="L1101" s="407"/>
      <c r="M1101" s="796"/>
      <c r="N1101" s="733"/>
      <c r="O1101" s="733"/>
      <c r="P1101" s="733"/>
      <c r="Q1101" s="267"/>
      <c r="R1101" s="267"/>
      <c r="S1101" s="267"/>
      <c r="T1101" s="268"/>
      <c r="U1101" s="268"/>
      <c r="V1101" s="268"/>
      <c r="W1101" s="268"/>
      <c r="X1101" s="268"/>
      <c r="Y1101" s="268"/>
      <c r="Z1101" s="268"/>
      <c r="AA1101" s="268"/>
      <c r="AB1101" s="268"/>
      <c r="AC1101" s="637"/>
      <c r="AD1101" s="420"/>
      <c r="AE1101" s="411"/>
      <c r="AF1101" s="412"/>
      <c r="AG1101" s="412"/>
      <c r="AH1101" s="412"/>
      <c r="AI1101" s="412"/>
    </row>
    <row r="1102" hidden="1">
      <c r="A1102" s="391"/>
      <c r="B1102" s="888"/>
      <c r="C1102" s="413"/>
      <c r="D1102" s="250" t="s">
        <v>1183</v>
      </c>
      <c r="E1102" s="414"/>
      <c r="F1102" s="414"/>
      <c r="G1102" s="414"/>
      <c r="H1102" s="415"/>
      <c r="I1102" s="415"/>
      <c r="J1102" s="797"/>
      <c r="K1102" s="196" t="s">
        <v>730</v>
      </c>
      <c r="L1102" s="798"/>
      <c r="M1102" s="799"/>
      <c r="N1102" s="800"/>
      <c r="O1102" s="800"/>
      <c r="P1102" s="800"/>
      <c r="Q1102" s="229"/>
      <c r="R1102" s="229"/>
      <c r="S1102" s="229"/>
      <c r="T1102" s="600"/>
      <c r="U1102" s="452"/>
      <c r="V1102" s="452"/>
      <c r="W1102" s="452"/>
      <c r="X1102" s="452"/>
      <c r="Y1102" s="452"/>
      <c r="Z1102" s="452"/>
      <c r="AA1102" s="452"/>
      <c r="AB1102" s="452"/>
      <c r="AC1102" s="378">
        <f t="shared" ref="AC1102:AC1104" si="466">SUM(Q1102:AB1102)</f>
        <v>0</v>
      </c>
      <c r="AD1102" s="420"/>
      <c r="AE1102" s="241"/>
      <c r="AF1102" s="194"/>
      <c r="AG1102" s="194"/>
      <c r="AH1102" s="194"/>
      <c r="AI1102" s="194"/>
    </row>
    <row r="1103" hidden="1">
      <c r="A1103" s="391"/>
      <c r="B1103" s="888"/>
      <c r="C1103" s="413"/>
      <c r="D1103" s="286" t="s">
        <v>194</v>
      </c>
      <c r="E1103" s="414"/>
      <c r="F1103" s="414"/>
      <c r="G1103" s="414"/>
      <c r="H1103" s="415"/>
      <c r="I1103" s="415"/>
      <c r="J1103" s="797"/>
      <c r="K1103" s="196" t="s">
        <v>730</v>
      </c>
      <c r="L1103" s="417"/>
      <c r="M1103" s="799"/>
      <c r="N1103" s="800"/>
      <c r="O1103" s="800"/>
      <c r="P1103" s="800"/>
      <c r="Q1103" s="229"/>
      <c r="R1103" s="229"/>
      <c r="S1103" s="229"/>
      <c r="T1103" s="600"/>
      <c r="U1103" s="452"/>
      <c r="V1103" s="452"/>
      <c r="W1103" s="452"/>
      <c r="X1103" s="452"/>
      <c r="Y1103" s="452"/>
      <c r="Z1103" s="452"/>
      <c r="AA1103" s="452"/>
      <c r="AB1103" s="452"/>
      <c r="AC1103" s="378">
        <f t="shared" si="466"/>
        <v>0</v>
      </c>
      <c r="AD1103" s="420"/>
      <c r="AE1103" s="241"/>
      <c r="AF1103" s="194"/>
      <c r="AG1103" s="194"/>
      <c r="AH1103" s="194"/>
      <c r="AI1103" s="194"/>
    </row>
    <row r="1104" hidden="1">
      <c r="A1104" s="391"/>
      <c r="B1104" s="888"/>
      <c r="C1104" s="413"/>
      <c r="D1104" s="286" t="s">
        <v>1184</v>
      </c>
      <c r="E1104" s="414"/>
      <c r="F1104" s="414"/>
      <c r="G1104" s="414"/>
      <c r="H1104" s="415"/>
      <c r="I1104" s="415"/>
      <c r="J1104" s="797"/>
      <c r="K1104" s="196" t="s">
        <v>730</v>
      </c>
      <c r="L1104" s="417"/>
      <c r="M1104" s="799"/>
      <c r="N1104" s="800"/>
      <c r="O1104" s="800"/>
      <c r="P1104" s="800"/>
      <c r="Q1104" s="229"/>
      <c r="R1104" s="229"/>
      <c r="S1104" s="229"/>
      <c r="T1104" s="600"/>
      <c r="U1104" s="452"/>
      <c r="V1104" s="452"/>
      <c r="W1104" s="452"/>
      <c r="X1104" s="452"/>
      <c r="Y1104" s="452"/>
      <c r="Z1104" s="452"/>
      <c r="AA1104" s="452"/>
      <c r="AB1104" s="452"/>
      <c r="AC1104" s="378">
        <f t="shared" si="466"/>
        <v>0</v>
      </c>
      <c r="AD1104" s="420"/>
      <c r="AE1104" s="241"/>
      <c r="AF1104" s="194"/>
      <c r="AG1104" s="194"/>
      <c r="AH1104" s="194"/>
      <c r="AI1104" s="194"/>
    </row>
    <row r="1105">
      <c r="A1105" s="126"/>
      <c r="B1105" s="893"/>
      <c r="C1105" s="394">
        <v>92.0</v>
      </c>
      <c r="D1105" s="894" t="s">
        <v>1185</v>
      </c>
      <c r="E1105" s="198" t="s">
        <v>186</v>
      </c>
      <c r="F1105" s="198" t="s">
        <v>103</v>
      </c>
      <c r="G1105" s="198" t="s">
        <v>86</v>
      </c>
      <c r="H1105" s="198" t="s">
        <v>86</v>
      </c>
      <c r="I1105" s="198" t="s">
        <v>253</v>
      </c>
      <c r="J1105" s="198" t="s">
        <v>254</v>
      </c>
      <c r="K1105" s="606" t="s">
        <v>730</v>
      </c>
      <c r="L1105" s="895"/>
      <c r="M1105" s="240"/>
      <c r="N1105" s="388"/>
      <c r="O1105" s="388"/>
      <c r="P1105" s="388"/>
      <c r="Q1105" s="896"/>
      <c r="R1105" s="896">
        <v>3.20738539E8</v>
      </c>
      <c r="S1105" s="896">
        <v>3.20738539E8</v>
      </c>
      <c r="T1105" s="896">
        <v>3.20738539E8</v>
      </c>
      <c r="U1105" s="896">
        <v>3.20738539E8</v>
      </c>
      <c r="V1105" s="896">
        <v>3.20738539E8</v>
      </c>
      <c r="W1105" s="896">
        <v>3.20738539E8</v>
      </c>
      <c r="X1105" s="896">
        <v>3.20738539E8</v>
      </c>
      <c r="Y1105" s="896">
        <v>3.20738539E8</v>
      </c>
      <c r="Z1105" s="896">
        <v>3.20738539E8</v>
      </c>
      <c r="AA1105" s="896">
        <v>3.20738539E8</v>
      </c>
      <c r="AB1105" s="896">
        <v>3.20738539E8</v>
      </c>
      <c r="AC1105" s="897">
        <v>3.528123929E9</v>
      </c>
      <c r="AD1105" s="273">
        <f>SUM(Q1105:AB1105)-AC1105</f>
        <v>0</v>
      </c>
      <c r="AE1105" s="241"/>
      <c r="AF1105" s="725">
        <v>3.528123929E9</v>
      </c>
      <c r="AG1105" s="194"/>
      <c r="AH1105" s="194"/>
      <c r="AI1105" s="194"/>
    </row>
    <row r="1106" hidden="1">
      <c r="A1106" s="126"/>
      <c r="B1106" s="893"/>
      <c r="C1106" s="206"/>
      <c r="D1106" s="207"/>
      <c r="E1106" s="260"/>
      <c r="F1106" s="207"/>
      <c r="G1106" s="260"/>
      <c r="H1106" s="206"/>
      <c r="I1106" s="206"/>
      <c r="J1106" s="898"/>
      <c r="K1106" s="898" t="s">
        <v>730</v>
      </c>
      <c r="L1106" s="277"/>
      <c r="M1106" s="244"/>
      <c r="N1106" s="389"/>
      <c r="O1106" s="389"/>
      <c r="P1106" s="389"/>
      <c r="Q1106" s="899"/>
      <c r="R1106" s="899"/>
      <c r="S1106" s="899"/>
      <c r="T1106" s="899"/>
      <c r="U1106" s="899"/>
      <c r="V1106" s="899"/>
      <c r="W1106" s="899"/>
      <c r="X1106" s="899"/>
      <c r="Y1106" s="899"/>
      <c r="Z1106" s="899"/>
      <c r="AA1106" s="899"/>
      <c r="AB1106" s="899"/>
      <c r="AC1106" s="900">
        <f t="shared" ref="AC1106:AC1109" si="467">SUM(Q1106:AB1106)</f>
        <v>0</v>
      </c>
      <c r="AD1106" s="214"/>
      <c r="AE1106" s="192"/>
      <c r="AF1106" s="194"/>
      <c r="AG1106" s="194"/>
      <c r="AH1106" s="194"/>
      <c r="AI1106" s="194"/>
    </row>
    <row r="1107" hidden="1">
      <c r="A1107" s="126"/>
      <c r="B1107" s="893"/>
      <c r="C1107" s="222"/>
      <c r="D1107" s="250" t="s">
        <v>1186</v>
      </c>
      <c r="E1107" s="233"/>
      <c r="F1107" s="224"/>
      <c r="G1107" s="233"/>
      <c r="H1107" s="222"/>
      <c r="I1107" s="222"/>
      <c r="J1107" s="901"/>
      <c r="K1107" s="901" t="s">
        <v>730</v>
      </c>
      <c r="L1107" s="225"/>
      <c r="M1107" s="236"/>
      <c r="N1107" s="285"/>
      <c r="O1107" s="285"/>
      <c r="P1107" s="285"/>
      <c r="Q1107" s="230"/>
      <c r="R1107" s="230"/>
      <c r="S1107" s="230"/>
      <c r="T1107" s="230"/>
      <c r="U1107" s="230"/>
      <c r="V1107" s="230"/>
      <c r="W1107" s="230"/>
      <c r="X1107" s="230"/>
      <c r="Y1107" s="230"/>
      <c r="Z1107" s="230"/>
      <c r="AA1107" s="230"/>
      <c r="AB1107" s="230"/>
      <c r="AC1107" s="231">
        <f t="shared" si="467"/>
        <v>0</v>
      </c>
      <c r="AD1107" s="214"/>
      <c r="AE1107" s="192"/>
      <c r="AF1107" s="194"/>
      <c r="AG1107" s="194"/>
      <c r="AH1107" s="194"/>
      <c r="AI1107" s="194"/>
    </row>
    <row r="1108" hidden="1">
      <c r="A1108" s="126"/>
      <c r="B1108" s="902"/>
      <c r="C1108" s="222"/>
      <c r="D1108" s="286" t="s">
        <v>194</v>
      </c>
      <c r="E1108" s="233"/>
      <c r="F1108" s="233"/>
      <c r="G1108" s="233"/>
      <c r="H1108" s="234"/>
      <c r="I1108" s="234"/>
      <c r="J1108" s="901"/>
      <c r="K1108" s="901" t="s">
        <v>730</v>
      </c>
      <c r="L1108" s="287"/>
      <c r="M1108" s="236"/>
      <c r="N1108" s="285"/>
      <c r="O1108" s="285"/>
      <c r="P1108" s="285"/>
      <c r="Q1108" s="288"/>
      <c r="R1108" s="288"/>
      <c r="S1108" s="288"/>
      <c r="T1108" s="288"/>
      <c r="U1108" s="288"/>
      <c r="V1108" s="288"/>
      <c r="W1108" s="288"/>
      <c r="X1108" s="288"/>
      <c r="Y1108" s="288"/>
      <c r="Z1108" s="288"/>
      <c r="AA1108" s="288"/>
      <c r="AB1108" s="288"/>
      <c r="AC1108" s="378">
        <f t="shared" si="467"/>
        <v>0</v>
      </c>
      <c r="AD1108" s="214"/>
      <c r="AE1108" s="192"/>
      <c r="AF1108" s="194"/>
      <c r="AG1108" s="194"/>
      <c r="AH1108" s="194"/>
      <c r="AI1108" s="194"/>
    </row>
    <row r="1109" hidden="1">
      <c r="A1109" s="126"/>
      <c r="B1109" s="902"/>
      <c r="C1109" s="222"/>
      <c r="D1109" s="286" t="s">
        <v>1187</v>
      </c>
      <c r="E1109" s="233"/>
      <c r="F1109" s="233"/>
      <c r="G1109" s="233"/>
      <c r="H1109" s="234"/>
      <c r="I1109" s="234"/>
      <c r="J1109" s="901"/>
      <c r="K1109" s="901" t="s">
        <v>730</v>
      </c>
      <c r="L1109" s="287"/>
      <c r="M1109" s="236"/>
      <c r="N1109" s="285"/>
      <c r="O1109" s="285"/>
      <c r="P1109" s="285"/>
      <c r="Q1109" s="288"/>
      <c r="R1109" s="288"/>
      <c r="S1109" s="288"/>
      <c r="T1109" s="288"/>
      <c r="U1109" s="288"/>
      <c r="V1109" s="288"/>
      <c r="W1109" s="288"/>
      <c r="X1109" s="288"/>
      <c r="Y1109" s="288"/>
      <c r="Z1109" s="288"/>
      <c r="AA1109" s="288"/>
      <c r="AB1109" s="288"/>
      <c r="AC1109" s="378">
        <f t="shared" si="467"/>
        <v>0</v>
      </c>
      <c r="AD1109" s="214"/>
      <c r="AE1109" s="192"/>
      <c r="AF1109" s="194"/>
      <c r="AG1109" s="194"/>
      <c r="AH1109" s="194"/>
      <c r="AI1109" s="194"/>
    </row>
    <row r="1110">
      <c r="A1110" s="391"/>
      <c r="B1110" s="393"/>
      <c r="C1110" s="394">
        <v>93.0</v>
      </c>
      <c r="D1110" s="885" t="s">
        <v>1188</v>
      </c>
      <c r="E1110" s="198" t="s">
        <v>186</v>
      </c>
      <c r="F1110" s="198" t="s">
        <v>98</v>
      </c>
      <c r="G1110" s="198" t="s">
        <v>98</v>
      </c>
      <c r="H1110" s="198" t="s">
        <v>1189</v>
      </c>
      <c r="I1110" s="198" t="s">
        <v>187</v>
      </c>
      <c r="J1110" s="198" t="s">
        <v>188</v>
      </c>
      <c r="K1110" s="396" t="s">
        <v>735</v>
      </c>
      <c r="L1110" s="397"/>
      <c r="M1110" s="398"/>
      <c r="N1110" s="399"/>
      <c r="O1110" s="399"/>
      <c r="P1110" s="399"/>
      <c r="Q1110" s="793">
        <v>4.59606E8</v>
      </c>
      <c r="R1110" s="793">
        <v>4.59606E8</v>
      </c>
      <c r="S1110" s="793">
        <v>4.59606E8</v>
      </c>
      <c r="T1110" s="793">
        <v>4.59606E8</v>
      </c>
      <c r="U1110" s="793">
        <v>4.59606E8</v>
      </c>
      <c r="V1110" s="793">
        <v>4.59606E8</v>
      </c>
      <c r="W1110" s="793">
        <v>4.59606E8</v>
      </c>
      <c r="X1110" s="793">
        <v>4.59606E8</v>
      </c>
      <c r="Y1110" s="793">
        <v>4.59606E8</v>
      </c>
      <c r="Z1110" s="793">
        <v>4.59606E8</v>
      </c>
      <c r="AA1110" s="793">
        <v>4.59606E8</v>
      </c>
      <c r="AB1110" s="793">
        <v>4.59606E8</v>
      </c>
      <c r="AC1110" s="794">
        <v>5.515272E9</v>
      </c>
      <c r="AD1110" s="178">
        <f>SUM(Q1110:AB1110)-AC1110</f>
        <v>0</v>
      </c>
      <c r="AE1110" s="241"/>
      <c r="AF1110" s="725">
        <v>5.515272E9</v>
      </c>
      <c r="AG1110" s="194"/>
      <c r="AH1110" s="194"/>
      <c r="AI1110" s="194"/>
    </row>
    <row r="1111" hidden="1">
      <c r="A1111" s="391"/>
      <c r="B1111" s="393"/>
      <c r="C1111" s="402"/>
      <c r="D1111" s="795"/>
      <c r="E1111" s="403"/>
      <c r="F1111" s="403"/>
      <c r="G1111" s="403"/>
      <c r="H1111" s="404"/>
      <c r="I1111" s="404"/>
      <c r="J1111" s="405"/>
      <c r="K1111" s="406" t="s">
        <v>735</v>
      </c>
      <c r="L1111" s="407"/>
      <c r="M1111" s="796"/>
      <c r="N1111" s="733"/>
      <c r="O1111" s="733"/>
      <c r="P1111" s="733"/>
      <c r="Q1111" s="267"/>
      <c r="R1111" s="267"/>
      <c r="S1111" s="267"/>
      <c r="T1111" s="268"/>
      <c r="U1111" s="268"/>
      <c r="V1111" s="268"/>
      <c r="W1111" s="268"/>
      <c r="X1111" s="268"/>
      <c r="Y1111" s="268"/>
      <c r="Z1111" s="268"/>
      <c r="AA1111" s="268"/>
      <c r="AB1111" s="268"/>
      <c r="AC1111" s="637"/>
      <c r="AD1111" s="420"/>
      <c r="AE1111" s="411"/>
      <c r="AF1111" s="412"/>
      <c r="AG1111" s="412"/>
      <c r="AH1111" s="412"/>
      <c r="AI1111" s="412"/>
    </row>
    <row r="1112" hidden="1">
      <c r="A1112" s="391"/>
      <c r="B1112" s="393"/>
      <c r="C1112" s="402"/>
      <c r="D1112" s="795"/>
      <c r="E1112" s="403"/>
      <c r="F1112" s="403"/>
      <c r="G1112" s="403"/>
      <c r="H1112" s="404"/>
      <c r="I1112" s="404"/>
      <c r="J1112" s="405"/>
      <c r="K1112" s="406" t="s">
        <v>735</v>
      </c>
      <c r="L1112" s="407"/>
      <c r="M1112" s="796"/>
      <c r="N1112" s="733"/>
      <c r="O1112" s="733"/>
      <c r="P1112" s="733"/>
      <c r="Q1112" s="267"/>
      <c r="R1112" s="267"/>
      <c r="S1112" s="267"/>
      <c r="T1112" s="268"/>
      <c r="U1112" s="268"/>
      <c r="V1112" s="268"/>
      <c r="W1112" s="268"/>
      <c r="X1112" s="268"/>
      <c r="Y1112" s="268"/>
      <c r="Z1112" s="268"/>
      <c r="AA1112" s="268"/>
      <c r="AB1112" s="268"/>
      <c r="AC1112" s="637"/>
      <c r="AD1112" s="420"/>
      <c r="AE1112" s="411"/>
      <c r="AF1112" s="412"/>
      <c r="AG1112" s="412"/>
      <c r="AH1112" s="412"/>
      <c r="AI1112" s="412"/>
    </row>
    <row r="1113" hidden="1">
      <c r="A1113" s="391"/>
      <c r="B1113" s="393"/>
      <c r="C1113" s="402"/>
      <c r="D1113" s="795"/>
      <c r="E1113" s="403"/>
      <c r="F1113" s="403"/>
      <c r="G1113" s="403"/>
      <c r="H1113" s="404"/>
      <c r="I1113" s="404"/>
      <c r="J1113" s="405"/>
      <c r="K1113" s="406" t="s">
        <v>735</v>
      </c>
      <c r="L1113" s="407"/>
      <c r="M1113" s="796"/>
      <c r="N1113" s="733"/>
      <c r="O1113" s="733"/>
      <c r="P1113" s="733"/>
      <c r="Q1113" s="267"/>
      <c r="R1113" s="267"/>
      <c r="S1113" s="267"/>
      <c r="T1113" s="268"/>
      <c r="U1113" s="268"/>
      <c r="V1113" s="268"/>
      <c r="W1113" s="268"/>
      <c r="X1113" s="268"/>
      <c r="Y1113" s="268"/>
      <c r="Z1113" s="268"/>
      <c r="AA1113" s="268"/>
      <c r="AB1113" s="268"/>
      <c r="AC1113" s="637"/>
      <c r="AD1113" s="420"/>
      <c r="AE1113" s="411"/>
      <c r="AF1113" s="412"/>
      <c r="AG1113" s="412"/>
      <c r="AH1113" s="412"/>
      <c r="AI1113" s="412"/>
    </row>
    <row r="1114" hidden="1">
      <c r="A1114" s="391"/>
      <c r="B1114" s="393"/>
      <c r="C1114" s="413"/>
      <c r="D1114" s="250" t="s">
        <v>1190</v>
      </c>
      <c r="E1114" s="414"/>
      <c r="F1114" s="414"/>
      <c r="G1114" s="414"/>
      <c r="H1114" s="415"/>
      <c r="I1114" s="415"/>
      <c r="J1114" s="416"/>
      <c r="K1114" s="222" t="s">
        <v>735</v>
      </c>
      <c r="L1114" s="798"/>
      <c r="M1114" s="799"/>
      <c r="N1114" s="800"/>
      <c r="O1114" s="800"/>
      <c r="P1114" s="800"/>
      <c r="Q1114" s="229"/>
      <c r="R1114" s="229"/>
      <c r="S1114" s="229"/>
      <c r="T1114" s="600"/>
      <c r="U1114" s="452"/>
      <c r="V1114" s="452"/>
      <c r="W1114" s="452"/>
      <c r="X1114" s="452"/>
      <c r="Y1114" s="452"/>
      <c r="Z1114" s="452"/>
      <c r="AA1114" s="452"/>
      <c r="AB1114" s="452"/>
      <c r="AC1114" s="378">
        <f t="shared" ref="AC1114:AC1117" si="468">SUM(Q1114:AB1114)</f>
        <v>0</v>
      </c>
      <c r="AD1114" s="420"/>
      <c r="AE1114" s="241"/>
      <c r="AF1114" s="194"/>
      <c r="AG1114" s="194"/>
      <c r="AH1114" s="194"/>
      <c r="AI1114" s="194"/>
    </row>
    <row r="1115" hidden="1">
      <c r="A1115" s="391"/>
      <c r="B1115" s="393"/>
      <c r="C1115" s="413"/>
      <c r="D1115" s="286" t="s">
        <v>194</v>
      </c>
      <c r="E1115" s="414"/>
      <c r="F1115" s="414"/>
      <c r="G1115" s="414"/>
      <c r="H1115" s="415"/>
      <c r="I1115" s="415"/>
      <c r="J1115" s="416"/>
      <c r="K1115" s="222" t="s">
        <v>735</v>
      </c>
      <c r="L1115" s="417"/>
      <c r="M1115" s="799"/>
      <c r="N1115" s="800"/>
      <c r="O1115" s="800"/>
      <c r="P1115" s="800"/>
      <c r="Q1115" s="229"/>
      <c r="R1115" s="229"/>
      <c r="S1115" s="229"/>
      <c r="T1115" s="600"/>
      <c r="U1115" s="452"/>
      <c r="V1115" s="452"/>
      <c r="W1115" s="452"/>
      <c r="X1115" s="452"/>
      <c r="Y1115" s="452"/>
      <c r="Z1115" s="452"/>
      <c r="AA1115" s="452"/>
      <c r="AB1115" s="452"/>
      <c r="AC1115" s="378">
        <f t="shared" si="468"/>
        <v>0</v>
      </c>
      <c r="AD1115" s="420"/>
      <c r="AE1115" s="241"/>
      <c r="AF1115" s="194"/>
      <c r="AG1115" s="194"/>
      <c r="AH1115" s="194"/>
      <c r="AI1115" s="194"/>
    </row>
    <row r="1116" hidden="1">
      <c r="A1116" s="391"/>
      <c r="B1116" s="393"/>
      <c r="C1116" s="413"/>
      <c r="D1116" s="286" t="s">
        <v>1191</v>
      </c>
      <c r="E1116" s="414"/>
      <c r="F1116" s="414"/>
      <c r="G1116" s="414"/>
      <c r="H1116" s="415"/>
      <c r="I1116" s="415"/>
      <c r="J1116" s="416"/>
      <c r="K1116" s="222" t="s">
        <v>735</v>
      </c>
      <c r="L1116" s="417"/>
      <c r="M1116" s="799"/>
      <c r="N1116" s="800"/>
      <c r="O1116" s="800"/>
      <c r="P1116" s="800"/>
      <c r="Q1116" s="229"/>
      <c r="R1116" s="229"/>
      <c r="S1116" s="229"/>
      <c r="T1116" s="600"/>
      <c r="U1116" s="452"/>
      <c r="V1116" s="452"/>
      <c r="W1116" s="452"/>
      <c r="X1116" s="452"/>
      <c r="Y1116" s="452"/>
      <c r="Z1116" s="452"/>
      <c r="AA1116" s="452"/>
      <c r="AB1116" s="452"/>
      <c r="AC1116" s="378">
        <f t="shared" si="468"/>
        <v>0</v>
      </c>
      <c r="AD1116" s="420"/>
      <c r="AE1116" s="241"/>
      <c r="AF1116" s="194"/>
      <c r="AG1116" s="194"/>
      <c r="AH1116" s="194"/>
      <c r="AI1116" s="194"/>
    </row>
    <row r="1117">
      <c r="A1117" s="391"/>
      <c r="B1117" s="393"/>
      <c r="C1117" s="196">
        <v>94.0</v>
      </c>
      <c r="D1117" s="885" t="s">
        <v>1192</v>
      </c>
      <c r="E1117" s="198" t="s">
        <v>186</v>
      </c>
      <c r="F1117" s="198" t="s">
        <v>98</v>
      </c>
      <c r="G1117" s="198" t="s">
        <v>98</v>
      </c>
      <c r="H1117" s="198" t="s">
        <v>1189</v>
      </c>
      <c r="I1117" s="198" t="s">
        <v>187</v>
      </c>
      <c r="J1117" s="198" t="s">
        <v>188</v>
      </c>
      <c r="K1117" s="396" t="s">
        <v>735</v>
      </c>
      <c r="L1117" s="397"/>
      <c r="M1117" s="398"/>
      <c r="N1117" s="399"/>
      <c r="O1117" s="399"/>
      <c r="P1117" s="399"/>
      <c r="Q1117" s="793">
        <v>8.93243E7</v>
      </c>
      <c r="R1117" s="793">
        <v>8.93243E7</v>
      </c>
      <c r="S1117" s="793">
        <v>8.93243E7</v>
      </c>
      <c r="T1117" s="793">
        <v>8.93243E7</v>
      </c>
      <c r="U1117" s="793">
        <v>8.93243E7</v>
      </c>
      <c r="V1117" s="793">
        <v>8.93243E7</v>
      </c>
      <c r="W1117" s="793">
        <v>8.93243E7</v>
      </c>
      <c r="X1117" s="793">
        <v>8.93243E7</v>
      </c>
      <c r="Y1117" s="793">
        <v>8.93243E7</v>
      </c>
      <c r="Z1117" s="793">
        <v>8.93243E7</v>
      </c>
      <c r="AA1117" s="793">
        <v>8.93243E7</v>
      </c>
      <c r="AB1117" s="793">
        <v>8.93243E7</v>
      </c>
      <c r="AC1117" s="794">
        <f t="shared" si="468"/>
        <v>1071891600</v>
      </c>
      <c r="AD1117" s="178">
        <f>SUM(Q1117:AB1117)-AC1117</f>
        <v>0</v>
      </c>
      <c r="AE1117" s="241"/>
      <c r="AF1117" s="725">
        <v>1.0718916E9</v>
      </c>
      <c r="AG1117" s="194"/>
      <c r="AH1117" s="194"/>
      <c r="AI1117" s="194"/>
    </row>
    <row r="1118" hidden="1">
      <c r="A1118" s="391"/>
      <c r="B1118" s="393"/>
      <c r="C1118" s="402"/>
      <c r="D1118" s="795"/>
      <c r="E1118" s="403"/>
      <c r="F1118" s="403"/>
      <c r="G1118" s="403"/>
      <c r="H1118" s="404"/>
      <c r="I1118" s="404"/>
      <c r="J1118" s="405"/>
      <c r="K1118" s="406" t="s">
        <v>735</v>
      </c>
      <c r="L1118" s="407"/>
      <c r="M1118" s="796"/>
      <c r="N1118" s="733"/>
      <c r="O1118" s="733"/>
      <c r="P1118" s="733"/>
      <c r="Q1118" s="267"/>
      <c r="R1118" s="267"/>
      <c r="S1118" s="267"/>
      <c r="T1118" s="268"/>
      <c r="U1118" s="268"/>
      <c r="V1118" s="268"/>
      <c r="W1118" s="268"/>
      <c r="X1118" s="268"/>
      <c r="Y1118" s="268"/>
      <c r="Z1118" s="268"/>
      <c r="AA1118" s="268"/>
      <c r="AB1118" s="268"/>
      <c r="AC1118" s="637"/>
      <c r="AD1118" s="420"/>
      <c r="AE1118" s="411"/>
      <c r="AF1118" s="412"/>
      <c r="AG1118" s="412"/>
      <c r="AH1118" s="412"/>
      <c r="AI1118" s="412"/>
    </row>
    <row r="1119" hidden="1">
      <c r="A1119" s="391"/>
      <c r="B1119" s="393"/>
      <c r="C1119" s="413"/>
      <c r="D1119" s="250" t="s">
        <v>1193</v>
      </c>
      <c r="E1119" s="414"/>
      <c r="F1119" s="414"/>
      <c r="G1119" s="414"/>
      <c r="H1119" s="415"/>
      <c r="I1119" s="415"/>
      <c r="J1119" s="797"/>
      <c r="K1119" s="196" t="s">
        <v>735</v>
      </c>
      <c r="L1119" s="798"/>
      <c r="M1119" s="799"/>
      <c r="N1119" s="800"/>
      <c r="O1119" s="800"/>
      <c r="P1119" s="800"/>
      <c r="Q1119" s="229"/>
      <c r="R1119" s="229"/>
      <c r="S1119" s="229"/>
      <c r="T1119" s="600"/>
      <c r="U1119" s="452"/>
      <c r="V1119" s="452"/>
      <c r="W1119" s="452"/>
      <c r="X1119" s="452"/>
      <c r="Y1119" s="452"/>
      <c r="Z1119" s="452"/>
      <c r="AA1119" s="452"/>
      <c r="AB1119" s="452"/>
      <c r="AC1119" s="378">
        <f t="shared" ref="AC1119:AC1121" si="469">SUM(Q1119:AB1119)</f>
        <v>0</v>
      </c>
      <c r="AD1119" s="420"/>
      <c r="AE1119" s="241"/>
      <c r="AF1119" s="194"/>
      <c r="AG1119" s="194"/>
      <c r="AH1119" s="194"/>
      <c r="AI1119" s="194"/>
    </row>
    <row r="1120" hidden="1">
      <c r="A1120" s="391"/>
      <c r="B1120" s="393"/>
      <c r="C1120" s="413"/>
      <c r="D1120" s="286" t="s">
        <v>194</v>
      </c>
      <c r="E1120" s="414"/>
      <c r="F1120" s="414"/>
      <c r="G1120" s="414"/>
      <c r="H1120" s="415"/>
      <c r="I1120" s="415"/>
      <c r="J1120" s="797"/>
      <c r="K1120" s="196" t="s">
        <v>735</v>
      </c>
      <c r="L1120" s="417"/>
      <c r="M1120" s="799"/>
      <c r="N1120" s="800"/>
      <c r="O1120" s="800"/>
      <c r="P1120" s="800"/>
      <c r="Q1120" s="229"/>
      <c r="R1120" s="229"/>
      <c r="S1120" s="229"/>
      <c r="T1120" s="600"/>
      <c r="U1120" s="452"/>
      <c r="V1120" s="452"/>
      <c r="W1120" s="452"/>
      <c r="X1120" s="452"/>
      <c r="Y1120" s="452"/>
      <c r="Z1120" s="452"/>
      <c r="AA1120" s="452"/>
      <c r="AB1120" s="452"/>
      <c r="AC1120" s="378">
        <f t="shared" si="469"/>
        <v>0</v>
      </c>
      <c r="AD1120" s="420"/>
      <c r="AE1120" s="241"/>
      <c r="AF1120" s="194"/>
      <c r="AG1120" s="194"/>
      <c r="AH1120" s="194"/>
      <c r="AI1120" s="194"/>
    </row>
    <row r="1121" hidden="1">
      <c r="A1121" s="391"/>
      <c r="B1121" s="393"/>
      <c r="C1121" s="413"/>
      <c r="D1121" s="286" t="s">
        <v>1194</v>
      </c>
      <c r="E1121" s="414"/>
      <c r="F1121" s="414"/>
      <c r="G1121" s="414"/>
      <c r="H1121" s="415"/>
      <c r="I1121" s="415"/>
      <c r="J1121" s="797"/>
      <c r="K1121" s="196" t="s">
        <v>735</v>
      </c>
      <c r="L1121" s="417"/>
      <c r="M1121" s="799"/>
      <c r="N1121" s="800"/>
      <c r="O1121" s="800"/>
      <c r="P1121" s="800"/>
      <c r="Q1121" s="229"/>
      <c r="R1121" s="229"/>
      <c r="S1121" s="229"/>
      <c r="T1121" s="600"/>
      <c r="U1121" s="452"/>
      <c r="V1121" s="452"/>
      <c r="W1121" s="452"/>
      <c r="X1121" s="452"/>
      <c r="Y1121" s="452"/>
      <c r="Z1121" s="452"/>
      <c r="AA1121" s="452"/>
      <c r="AB1121" s="452"/>
      <c r="AC1121" s="378">
        <f t="shared" si="469"/>
        <v>0</v>
      </c>
      <c r="AD1121" s="420"/>
      <c r="AE1121" s="241"/>
      <c r="AF1121" s="194"/>
      <c r="AG1121" s="194"/>
      <c r="AH1121" s="194"/>
      <c r="AI1121" s="194"/>
    </row>
    <row r="1122">
      <c r="A1122" s="391"/>
      <c r="B1122" s="393"/>
      <c r="C1122" s="394">
        <v>95.0</v>
      </c>
      <c r="D1122" s="885" t="s">
        <v>1195</v>
      </c>
      <c r="E1122" s="198" t="s">
        <v>186</v>
      </c>
      <c r="F1122" s="198" t="s">
        <v>98</v>
      </c>
      <c r="G1122" s="198" t="s">
        <v>98</v>
      </c>
      <c r="H1122" s="198" t="s">
        <v>1189</v>
      </c>
      <c r="I1122" s="198" t="s">
        <v>187</v>
      </c>
      <c r="J1122" s="198" t="s">
        <v>188</v>
      </c>
      <c r="K1122" s="396" t="s">
        <v>735</v>
      </c>
      <c r="L1122" s="397"/>
      <c r="M1122" s="398"/>
      <c r="N1122" s="399"/>
      <c r="O1122" s="399"/>
      <c r="P1122" s="399"/>
      <c r="Q1122" s="793">
        <v>3.5433133E7</v>
      </c>
      <c r="R1122" s="793">
        <v>3.5433133E7</v>
      </c>
      <c r="S1122" s="793">
        <v>3.5433133E7</v>
      </c>
      <c r="T1122" s="793">
        <v>3.5433133E7</v>
      </c>
      <c r="U1122" s="793">
        <v>3.5433133E7</v>
      </c>
      <c r="V1122" s="793">
        <v>3.5433133E7</v>
      </c>
      <c r="W1122" s="793">
        <v>3.5433133E7</v>
      </c>
      <c r="X1122" s="793">
        <v>3.5433133E7</v>
      </c>
      <c r="Y1122" s="793">
        <v>3.5433133E7</v>
      </c>
      <c r="Z1122" s="793">
        <v>3.5433133E7</v>
      </c>
      <c r="AA1122" s="793">
        <v>3.5433133E7</v>
      </c>
      <c r="AB1122" s="793">
        <v>3.5433133E7</v>
      </c>
      <c r="AC1122" s="794">
        <v>4.25197596E8</v>
      </c>
      <c r="AD1122" s="178">
        <f>SUM(Q1122:AB1122)-AC1122</f>
        <v>0</v>
      </c>
      <c r="AE1122" s="241"/>
      <c r="AF1122" s="725">
        <v>4.25197596E8</v>
      </c>
      <c r="AG1122" s="194"/>
      <c r="AH1122" s="194"/>
      <c r="AI1122" s="194"/>
    </row>
    <row r="1123" hidden="1">
      <c r="A1123" s="391"/>
      <c r="B1123" s="393"/>
      <c r="C1123" s="402"/>
      <c r="D1123" s="801"/>
      <c r="E1123" s="403"/>
      <c r="F1123" s="403"/>
      <c r="G1123" s="403"/>
      <c r="H1123" s="404"/>
      <c r="I1123" s="404"/>
      <c r="J1123" s="405"/>
      <c r="K1123" s="406" t="s">
        <v>735</v>
      </c>
      <c r="L1123" s="407"/>
      <c r="M1123" s="796"/>
      <c r="N1123" s="733"/>
      <c r="O1123" s="733"/>
      <c r="P1123" s="733"/>
      <c r="Q1123" s="267"/>
      <c r="R1123" s="267"/>
      <c r="S1123" s="267"/>
      <c r="T1123" s="268"/>
      <c r="U1123" s="268"/>
      <c r="V1123" s="268"/>
      <c r="W1123" s="268"/>
      <c r="X1123" s="268"/>
      <c r="Y1123" s="268"/>
      <c r="Z1123" s="268"/>
      <c r="AA1123" s="268"/>
      <c r="AB1123" s="268"/>
      <c r="AC1123" s="637"/>
      <c r="AD1123" s="420"/>
      <c r="AE1123" s="411"/>
      <c r="AF1123" s="412"/>
      <c r="AG1123" s="412"/>
      <c r="AH1123" s="412"/>
      <c r="AI1123" s="412"/>
    </row>
    <row r="1124" hidden="1">
      <c r="A1124" s="391"/>
      <c r="B1124" s="393"/>
      <c r="C1124" s="413"/>
      <c r="D1124" s="250" t="s">
        <v>1196</v>
      </c>
      <c r="E1124" s="414"/>
      <c r="F1124" s="414"/>
      <c r="G1124" s="414"/>
      <c r="H1124" s="415"/>
      <c r="I1124" s="415"/>
      <c r="J1124" s="797"/>
      <c r="K1124" s="196" t="s">
        <v>735</v>
      </c>
      <c r="L1124" s="798"/>
      <c r="M1124" s="799"/>
      <c r="N1124" s="800"/>
      <c r="O1124" s="800"/>
      <c r="P1124" s="800"/>
      <c r="Q1124" s="229"/>
      <c r="R1124" s="229"/>
      <c r="S1124" s="229"/>
      <c r="T1124" s="600"/>
      <c r="U1124" s="452"/>
      <c r="V1124" s="452"/>
      <c r="W1124" s="452"/>
      <c r="X1124" s="452"/>
      <c r="Y1124" s="452"/>
      <c r="Z1124" s="452"/>
      <c r="AA1124" s="452"/>
      <c r="AB1124" s="452"/>
      <c r="AC1124" s="378">
        <f t="shared" ref="AC1124:AC1151" si="470">SUM(Q1124:AB1124)</f>
        <v>0</v>
      </c>
      <c r="AD1124" s="420"/>
      <c r="AE1124" s="241"/>
      <c r="AF1124" s="194"/>
      <c r="AG1124" s="194"/>
      <c r="AH1124" s="194"/>
      <c r="AI1124" s="194"/>
    </row>
    <row r="1125" hidden="1">
      <c r="A1125" s="391"/>
      <c r="B1125" s="393"/>
      <c r="C1125" s="413"/>
      <c r="D1125" s="286" t="s">
        <v>194</v>
      </c>
      <c r="E1125" s="414"/>
      <c r="F1125" s="414"/>
      <c r="G1125" s="414"/>
      <c r="H1125" s="415"/>
      <c r="I1125" s="415"/>
      <c r="J1125" s="797"/>
      <c r="K1125" s="196" t="s">
        <v>735</v>
      </c>
      <c r="L1125" s="417"/>
      <c r="M1125" s="799"/>
      <c r="N1125" s="800"/>
      <c r="O1125" s="800"/>
      <c r="P1125" s="800"/>
      <c r="Q1125" s="229"/>
      <c r="R1125" s="229"/>
      <c r="S1125" s="229"/>
      <c r="T1125" s="600"/>
      <c r="U1125" s="452"/>
      <c r="V1125" s="452"/>
      <c r="W1125" s="452"/>
      <c r="X1125" s="452"/>
      <c r="Y1125" s="452"/>
      <c r="Z1125" s="452"/>
      <c r="AA1125" s="452"/>
      <c r="AB1125" s="452"/>
      <c r="AC1125" s="378">
        <f t="shared" si="470"/>
        <v>0</v>
      </c>
      <c r="AD1125" s="420"/>
      <c r="AE1125" s="241"/>
      <c r="AF1125" s="194"/>
      <c r="AG1125" s="194"/>
      <c r="AH1125" s="194"/>
      <c r="AI1125" s="194"/>
    </row>
    <row r="1126" hidden="1">
      <c r="A1126" s="391"/>
      <c r="B1126" s="393"/>
      <c r="C1126" s="413"/>
      <c r="D1126" s="286" t="s">
        <v>1197</v>
      </c>
      <c r="E1126" s="414"/>
      <c r="F1126" s="414"/>
      <c r="G1126" s="414"/>
      <c r="H1126" s="415"/>
      <c r="I1126" s="415"/>
      <c r="J1126" s="797"/>
      <c r="K1126" s="196" t="s">
        <v>735</v>
      </c>
      <c r="L1126" s="417"/>
      <c r="M1126" s="799"/>
      <c r="N1126" s="800"/>
      <c r="O1126" s="800"/>
      <c r="P1126" s="800"/>
      <c r="Q1126" s="229"/>
      <c r="R1126" s="229"/>
      <c r="S1126" s="229"/>
      <c r="T1126" s="600"/>
      <c r="U1126" s="452"/>
      <c r="V1126" s="452"/>
      <c r="W1126" s="452"/>
      <c r="X1126" s="452"/>
      <c r="Y1126" s="452"/>
      <c r="Z1126" s="452"/>
      <c r="AA1126" s="452"/>
      <c r="AB1126" s="452"/>
      <c r="AC1126" s="378">
        <f t="shared" si="470"/>
        <v>0</v>
      </c>
      <c r="AD1126" s="420"/>
      <c r="AE1126" s="241"/>
      <c r="AF1126" s="194"/>
      <c r="AG1126" s="194"/>
      <c r="AH1126" s="194"/>
      <c r="AI1126" s="194"/>
    </row>
    <row r="1127">
      <c r="A1127" s="391"/>
      <c r="B1127" s="615"/>
      <c r="C1127" s="394">
        <v>96.0</v>
      </c>
      <c r="D1127" s="903" t="s">
        <v>1198</v>
      </c>
      <c r="E1127" s="198" t="s">
        <v>326</v>
      </c>
      <c r="F1127" s="198" t="s">
        <v>305</v>
      </c>
      <c r="G1127" s="198" t="s">
        <v>327</v>
      </c>
      <c r="H1127" s="198" t="s">
        <v>328</v>
      </c>
      <c r="I1127" s="198" t="s">
        <v>187</v>
      </c>
      <c r="J1127" s="198" t="s">
        <v>188</v>
      </c>
      <c r="K1127" s="606" t="s">
        <v>735</v>
      </c>
      <c r="L1127" s="436"/>
      <c r="M1127" s="479"/>
      <c r="N1127" s="438"/>
      <c r="O1127" s="438"/>
      <c r="P1127" s="438"/>
      <c r="Q1127" s="618"/>
      <c r="R1127" s="618"/>
      <c r="S1127" s="618"/>
      <c r="T1127" s="618">
        <f t="shared" ref="T1127:AB1127" si="471">50000000000/9</f>
        <v>5555555556</v>
      </c>
      <c r="U1127" s="618">
        <f t="shared" si="471"/>
        <v>5555555556</v>
      </c>
      <c r="V1127" s="618">
        <f t="shared" si="471"/>
        <v>5555555556</v>
      </c>
      <c r="W1127" s="618">
        <f t="shared" si="471"/>
        <v>5555555556</v>
      </c>
      <c r="X1127" s="618">
        <f t="shared" si="471"/>
        <v>5555555556</v>
      </c>
      <c r="Y1127" s="618">
        <f t="shared" si="471"/>
        <v>5555555556</v>
      </c>
      <c r="Z1127" s="618">
        <f t="shared" si="471"/>
        <v>5555555556</v>
      </c>
      <c r="AA1127" s="618">
        <f t="shared" si="471"/>
        <v>5555555556</v>
      </c>
      <c r="AB1127" s="618">
        <f t="shared" si="471"/>
        <v>5555555556</v>
      </c>
      <c r="AC1127" s="619">
        <f t="shared" si="470"/>
        <v>50000000000</v>
      </c>
      <c r="AD1127" s="904"/>
      <c r="AE1127" s="430"/>
      <c r="AF1127" s="754"/>
      <c r="AG1127" s="431"/>
      <c r="AH1127" s="431"/>
      <c r="AI1127" s="431"/>
    </row>
    <row r="1128" hidden="1">
      <c r="A1128" s="126"/>
      <c r="B1128" s="615"/>
      <c r="C1128" s="566"/>
      <c r="D1128" s="905"/>
      <c r="E1128" s="621"/>
      <c r="F1128" s="621"/>
      <c r="G1128" s="621"/>
      <c r="H1128" s="622"/>
      <c r="I1128" s="622"/>
      <c r="J1128" s="622"/>
      <c r="K1128" s="622" t="s">
        <v>735</v>
      </c>
      <c r="L1128" s="906"/>
      <c r="M1128" s="624"/>
      <c r="N1128" s="625"/>
      <c r="O1128" s="625"/>
      <c r="P1128" s="625"/>
      <c r="Q1128" s="627"/>
      <c r="R1128" s="627"/>
      <c r="S1128" s="627"/>
      <c r="T1128" s="627"/>
      <c r="U1128" s="627"/>
      <c r="V1128" s="627"/>
      <c r="W1128" s="627"/>
      <c r="X1128" s="627"/>
      <c r="Y1128" s="627"/>
      <c r="Z1128" s="627"/>
      <c r="AA1128" s="627"/>
      <c r="AB1128" s="627"/>
      <c r="AC1128" s="628">
        <f t="shared" si="470"/>
        <v>0</v>
      </c>
      <c r="AD1128" s="420"/>
      <c r="AE1128" s="241"/>
      <c r="AF1128" s="194"/>
      <c r="AG1128" s="194"/>
      <c r="AH1128" s="194"/>
      <c r="AI1128" s="194"/>
    </row>
    <row r="1129" hidden="1">
      <c r="A1129" s="391"/>
      <c r="B1129" s="615"/>
      <c r="C1129" s="222"/>
      <c r="D1129" s="250" t="s">
        <v>1199</v>
      </c>
      <c r="E1129" s="611"/>
      <c r="F1129" s="611"/>
      <c r="G1129" s="611"/>
      <c r="H1129" s="612"/>
      <c r="I1129" s="612"/>
      <c r="J1129" s="222"/>
      <c r="K1129" s="222" t="s">
        <v>735</v>
      </c>
      <c r="L1129" s="907"/>
      <c r="M1129" s="629"/>
      <c r="N1129" s="630"/>
      <c r="O1129" s="630"/>
      <c r="P1129" s="630"/>
      <c r="Q1129" s="908"/>
      <c r="R1129" s="908"/>
      <c r="S1129" s="908"/>
      <c r="T1129" s="908"/>
      <c r="U1129" s="908"/>
      <c r="V1129" s="908"/>
      <c r="W1129" s="908"/>
      <c r="X1129" s="908"/>
      <c r="Y1129" s="908"/>
      <c r="Z1129" s="908"/>
      <c r="AA1129" s="908"/>
      <c r="AB1129" s="908"/>
      <c r="AC1129" s="909">
        <f t="shared" si="470"/>
        <v>0</v>
      </c>
      <c r="AD1129" s="284"/>
      <c r="AE1129" s="241"/>
      <c r="AF1129" s="194"/>
      <c r="AG1129" s="194"/>
      <c r="AH1129" s="194"/>
      <c r="AI1129" s="194"/>
    </row>
    <row r="1130" hidden="1">
      <c r="A1130" s="391"/>
      <c r="B1130" s="615"/>
      <c r="C1130" s="475"/>
      <c r="D1130" s="286" t="s">
        <v>194</v>
      </c>
      <c r="E1130" s="610"/>
      <c r="F1130" s="611"/>
      <c r="G1130" s="610"/>
      <c r="H1130" s="910"/>
      <c r="I1130" s="910"/>
      <c r="J1130" s="222"/>
      <c r="K1130" s="222" t="s">
        <v>735</v>
      </c>
      <c r="L1130" s="426"/>
      <c r="M1130" s="427"/>
      <c r="N1130" s="428"/>
      <c r="O1130" s="428"/>
      <c r="P1130" s="428"/>
      <c r="Q1130" s="429"/>
      <c r="R1130" s="429"/>
      <c r="S1130" s="429"/>
      <c r="T1130" s="429"/>
      <c r="U1130" s="429"/>
      <c r="V1130" s="429"/>
      <c r="W1130" s="429"/>
      <c r="X1130" s="429"/>
      <c r="Y1130" s="429"/>
      <c r="Z1130" s="429"/>
      <c r="AA1130" s="429"/>
      <c r="AB1130" s="429"/>
      <c r="AC1130" s="378">
        <f t="shared" si="470"/>
        <v>0</v>
      </c>
      <c r="AD1130" s="284"/>
      <c r="AE1130" s="241"/>
      <c r="AF1130" s="194"/>
      <c r="AG1130" s="194"/>
      <c r="AH1130" s="194"/>
      <c r="AI1130" s="194"/>
    </row>
    <row r="1131" hidden="1">
      <c r="A1131" s="391"/>
      <c r="B1131" s="615"/>
      <c r="C1131" s="475"/>
      <c r="D1131" s="286" t="s">
        <v>1200</v>
      </c>
      <c r="E1131" s="610"/>
      <c r="F1131" s="611"/>
      <c r="G1131" s="610"/>
      <c r="H1131" s="910"/>
      <c r="I1131" s="910"/>
      <c r="J1131" s="222"/>
      <c r="K1131" s="222" t="s">
        <v>735</v>
      </c>
      <c r="L1131" s="426"/>
      <c r="M1131" s="427"/>
      <c r="N1131" s="428"/>
      <c r="O1131" s="428"/>
      <c r="P1131" s="428"/>
      <c r="Q1131" s="429"/>
      <c r="R1131" s="429"/>
      <c r="S1131" s="429"/>
      <c r="T1131" s="429"/>
      <c r="U1131" s="429"/>
      <c r="V1131" s="429"/>
      <c r="W1131" s="429"/>
      <c r="X1131" s="429"/>
      <c r="Y1131" s="429"/>
      <c r="Z1131" s="429"/>
      <c r="AA1131" s="429"/>
      <c r="AB1131" s="429"/>
      <c r="AC1131" s="378">
        <f t="shared" si="470"/>
        <v>0</v>
      </c>
      <c r="AD1131" s="284"/>
      <c r="AE1131" s="241"/>
      <c r="AF1131" s="194"/>
      <c r="AG1131" s="194"/>
      <c r="AH1131" s="194"/>
      <c r="AI1131" s="194"/>
    </row>
    <row r="1132">
      <c r="A1132" s="391"/>
      <c r="B1132" s="615"/>
      <c r="C1132" s="394">
        <v>97.0</v>
      </c>
      <c r="D1132" s="903" t="s">
        <v>1201</v>
      </c>
      <c r="E1132" s="198" t="s">
        <v>326</v>
      </c>
      <c r="F1132" s="198" t="s">
        <v>305</v>
      </c>
      <c r="G1132" s="198" t="s">
        <v>327</v>
      </c>
      <c r="H1132" s="198" t="s">
        <v>328</v>
      </c>
      <c r="I1132" s="198" t="s">
        <v>187</v>
      </c>
      <c r="J1132" s="198" t="s">
        <v>188</v>
      </c>
      <c r="K1132" s="606" t="s">
        <v>735</v>
      </c>
      <c r="L1132" s="436"/>
      <c r="M1132" s="479"/>
      <c r="N1132" s="438"/>
      <c r="O1132" s="438"/>
      <c r="P1132" s="438"/>
      <c r="Q1132" s="618"/>
      <c r="R1132" s="618"/>
      <c r="S1132" s="618"/>
      <c r="T1132" s="618">
        <f t="shared" ref="T1132:AB1132" si="472">13500000000/9</f>
        <v>1500000000</v>
      </c>
      <c r="U1132" s="618">
        <f t="shared" si="472"/>
        <v>1500000000</v>
      </c>
      <c r="V1132" s="618">
        <f t="shared" si="472"/>
        <v>1500000000</v>
      </c>
      <c r="W1132" s="618">
        <f t="shared" si="472"/>
        <v>1500000000</v>
      </c>
      <c r="X1132" s="618">
        <f t="shared" si="472"/>
        <v>1500000000</v>
      </c>
      <c r="Y1132" s="618">
        <f t="shared" si="472"/>
        <v>1500000000</v>
      </c>
      <c r="Z1132" s="618">
        <f t="shared" si="472"/>
        <v>1500000000</v>
      </c>
      <c r="AA1132" s="618">
        <f t="shared" si="472"/>
        <v>1500000000</v>
      </c>
      <c r="AB1132" s="618">
        <f t="shared" si="472"/>
        <v>1500000000</v>
      </c>
      <c r="AC1132" s="619">
        <f t="shared" si="470"/>
        <v>13500000000</v>
      </c>
      <c r="AD1132" s="904"/>
      <c r="AE1132" s="241"/>
      <c r="AF1132" s="754"/>
      <c r="AG1132" s="194"/>
      <c r="AH1132" s="194"/>
      <c r="AI1132" s="194"/>
    </row>
    <row r="1133" hidden="1">
      <c r="A1133" s="126"/>
      <c r="B1133" s="615"/>
      <c r="C1133" s="566"/>
      <c r="D1133" s="911" t="s">
        <v>1202</v>
      </c>
      <c r="E1133" s="621"/>
      <c r="F1133" s="621"/>
      <c r="G1133" s="621"/>
      <c r="H1133" s="622"/>
      <c r="I1133" s="622"/>
      <c r="J1133" s="622"/>
      <c r="K1133" s="622" t="s">
        <v>735</v>
      </c>
      <c r="L1133" s="906"/>
      <c r="M1133" s="624"/>
      <c r="N1133" s="625"/>
      <c r="O1133" s="625"/>
      <c r="P1133" s="625"/>
      <c r="Q1133" s="627"/>
      <c r="R1133" s="627"/>
      <c r="S1133" s="627"/>
      <c r="T1133" s="627"/>
      <c r="U1133" s="627"/>
      <c r="V1133" s="627"/>
      <c r="W1133" s="627"/>
      <c r="X1133" s="627"/>
      <c r="Y1133" s="627"/>
      <c r="Z1133" s="627"/>
      <c r="AA1133" s="627"/>
      <c r="AB1133" s="627"/>
      <c r="AC1133" s="628">
        <f t="shared" si="470"/>
        <v>0</v>
      </c>
      <c r="AD1133" s="284"/>
      <c r="AE1133" s="241"/>
      <c r="AF1133" s="194"/>
      <c r="AG1133" s="194"/>
      <c r="AH1133" s="194"/>
      <c r="AI1133" s="194"/>
    </row>
    <row r="1134" hidden="1">
      <c r="A1134" s="391"/>
      <c r="B1134" s="615"/>
      <c r="C1134" s="222"/>
      <c r="D1134" s="250" t="s">
        <v>1203</v>
      </c>
      <c r="E1134" s="611"/>
      <c r="F1134" s="611"/>
      <c r="G1134" s="611"/>
      <c r="H1134" s="612"/>
      <c r="I1134" s="612"/>
      <c r="J1134" s="222"/>
      <c r="K1134" s="222" t="s">
        <v>735</v>
      </c>
      <c r="L1134" s="907"/>
      <c r="M1134" s="629"/>
      <c r="N1134" s="630"/>
      <c r="O1134" s="630"/>
      <c r="P1134" s="630"/>
      <c r="Q1134" s="908"/>
      <c r="R1134" s="908"/>
      <c r="S1134" s="908"/>
      <c r="T1134" s="908"/>
      <c r="U1134" s="908"/>
      <c r="V1134" s="908"/>
      <c r="W1134" s="908"/>
      <c r="X1134" s="908"/>
      <c r="Y1134" s="908"/>
      <c r="Z1134" s="908"/>
      <c r="AA1134" s="908"/>
      <c r="AB1134" s="908"/>
      <c r="AC1134" s="909">
        <f t="shared" si="470"/>
        <v>0</v>
      </c>
      <c r="AD1134" s="264"/>
      <c r="AE1134" s="241"/>
      <c r="AF1134" s="194"/>
      <c r="AG1134" s="194"/>
      <c r="AH1134" s="194"/>
      <c r="AI1134" s="194"/>
    </row>
    <row r="1135" hidden="1">
      <c r="A1135" s="391"/>
      <c r="B1135" s="615"/>
      <c r="C1135" s="475"/>
      <c r="D1135" s="286" t="s">
        <v>194</v>
      </c>
      <c r="E1135" s="611"/>
      <c r="F1135" s="611"/>
      <c r="G1135" s="611"/>
      <c r="H1135" s="910"/>
      <c r="I1135" s="910"/>
      <c r="J1135" s="222"/>
      <c r="K1135" s="222" t="s">
        <v>735</v>
      </c>
      <c r="L1135" s="426"/>
      <c r="M1135" s="427"/>
      <c r="N1135" s="428"/>
      <c r="O1135" s="428"/>
      <c r="P1135" s="428"/>
      <c r="Q1135" s="429"/>
      <c r="R1135" s="429"/>
      <c r="S1135" s="429"/>
      <c r="T1135" s="429"/>
      <c r="U1135" s="429"/>
      <c r="V1135" s="429"/>
      <c r="W1135" s="429"/>
      <c r="X1135" s="429"/>
      <c r="Y1135" s="429"/>
      <c r="Z1135" s="429"/>
      <c r="AA1135" s="429"/>
      <c r="AB1135" s="429"/>
      <c r="AC1135" s="378">
        <f t="shared" si="470"/>
        <v>0</v>
      </c>
      <c r="AD1135" s="214"/>
      <c r="AE1135" s="192"/>
      <c r="AF1135" s="194"/>
      <c r="AG1135" s="194"/>
      <c r="AH1135" s="194"/>
      <c r="AI1135" s="194"/>
    </row>
    <row r="1136" hidden="1">
      <c r="A1136" s="391"/>
      <c r="B1136" s="615"/>
      <c r="C1136" s="475"/>
      <c r="D1136" s="286" t="s">
        <v>1204</v>
      </c>
      <c r="E1136" s="611"/>
      <c r="F1136" s="611"/>
      <c r="G1136" s="611"/>
      <c r="H1136" s="910"/>
      <c r="I1136" s="910"/>
      <c r="J1136" s="222"/>
      <c r="K1136" s="222" t="s">
        <v>735</v>
      </c>
      <c r="L1136" s="426"/>
      <c r="M1136" s="427"/>
      <c r="N1136" s="428"/>
      <c r="O1136" s="428"/>
      <c r="P1136" s="428"/>
      <c r="Q1136" s="429"/>
      <c r="R1136" s="429"/>
      <c r="S1136" s="429"/>
      <c r="T1136" s="429"/>
      <c r="U1136" s="429"/>
      <c r="V1136" s="429"/>
      <c r="W1136" s="429"/>
      <c r="X1136" s="429"/>
      <c r="Y1136" s="429"/>
      <c r="Z1136" s="429"/>
      <c r="AA1136" s="429"/>
      <c r="AB1136" s="429"/>
      <c r="AC1136" s="378">
        <f t="shared" si="470"/>
        <v>0</v>
      </c>
      <c r="AD1136" s="214"/>
      <c r="AE1136" s="192"/>
      <c r="AF1136" s="194"/>
      <c r="AG1136" s="194"/>
      <c r="AH1136" s="194"/>
      <c r="AI1136" s="194"/>
    </row>
    <row r="1137">
      <c r="A1137" s="391"/>
      <c r="B1137" s="615"/>
      <c r="C1137" s="475">
        <v>98.0</v>
      </c>
      <c r="D1137" s="912" t="s">
        <v>1205</v>
      </c>
      <c r="E1137" s="198" t="s">
        <v>186</v>
      </c>
      <c r="F1137" s="198" t="s">
        <v>103</v>
      </c>
      <c r="G1137" s="198" t="s">
        <v>86</v>
      </c>
      <c r="H1137" s="198" t="s">
        <v>86</v>
      </c>
      <c r="I1137" s="198" t="s">
        <v>253</v>
      </c>
      <c r="J1137" s="198" t="s">
        <v>254</v>
      </c>
      <c r="K1137" s="606" t="s">
        <v>735</v>
      </c>
      <c r="L1137" s="436">
        <v>1.970353659E9</v>
      </c>
      <c r="M1137" s="479" t="s">
        <v>1206</v>
      </c>
      <c r="N1137" s="438"/>
      <c r="O1137" s="438">
        <v>45700.0</v>
      </c>
      <c r="P1137" s="438">
        <v>46064.0</v>
      </c>
      <c r="Q1137" s="618"/>
      <c r="R1137" s="618"/>
      <c r="S1137" s="618"/>
      <c r="T1137" s="618">
        <f t="shared" ref="T1137:AB1137" si="473">2000000000/9</f>
        <v>222222222.2</v>
      </c>
      <c r="U1137" s="618">
        <f t="shared" si="473"/>
        <v>222222222.2</v>
      </c>
      <c r="V1137" s="618">
        <f t="shared" si="473"/>
        <v>222222222.2</v>
      </c>
      <c r="W1137" s="618">
        <f t="shared" si="473"/>
        <v>222222222.2</v>
      </c>
      <c r="X1137" s="618">
        <f t="shared" si="473"/>
        <v>222222222.2</v>
      </c>
      <c r="Y1137" s="618">
        <f t="shared" si="473"/>
        <v>222222222.2</v>
      </c>
      <c r="Z1137" s="618">
        <f t="shared" si="473"/>
        <v>222222222.2</v>
      </c>
      <c r="AA1137" s="618">
        <f t="shared" si="473"/>
        <v>222222222.2</v>
      </c>
      <c r="AB1137" s="618">
        <f t="shared" si="473"/>
        <v>222222222.2</v>
      </c>
      <c r="AC1137" s="619">
        <f t="shared" si="470"/>
        <v>2000000000</v>
      </c>
      <c r="AD1137" s="178">
        <f>SUM(Q1137:AB1137)-AC1137</f>
        <v>0</v>
      </c>
      <c r="AE1137" s="192"/>
      <c r="AF1137" s="754"/>
      <c r="AG1137" s="194"/>
      <c r="AH1137" s="194"/>
      <c r="AI1137" s="194"/>
    </row>
    <row r="1138" hidden="1">
      <c r="A1138" s="126"/>
      <c r="B1138" s="615"/>
      <c r="C1138" s="441"/>
      <c r="D1138" s="913" t="s">
        <v>1207</v>
      </c>
      <c r="E1138" s="621"/>
      <c r="F1138" s="621"/>
      <c r="G1138" s="621"/>
      <c r="H1138" s="622"/>
      <c r="I1138" s="622"/>
      <c r="J1138" s="622"/>
      <c r="K1138" s="622" t="s">
        <v>735</v>
      </c>
      <c r="L1138" s="906"/>
      <c r="M1138" s="914" t="s">
        <v>1208</v>
      </c>
      <c r="N1138" s="625"/>
      <c r="O1138" s="625"/>
      <c r="P1138" s="625"/>
      <c r="Q1138" s="627"/>
      <c r="R1138" s="627">
        <f>(S1138/28)*20</f>
        <v>117282955.9</v>
      </c>
      <c r="S1138" s="627">
        <f>L1137/12</f>
        <v>164196138.3</v>
      </c>
      <c r="T1138" s="627">
        <f t="shared" ref="T1138:AB1138" si="474">S1138</f>
        <v>164196138.3</v>
      </c>
      <c r="U1138" s="627">
        <f t="shared" si="474"/>
        <v>164196138.3</v>
      </c>
      <c r="V1138" s="627">
        <f t="shared" si="474"/>
        <v>164196138.3</v>
      </c>
      <c r="W1138" s="627">
        <f t="shared" si="474"/>
        <v>164196138.3</v>
      </c>
      <c r="X1138" s="627">
        <f t="shared" si="474"/>
        <v>164196138.3</v>
      </c>
      <c r="Y1138" s="627">
        <f t="shared" si="474"/>
        <v>164196138.3</v>
      </c>
      <c r="Z1138" s="627">
        <f t="shared" si="474"/>
        <v>164196138.3</v>
      </c>
      <c r="AA1138" s="627">
        <f t="shared" si="474"/>
        <v>164196138.3</v>
      </c>
      <c r="AB1138" s="627">
        <f t="shared" si="474"/>
        <v>164196138.3</v>
      </c>
      <c r="AC1138" s="628">
        <f t="shared" si="470"/>
        <v>1759244338</v>
      </c>
      <c r="AD1138" s="214"/>
      <c r="AE1138" s="192"/>
      <c r="AF1138" s="194"/>
      <c r="AG1138" s="194"/>
      <c r="AH1138" s="194"/>
      <c r="AI1138" s="194"/>
    </row>
    <row r="1139" hidden="1">
      <c r="A1139" s="391"/>
      <c r="B1139" s="615"/>
      <c r="C1139" s="222"/>
      <c r="D1139" s="250" t="s">
        <v>1209</v>
      </c>
      <c r="E1139" s="611"/>
      <c r="F1139" s="611"/>
      <c r="G1139" s="611"/>
      <c r="H1139" s="612"/>
      <c r="I1139" s="612"/>
      <c r="J1139" s="222"/>
      <c r="K1139" s="222" t="s">
        <v>735</v>
      </c>
      <c r="L1139" s="907"/>
      <c r="M1139" s="629"/>
      <c r="N1139" s="630"/>
      <c r="O1139" s="630"/>
      <c r="P1139" s="630"/>
      <c r="Q1139" s="908"/>
      <c r="R1139" s="429"/>
      <c r="S1139" s="614" t="str">
        <f t="shared" ref="S1139:V1139" si="475">R1139</f>
        <v/>
      </c>
      <c r="T1139" s="614" t="str">
        <f t="shared" si="475"/>
        <v/>
      </c>
      <c r="U1139" s="614" t="str">
        <f t="shared" si="475"/>
        <v/>
      </c>
      <c r="V1139" s="614" t="str">
        <f t="shared" si="475"/>
        <v/>
      </c>
      <c r="W1139" s="614"/>
      <c r="X1139" s="614"/>
      <c r="Y1139" s="614"/>
      <c r="Z1139" s="614"/>
      <c r="AA1139" s="614"/>
      <c r="AB1139" s="614"/>
      <c r="AC1139" s="909">
        <f t="shared" si="470"/>
        <v>0</v>
      </c>
      <c r="AD1139" s="214"/>
      <c r="AE1139" s="241"/>
      <c r="AF1139" s="194"/>
      <c r="AG1139" s="194"/>
      <c r="AH1139" s="194"/>
      <c r="AI1139" s="194"/>
    </row>
    <row r="1140" hidden="1">
      <c r="A1140" s="391"/>
      <c r="B1140" s="615"/>
      <c r="C1140" s="475"/>
      <c r="D1140" s="286" t="s">
        <v>194</v>
      </c>
      <c r="E1140" s="611"/>
      <c r="F1140" s="611"/>
      <c r="G1140" s="611"/>
      <c r="H1140" s="910"/>
      <c r="I1140" s="910"/>
      <c r="J1140" s="222"/>
      <c r="K1140" s="222" t="s">
        <v>735</v>
      </c>
      <c r="L1140" s="426"/>
      <c r="M1140" s="427"/>
      <c r="N1140" s="428"/>
      <c r="O1140" s="428"/>
      <c r="P1140" s="428"/>
      <c r="Q1140" s="429"/>
      <c r="R1140" s="429"/>
      <c r="S1140" s="429"/>
      <c r="T1140" s="429"/>
      <c r="U1140" s="429"/>
      <c r="V1140" s="429"/>
      <c r="W1140" s="429"/>
      <c r="X1140" s="429"/>
      <c r="Y1140" s="429"/>
      <c r="Z1140" s="429"/>
      <c r="AA1140" s="429"/>
      <c r="AB1140" s="429"/>
      <c r="AC1140" s="378">
        <f t="shared" si="470"/>
        <v>0</v>
      </c>
      <c r="AD1140" s="271"/>
      <c r="AE1140" s="241"/>
      <c r="AF1140" s="194"/>
      <c r="AG1140" s="194"/>
      <c r="AH1140" s="194"/>
      <c r="AI1140" s="194"/>
    </row>
    <row r="1141" hidden="1">
      <c r="A1141" s="391"/>
      <c r="B1141" s="615"/>
      <c r="C1141" s="475"/>
      <c r="D1141" s="286" t="s">
        <v>1210</v>
      </c>
      <c r="E1141" s="611"/>
      <c r="F1141" s="611"/>
      <c r="G1141" s="611"/>
      <c r="H1141" s="910"/>
      <c r="I1141" s="910"/>
      <c r="J1141" s="222"/>
      <c r="K1141" s="222" t="s">
        <v>735</v>
      </c>
      <c r="L1141" s="426"/>
      <c r="M1141" s="427"/>
      <c r="N1141" s="428"/>
      <c r="O1141" s="428"/>
      <c r="P1141" s="428"/>
      <c r="Q1141" s="429"/>
      <c r="R1141" s="429"/>
      <c r="S1141" s="429"/>
      <c r="T1141" s="429"/>
      <c r="U1141" s="429"/>
      <c r="V1141" s="429"/>
      <c r="W1141" s="429"/>
      <c r="X1141" s="429"/>
      <c r="Y1141" s="429"/>
      <c r="Z1141" s="429"/>
      <c r="AA1141" s="429"/>
      <c r="AB1141" s="429"/>
      <c r="AC1141" s="378">
        <f t="shared" si="470"/>
        <v>0</v>
      </c>
      <c r="AD1141" s="271"/>
      <c r="AE1141" s="241"/>
      <c r="AF1141" s="194"/>
      <c r="AG1141" s="194"/>
      <c r="AH1141" s="194"/>
      <c r="AI1141" s="194"/>
    </row>
    <row r="1142">
      <c r="A1142" s="391"/>
      <c r="B1142" s="615"/>
      <c r="C1142" s="475">
        <v>99.0</v>
      </c>
      <c r="D1142" s="912" t="s">
        <v>1211</v>
      </c>
      <c r="E1142" s="198" t="s">
        <v>186</v>
      </c>
      <c r="F1142" s="198" t="s">
        <v>135</v>
      </c>
      <c r="G1142" s="198" t="s">
        <v>135</v>
      </c>
      <c r="H1142" s="198" t="s">
        <v>203</v>
      </c>
      <c r="I1142" s="198" t="s">
        <v>253</v>
      </c>
      <c r="J1142" s="198" t="s">
        <v>254</v>
      </c>
      <c r="K1142" s="606" t="s">
        <v>735</v>
      </c>
      <c r="L1142" s="436"/>
      <c r="M1142" s="479"/>
      <c r="N1142" s="438"/>
      <c r="O1142" s="438"/>
      <c r="P1142" s="438"/>
      <c r="Q1142" s="618"/>
      <c r="R1142" s="618"/>
      <c r="S1142" s="618"/>
      <c r="T1142" s="618">
        <f t="shared" ref="T1142:AB1142" si="476">2000000000/9</f>
        <v>222222222.2</v>
      </c>
      <c r="U1142" s="618">
        <f t="shared" si="476"/>
        <v>222222222.2</v>
      </c>
      <c r="V1142" s="618">
        <f t="shared" si="476"/>
        <v>222222222.2</v>
      </c>
      <c r="W1142" s="618">
        <f t="shared" si="476"/>
        <v>222222222.2</v>
      </c>
      <c r="X1142" s="618">
        <f t="shared" si="476"/>
        <v>222222222.2</v>
      </c>
      <c r="Y1142" s="618">
        <f t="shared" si="476"/>
        <v>222222222.2</v>
      </c>
      <c r="Z1142" s="618">
        <f t="shared" si="476"/>
        <v>222222222.2</v>
      </c>
      <c r="AA1142" s="618">
        <f t="shared" si="476"/>
        <v>222222222.2</v>
      </c>
      <c r="AB1142" s="618">
        <f t="shared" si="476"/>
        <v>222222222.2</v>
      </c>
      <c r="AC1142" s="619">
        <f t="shared" si="470"/>
        <v>2000000000</v>
      </c>
      <c r="AD1142" s="178">
        <f>SUM(Q1142:AB1142)-AC1142</f>
        <v>0</v>
      </c>
      <c r="AE1142" s="241"/>
      <c r="AF1142" s="754"/>
      <c r="AG1142" s="194"/>
      <c r="AH1142" s="194"/>
      <c r="AI1142" s="194"/>
    </row>
    <row r="1143" hidden="1">
      <c r="A1143" s="126"/>
      <c r="B1143" s="615"/>
      <c r="C1143" s="566"/>
      <c r="D1143" s="905"/>
      <c r="E1143" s="621"/>
      <c r="F1143" s="621"/>
      <c r="G1143" s="621"/>
      <c r="H1143" s="622"/>
      <c r="I1143" s="622"/>
      <c r="J1143" s="622"/>
      <c r="K1143" s="622" t="s">
        <v>735</v>
      </c>
      <c r="L1143" s="906"/>
      <c r="M1143" s="624"/>
      <c r="N1143" s="625"/>
      <c r="O1143" s="625"/>
      <c r="P1143" s="625"/>
      <c r="Q1143" s="627"/>
      <c r="R1143" s="627"/>
      <c r="S1143" s="627"/>
      <c r="T1143" s="627"/>
      <c r="U1143" s="627"/>
      <c r="V1143" s="627"/>
      <c r="W1143" s="627"/>
      <c r="X1143" s="627"/>
      <c r="Y1143" s="627"/>
      <c r="Z1143" s="627"/>
      <c r="AA1143" s="627"/>
      <c r="AB1143" s="627"/>
      <c r="AC1143" s="628">
        <f t="shared" si="470"/>
        <v>0</v>
      </c>
      <c r="AD1143" s="214"/>
      <c r="AE1143" s="192"/>
      <c r="AF1143" s="194"/>
      <c r="AG1143" s="194"/>
      <c r="AH1143" s="194"/>
      <c r="AI1143" s="194"/>
    </row>
    <row r="1144" hidden="1">
      <c r="A1144" s="391"/>
      <c r="B1144" s="615"/>
      <c r="C1144" s="222"/>
      <c r="D1144" s="250" t="s">
        <v>1212</v>
      </c>
      <c r="E1144" s="611"/>
      <c r="F1144" s="611"/>
      <c r="G1144" s="611"/>
      <c r="H1144" s="612"/>
      <c r="I1144" s="612"/>
      <c r="J1144" s="222"/>
      <c r="K1144" s="222" t="s">
        <v>735</v>
      </c>
      <c r="L1144" s="907"/>
      <c r="M1144" s="629"/>
      <c r="N1144" s="630"/>
      <c r="O1144" s="630"/>
      <c r="P1144" s="630"/>
      <c r="Q1144" s="908"/>
      <c r="R1144" s="908"/>
      <c r="S1144" s="908"/>
      <c r="T1144" s="908"/>
      <c r="U1144" s="908"/>
      <c r="V1144" s="908"/>
      <c r="W1144" s="908"/>
      <c r="X1144" s="908"/>
      <c r="Y1144" s="908"/>
      <c r="Z1144" s="908"/>
      <c r="AA1144" s="908"/>
      <c r="AB1144" s="908"/>
      <c r="AC1144" s="909">
        <f t="shared" si="470"/>
        <v>0</v>
      </c>
      <c r="AD1144" s="214"/>
      <c r="AE1144" s="192"/>
      <c r="AF1144" s="194"/>
      <c r="AG1144" s="194"/>
      <c r="AH1144" s="194"/>
      <c r="AI1144" s="194"/>
    </row>
    <row r="1145" hidden="1">
      <c r="A1145" s="391"/>
      <c r="B1145" s="615"/>
      <c r="C1145" s="475"/>
      <c r="D1145" s="286" t="s">
        <v>194</v>
      </c>
      <c r="E1145" s="611"/>
      <c r="F1145" s="611"/>
      <c r="G1145" s="611"/>
      <c r="H1145" s="910"/>
      <c r="I1145" s="910"/>
      <c r="J1145" s="222"/>
      <c r="K1145" s="222" t="s">
        <v>735</v>
      </c>
      <c r="L1145" s="426"/>
      <c r="M1145" s="427"/>
      <c r="N1145" s="428"/>
      <c r="O1145" s="428"/>
      <c r="P1145" s="428"/>
      <c r="Q1145" s="429"/>
      <c r="R1145" s="429"/>
      <c r="S1145" s="429"/>
      <c r="T1145" s="429"/>
      <c r="U1145" s="429"/>
      <c r="V1145" s="429"/>
      <c r="W1145" s="429"/>
      <c r="X1145" s="429"/>
      <c r="Y1145" s="429"/>
      <c r="Z1145" s="429"/>
      <c r="AA1145" s="429"/>
      <c r="AB1145" s="429"/>
      <c r="AC1145" s="378">
        <f t="shared" si="470"/>
        <v>0</v>
      </c>
      <c r="AD1145" s="273"/>
      <c r="AE1145" s="192"/>
      <c r="AF1145" s="194"/>
      <c r="AG1145" s="194"/>
      <c r="AH1145" s="194"/>
      <c r="AI1145" s="194"/>
    </row>
    <row r="1146" hidden="1">
      <c r="A1146" s="391"/>
      <c r="B1146" s="615"/>
      <c r="C1146" s="475"/>
      <c r="D1146" s="286" t="s">
        <v>1213</v>
      </c>
      <c r="E1146" s="611"/>
      <c r="F1146" s="611"/>
      <c r="G1146" s="611"/>
      <c r="H1146" s="910"/>
      <c r="I1146" s="910"/>
      <c r="J1146" s="222"/>
      <c r="K1146" s="222" t="s">
        <v>735</v>
      </c>
      <c r="L1146" s="426"/>
      <c r="M1146" s="427"/>
      <c r="N1146" s="428"/>
      <c r="O1146" s="428"/>
      <c r="P1146" s="428"/>
      <c r="Q1146" s="429"/>
      <c r="R1146" s="429"/>
      <c r="S1146" s="429"/>
      <c r="T1146" s="429"/>
      <c r="U1146" s="429"/>
      <c r="V1146" s="429"/>
      <c r="W1146" s="429"/>
      <c r="X1146" s="429"/>
      <c r="Y1146" s="429"/>
      <c r="Z1146" s="429"/>
      <c r="AA1146" s="429"/>
      <c r="AB1146" s="429"/>
      <c r="AC1146" s="378">
        <f t="shared" si="470"/>
        <v>0</v>
      </c>
      <c r="AD1146" s="273"/>
      <c r="AE1146" s="192"/>
      <c r="AF1146" s="194"/>
      <c r="AG1146" s="194"/>
      <c r="AH1146" s="194"/>
      <c r="AI1146" s="194"/>
    </row>
    <row r="1147">
      <c r="A1147" s="391"/>
      <c r="B1147" s="615"/>
      <c r="C1147" s="475">
        <v>100.0</v>
      </c>
      <c r="D1147" s="912" t="s">
        <v>1214</v>
      </c>
      <c r="E1147" s="198" t="s">
        <v>186</v>
      </c>
      <c r="F1147" s="198" t="s">
        <v>135</v>
      </c>
      <c r="G1147" s="198" t="s">
        <v>135</v>
      </c>
      <c r="H1147" s="198" t="s">
        <v>203</v>
      </c>
      <c r="I1147" s="198" t="s">
        <v>1010</v>
      </c>
      <c r="J1147" s="198" t="s">
        <v>188</v>
      </c>
      <c r="K1147" s="606" t="s">
        <v>735</v>
      </c>
      <c r="L1147" s="436"/>
      <c r="M1147" s="479"/>
      <c r="N1147" s="438"/>
      <c r="O1147" s="438"/>
      <c r="P1147" s="438"/>
      <c r="Q1147" s="618"/>
      <c r="R1147" s="618"/>
      <c r="S1147" s="618"/>
      <c r="T1147" s="618">
        <f t="shared" ref="T1147:AB1147" si="477">18000000000/9</f>
        <v>2000000000</v>
      </c>
      <c r="U1147" s="618">
        <f t="shared" si="477"/>
        <v>2000000000</v>
      </c>
      <c r="V1147" s="618">
        <f t="shared" si="477"/>
        <v>2000000000</v>
      </c>
      <c r="W1147" s="618">
        <f t="shared" si="477"/>
        <v>2000000000</v>
      </c>
      <c r="X1147" s="618">
        <f t="shared" si="477"/>
        <v>2000000000</v>
      </c>
      <c r="Y1147" s="618">
        <f t="shared" si="477"/>
        <v>2000000000</v>
      </c>
      <c r="Z1147" s="618">
        <f t="shared" si="477"/>
        <v>2000000000</v>
      </c>
      <c r="AA1147" s="618">
        <f t="shared" si="477"/>
        <v>2000000000</v>
      </c>
      <c r="AB1147" s="618">
        <f t="shared" si="477"/>
        <v>2000000000</v>
      </c>
      <c r="AC1147" s="619">
        <f t="shared" si="470"/>
        <v>18000000000</v>
      </c>
      <c r="AD1147" s="178">
        <f>SUM(Q1147:AB1147)-AC1147</f>
        <v>0</v>
      </c>
      <c r="AE1147" s="241"/>
      <c r="AF1147" s="754"/>
      <c r="AG1147" s="194"/>
      <c r="AH1147" s="194"/>
      <c r="AI1147" s="194"/>
    </row>
    <row r="1148" hidden="1">
      <c r="A1148" s="126"/>
      <c r="B1148" s="615"/>
      <c r="C1148" s="441"/>
      <c r="D1148" s="915"/>
      <c r="E1148" s="621"/>
      <c r="F1148" s="621"/>
      <c r="G1148" s="621"/>
      <c r="H1148" s="622"/>
      <c r="I1148" s="622"/>
      <c r="J1148" s="622"/>
      <c r="K1148" s="622" t="s">
        <v>735</v>
      </c>
      <c r="L1148" s="906"/>
      <c r="M1148" s="624"/>
      <c r="N1148" s="625"/>
      <c r="O1148" s="625"/>
      <c r="P1148" s="625"/>
      <c r="Q1148" s="627"/>
      <c r="R1148" s="627"/>
      <c r="S1148" s="627"/>
      <c r="T1148" s="627"/>
      <c r="U1148" s="627"/>
      <c r="V1148" s="627"/>
      <c r="W1148" s="627"/>
      <c r="X1148" s="627"/>
      <c r="Y1148" s="627"/>
      <c r="Z1148" s="627"/>
      <c r="AA1148" s="627"/>
      <c r="AB1148" s="627"/>
      <c r="AC1148" s="628">
        <f t="shared" si="470"/>
        <v>0</v>
      </c>
      <c r="AD1148" s="264"/>
      <c r="AE1148" s="241"/>
      <c r="AF1148" s="194"/>
      <c r="AG1148" s="194"/>
      <c r="AH1148" s="194"/>
      <c r="AI1148" s="194"/>
    </row>
    <row r="1149" hidden="1">
      <c r="A1149" s="391"/>
      <c r="B1149" s="615"/>
      <c r="C1149" s="222"/>
      <c r="D1149" s="250" t="s">
        <v>1215</v>
      </c>
      <c r="E1149" s="611"/>
      <c r="F1149" s="611"/>
      <c r="G1149" s="611"/>
      <c r="H1149" s="612"/>
      <c r="I1149" s="612"/>
      <c r="J1149" s="222"/>
      <c r="K1149" s="222" t="s">
        <v>735</v>
      </c>
      <c r="L1149" s="907"/>
      <c r="M1149" s="629"/>
      <c r="N1149" s="630"/>
      <c r="O1149" s="630"/>
      <c r="P1149" s="630"/>
      <c r="Q1149" s="908"/>
      <c r="R1149" s="908"/>
      <c r="S1149" s="908"/>
      <c r="T1149" s="908"/>
      <c r="U1149" s="908"/>
      <c r="V1149" s="908"/>
      <c r="W1149" s="908"/>
      <c r="X1149" s="908"/>
      <c r="Y1149" s="908"/>
      <c r="Z1149" s="908"/>
      <c r="AA1149" s="908"/>
      <c r="AB1149" s="908"/>
      <c r="AC1149" s="909">
        <f t="shared" si="470"/>
        <v>0</v>
      </c>
      <c r="AD1149" s="548"/>
      <c r="AE1149" s="192"/>
      <c r="AF1149" s="194"/>
      <c r="AG1149" s="194"/>
      <c r="AH1149" s="194"/>
      <c r="AI1149" s="194"/>
    </row>
    <row r="1150" hidden="1">
      <c r="A1150" s="391"/>
      <c r="B1150" s="615"/>
      <c r="C1150" s="222"/>
      <c r="D1150" s="286" t="s">
        <v>194</v>
      </c>
      <c r="E1150" s="233"/>
      <c r="F1150" s="233"/>
      <c r="G1150" s="233"/>
      <c r="H1150" s="234"/>
      <c r="I1150" s="234"/>
      <c r="J1150" s="222"/>
      <c r="K1150" s="222" t="s">
        <v>735</v>
      </c>
      <c r="L1150" s="287"/>
      <c r="M1150" s="236"/>
      <c r="N1150" s="285"/>
      <c r="O1150" s="285"/>
      <c r="P1150" s="285"/>
      <c r="Q1150" s="288"/>
      <c r="R1150" s="288"/>
      <c r="S1150" s="288"/>
      <c r="T1150" s="288"/>
      <c r="U1150" s="288"/>
      <c r="V1150" s="288"/>
      <c r="W1150" s="288"/>
      <c r="X1150" s="288"/>
      <c r="Y1150" s="288"/>
      <c r="Z1150" s="288"/>
      <c r="AA1150" s="288"/>
      <c r="AB1150" s="288"/>
      <c r="AC1150" s="378">
        <f t="shared" si="470"/>
        <v>0</v>
      </c>
      <c r="AD1150" s="273"/>
      <c r="AE1150" s="192"/>
      <c r="AF1150" s="194"/>
      <c r="AG1150" s="194"/>
      <c r="AH1150" s="194"/>
      <c r="AI1150" s="194"/>
    </row>
    <row r="1151" hidden="1">
      <c r="A1151" s="391"/>
      <c r="B1151" s="615"/>
      <c r="C1151" s="222"/>
      <c r="D1151" s="286" t="s">
        <v>1216</v>
      </c>
      <c r="E1151" s="233"/>
      <c r="F1151" s="233"/>
      <c r="G1151" s="233"/>
      <c r="H1151" s="234"/>
      <c r="I1151" s="234"/>
      <c r="J1151" s="222"/>
      <c r="K1151" s="222" t="s">
        <v>735</v>
      </c>
      <c r="L1151" s="287"/>
      <c r="M1151" s="236"/>
      <c r="N1151" s="285"/>
      <c r="O1151" s="285"/>
      <c r="P1151" s="285"/>
      <c r="Q1151" s="288"/>
      <c r="R1151" s="288"/>
      <c r="S1151" s="288"/>
      <c r="T1151" s="288"/>
      <c r="U1151" s="288"/>
      <c r="V1151" s="288"/>
      <c r="W1151" s="288"/>
      <c r="X1151" s="288"/>
      <c r="Y1151" s="288"/>
      <c r="Z1151" s="288"/>
      <c r="AA1151" s="288"/>
      <c r="AB1151" s="288"/>
      <c r="AC1151" s="378">
        <f t="shared" si="470"/>
        <v>0</v>
      </c>
      <c r="AD1151" s="273"/>
      <c r="AE1151" s="192"/>
      <c r="AF1151" s="194"/>
      <c r="AG1151" s="194"/>
      <c r="AH1151" s="194"/>
      <c r="AI1151" s="194"/>
    </row>
    <row r="1152" hidden="1">
      <c r="A1152" s="126"/>
      <c r="B1152" s="181"/>
      <c r="C1152" s="289"/>
      <c r="D1152" s="290" t="s">
        <v>1217</v>
      </c>
      <c r="E1152" s="487"/>
      <c r="F1152" s="487"/>
      <c r="G1152" s="487"/>
      <c r="H1152" s="291"/>
      <c r="I1152" s="291"/>
      <c r="J1152" s="292"/>
      <c r="K1152" s="292" t="s">
        <v>735</v>
      </c>
      <c r="L1152" s="293"/>
      <c r="M1152" s="294"/>
      <c r="N1152" s="295"/>
      <c r="O1152" s="295"/>
      <c r="P1152" s="295"/>
      <c r="Q1152" s="296">
        <f t="shared" ref="Q1152:AC1152" si="478">Q563+Q564+Q565+Q566+Q567+Q572+Q573+Q578+Q579+Q584+Q585+Q590+Q591+Q596+Q601+Q606+Q607+Q645+Q646+Q647+Q648+Q649+Q638+Q639+Q640+Q654+Q659+Q664+Q665+Q666+Q671+Q672+Q673+Q678+Q679+Q680+Q685+Q686+Q687+Q688+Q693+Q698+Q703+Q708+Q723+Q724+Q729+Q730+Q713+Q735+Q740+Q741+Q742+Q747+Q748+Q749+Q754+Q759+Q760+Q761+Q762+Q767+Q772+Q777+Q778+Q784+Q789+Q790+Q795+Q796+Q797+Q802+Q803+Q808+Q809+Q810+Q811+Q816+Q817+Q818+Q823+Q828+Q833+Q838+Q996+Q1001+Q1006+Q1011+Q1016+Q1021+Q1026+Q1031+Q1036+Q1041+Q1046+Q1051+Q1056+Q1061+Q1066+Q1071+Q1076+Q1081+Q1086+Q1091+Q1096+Q1101+Q1113+Q1118+Q1123</f>
        <v>73395926465</v>
      </c>
      <c r="R1152" s="296">
        <f t="shared" si="478"/>
        <v>60430229168</v>
      </c>
      <c r="S1152" s="296">
        <f t="shared" si="478"/>
        <v>61290826865</v>
      </c>
      <c r="T1152" s="296">
        <f t="shared" si="478"/>
        <v>53720788620</v>
      </c>
      <c r="U1152" s="296">
        <f t="shared" si="478"/>
        <v>72949914630</v>
      </c>
      <c r="V1152" s="296">
        <f t="shared" si="478"/>
        <v>54191805774</v>
      </c>
      <c r="W1152" s="296">
        <f t="shared" si="478"/>
        <v>30980279399</v>
      </c>
      <c r="X1152" s="296">
        <f t="shared" si="478"/>
        <v>30729862733</v>
      </c>
      <c r="Y1152" s="296">
        <f t="shared" si="478"/>
        <v>30265424386</v>
      </c>
      <c r="Z1152" s="296">
        <f t="shared" si="478"/>
        <v>29758757719</v>
      </c>
      <c r="AA1152" s="296">
        <f t="shared" si="478"/>
        <v>29758757719</v>
      </c>
      <c r="AB1152" s="296">
        <f t="shared" si="478"/>
        <v>29564531528</v>
      </c>
      <c r="AC1152" s="297">
        <f t="shared" si="478"/>
        <v>557037105007</v>
      </c>
      <c r="AD1152" s="273"/>
      <c r="AE1152" s="192"/>
      <c r="AF1152" s="194"/>
      <c r="AG1152" s="194"/>
      <c r="AH1152" s="194"/>
      <c r="AI1152" s="194"/>
    </row>
    <row r="1153" hidden="1">
      <c r="A1153" s="391"/>
      <c r="B1153" s="298"/>
      <c r="C1153" s="299"/>
      <c r="D1153" s="300" t="s">
        <v>1218</v>
      </c>
      <c r="E1153" s="488"/>
      <c r="F1153" s="488"/>
      <c r="G1153" s="488"/>
      <c r="H1153" s="301"/>
      <c r="I1153" s="301"/>
      <c r="J1153" s="489"/>
      <c r="K1153" s="489" t="s">
        <v>735</v>
      </c>
      <c r="L1153" s="304"/>
      <c r="M1153" s="305"/>
      <c r="N1153" s="306"/>
      <c r="O1153" s="306"/>
      <c r="P1153" s="306"/>
      <c r="Q1153" s="490">
        <f t="shared" ref="Q1153:AC1153" si="479">Q568+Q574+Q580+Q586+Q592+Q597+Q602+Q634+Q650+Q641+Q655+Q660+Q667+Q674+Q681+Q689+Q694+Q699+Q704+Q709+Q725+Q731+Q714+Q941+Q946+Q736+Q743+Q750+Q755+Q763+Q768+Q773+Q780+Q785+Q791+Q798+Q952+Q804+Q812+Q819+Q824+Q829+Q834+Q839+Q897+Q903+Q719+Q909+Q915+Q921+Q890+Q926+Q931+Q936+Q957+Q962+Q967+Q972+Q977+Q982+Q987+Q992+Q997+Q1002+Q1007+Q1012+Q1017+Q1022+Q1027+Q1032+Q1037+Q1042+Q1047+Q1052+Q1057+Q1062+Q1067+Q1072+Q1077+Q1082+Q1087+Q1092+Q1097+Q1102+Q1114+Q1119+Q1124+Q1129+Q1134+Q1139+Q1144+Q1149</f>
        <v>77081518674</v>
      </c>
      <c r="R1153" s="490">
        <f t="shared" si="479"/>
        <v>71010968151</v>
      </c>
      <c r="S1153" s="490">
        <f t="shared" si="479"/>
        <v>77746538550</v>
      </c>
      <c r="T1153" s="490">
        <f t="shared" si="479"/>
        <v>73144454516</v>
      </c>
      <c r="U1153" s="490">
        <f t="shared" si="479"/>
        <v>72343285781</v>
      </c>
      <c r="V1153" s="490">
        <f t="shared" si="479"/>
        <v>75743697501</v>
      </c>
      <c r="W1153" s="490">
        <f t="shared" si="479"/>
        <v>109612500</v>
      </c>
      <c r="X1153" s="490">
        <f t="shared" si="479"/>
        <v>0</v>
      </c>
      <c r="Y1153" s="490">
        <f t="shared" si="479"/>
        <v>0</v>
      </c>
      <c r="Z1153" s="490">
        <f t="shared" si="479"/>
        <v>0</v>
      </c>
      <c r="AA1153" s="490">
        <f t="shared" si="479"/>
        <v>0</v>
      </c>
      <c r="AB1153" s="490">
        <f t="shared" si="479"/>
        <v>0</v>
      </c>
      <c r="AC1153" s="916">
        <f t="shared" si="479"/>
        <v>447180075673</v>
      </c>
      <c r="AD1153" s="273"/>
      <c r="AE1153" s="241"/>
      <c r="AF1153" s="310">
        <f t="shared" ref="AF1153:AF1154" si="481">AC1153-AC1154</f>
        <v>106214155095</v>
      </c>
      <c r="AG1153" s="311" t="s">
        <v>226</v>
      </c>
      <c r="AH1153" s="194"/>
      <c r="AI1153" s="194"/>
    </row>
    <row r="1154" hidden="1">
      <c r="A1154" s="391"/>
      <c r="B1154" s="298"/>
      <c r="C1154" s="312"/>
      <c r="D1154" s="313" t="s">
        <v>1219</v>
      </c>
      <c r="E1154" s="233"/>
      <c r="F1154" s="233"/>
      <c r="G1154" s="233"/>
      <c r="H1154" s="234"/>
      <c r="I1154" s="234"/>
      <c r="J1154" s="222"/>
      <c r="K1154" s="222" t="s">
        <v>735</v>
      </c>
      <c r="L1154" s="287"/>
      <c r="M1154" s="236"/>
      <c r="N1154" s="285"/>
      <c r="O1154" s="285"/>
      <c r="P1154" s="285"/>
      <c r="Q1154" s="314">
        <f t="shared" ref="Q1154:AC1154" si="480">Q569+Q575+Q581+Q587+Q593+Q598+Q603+Q635+Q651+Q642+Q656+Q661+Q668+Q675+Q682+Q690+Q695+Q700+Q705+Q710+Q726+Q732+Q715+Q942+Q947+Q737+Q744+Q751+Q756+Q764+Q769+Q774+Q781+Q786+Q792+Q799+Q953+Q805+Q813+Q820+Q825+Q830+Q835+Q840+Q898+Q904+Q720+Q910+Q916+Q922+Q891+Q927+Q932+Q937+Q958+Q963+Q968+Q973+Q978+Q983+Q988+Q993+Q998+Q1003+Q1008+Q1013+Q1018+Q1023+Q1028+Q1033+Q1038+Q1043+Q1048+Q1053+Q1058+Q1063+Q1068+Q1073+Q1078+Q1083+Q1088+Q1093+Q1098+Q1103+Q1115+Q1120+Q1125+Q1130+Q1135+Q1140+Q1145+Q1150</f>
        <v>69333795906</v>
      </c>
      <c r="R1154" s="314">
        <f t="shared" si="480"/>
        <v>63280783524</v>
      </c>
      <c r="S1154" s="314">
        <f t="shared" si="480"/>
        <v>69867272749</v>
      </c>
      <c r="T1154" s="314">
        <f t="shared" si="480"/>
        <v>65464013489</v>
      </c>
      <c r="U1154" s="314">
        <f t="shared" si="480"/>
        <v>54767284721</v>
      </c>
      <c r="V1154" s="314">
        <f t="shared" si="480"/>
        <v>18143157689</v>
      </c>
      <c r="W1154" s="314">
        <f t="shared" si="480"/>
        <v>109612500</v>
      </c>
      <c r="X1154" s="314">
        <f t="shared" si="480"/>
        <v>0</v>
      </c>
      <c r="Y1154" s="314">
        <f t="shared" si="480"/>
        <v>0</v>
      </c>
      <c r="Z1154" s="314">
        <f t="shared" si="480"/>
        <v>0</v>
      </c>
      <c r="AA1154" s="314">
        <f t="shared" si="480"/>
        <v>0</v>
      </c>
      <c r="AB1154" s="314">
        <f t="shared" si="480"/>
        <v>0</v>
      </c>
      <c r="AC1154" s="917">
        <f t="shared" si="480"/>
        <v>340965920577</v>
      </c>
      <c r="AD1154" s="214"/>
      <c r="AE1154" s="241"/>
      <c r="AF1154" s="316">
        <f t="shared" si="481"/>
        <v>4368479374</v>
      </c>
      <c r="AG1154" s="311" t="s">
        <v>228</v>
      </c>
      <c r="AH1154" s="194"/>
      <c r="AI1154" s="194"/>
    </row>
    <row r="1155" hidden="1">
      <c r="A1155" s="391"/>
      <c r="B1155" s="298"/>
      <c r="C1155" s="317"/>
      <c r="D1155" s="318" t="s">
        <v>1220</v>
      </c>
      <c r="E1155" s="918"/>
      <c r="F1155" s="918"/>
      <c r="G1155" s="918"/>
      <c r="H1155" s="319"/>
      <c r="I1155" s="319"/>
      <c r="J1155" s="320"/>
      <c r="K1155" s="320" t="s">
        <v>735</v>
      </c>
      <c r="L1155" s="321"/>
      <c r="M1155" s="322"/>
      <c r="N1155" s="323"/>
      <c r="O1155" s="323"/>
      <c r="P1155" s="323"/>
      <c r="Q1155" s="919">
        <f t="shared" ref="Q1155:AC1155" si="482">Q570+Q576+Q582+Q588+Q594+Q599+Q604+Q636+Q652+Q643+Q657+Q662+Q669+Q676+Q683+Q691+Q696+Q701+Q706+Q711+Q727+Q733+Q716+Q943+Q948+Q738+Q745+Q752+Q757+Q765+Q770+Q775+Q782+Q787+Q793+Q800+Q954+Q806+Q814+Q821+Q826+Q831+Q836+Q841+Q899+Q905+Q721+Q911+Q917+Q923+Q892+Q928+Q933+Q938+Q959+Q964+Q969+Q974+Q979+Q984+Q989+Q994+Q999+Q1004+Q1009+Q1014+Q1019+Q1024+Q1029+Q1034+Q1039+Q1044+Q1049+Q1054+Q1059+Q1064+Q1069+Q1074+Q1079+Q1084+Q1089+Q1094+Q1099+Q1104+Q1116+Q1121+Q1126+Q1131+Q1136+Q1141+Q1146+Q1151</f>
        <v>68735918613</v>
      </c>
      <c r="R1155" s="919">
        <f t="shared" si="482"/>
        <v>63037502152</v>
      </c>
      <c r="S1155" s="919">
        <f t="shared" si="482"/>
        <v>69565932782</v>
      </c>
      <c r="T1155" s="919">
        <f t="shared" si="482"/>
        <v>64807609352</v>
      </c>
      <c r="U1155" s="919">
        <f t="shared" si="482"/>
        <v>52307320616</v>
      </c>
      <c r="V1155" s="919">
        <f t="shared" si="482"/>
        <v>18143157689</v>
      </c>
      <c r="W1155" s="919">
        <f t="shared" si="482"/>
        <v>0</v>
      </c>
      <c r="X1155" s="919">
        <f t="shared" si="482"/>
        <v>0</v>
      </c>
      <c r="Y1155" s="919">
        <f t="shared" si="482"/>
        <v>0</v>
      </c>
      <c r="Z1155" s="919">
        <f t="shared" si="482"/>
        <v>0</v>
      </c>
      <c r="AA1155" s="919">
        <f t="shared" si="482"/>
        <v>0</v>
      </c>
      <c r="AB1155" s="919">
        <f t="shared" si="482"/>
        <v>0</v>
      </c>
      <c r="AC1155" s="920">
        <f t="shared" si="482"/>
        <v>336597441203</v>
      </c>
      <c r="AD1155" s="214"/>
      <c r="AE1155" s="241"/>
      <c r="AF1155" s="328">
        <f>AC1155</f>
        <v>336597441203</v>
      </c>
      <c r="AG1155" s="311" t="s">
        <v>148</v>
      </c>
      <c r="AH1155" s="194"/>
      <c r="AI1155" s="194"/>
    </row>
    <row r="1156">
      <c r="A1156" s="391"/>
      <c r="B1156" s="655">
        <v>14.0</v>
      </c>
      <c r="C1156" s="329" t="s">
        <v>43</v>
      </c>
      <c r="D1156" s="724"/>
      <c r="E1156" s="496"/>
      <c r="F1156" s="496"/>
      <c r="G1156" s="496"/>
      <c r="H1156" s="332"/>
      <c r="I1156" s="332"/>
      <c r="J1156" s="333"/>
      <c r="K1156" s="333" t="s">
        <v>1221</v>
      </c>
      <c r="L1156" s="334" t="str">
        <f>L1157+L1163+L1169+L1175+L1181+#REF!</f>
        <v>#REF!</v>
      </c>
      <c r="M1156" s="335"/>
      <c r="N1156" s="336"/>
      <c r="O1156" s="336"/>
      <c r="P1156" s="336"/>
      <c r="Q1156" s="337">
        <f t="shared" ref="Q1156:AC1156" si="483">Q1157+Q1163+Q1169+Q1175+Q1181+Q1186</f>
        <v>512752594.7</v>
      </c>
      <c r="R1156" s="337">
        <f t="shared" si="483"/>
        <v>512752594.7</v>
      </c>
      <c r="S1156" s="337">
        <f t="shared" si="483"/>
        <v>512752594.7</v>
      </c>
      <c r="T1156" s="337">
        <f t="shared" si="483"/>
        <v>512752594.7</v>
      </c>
      <c r="U1156" s="337">
        <f t="shared" si="483"/>
        <v>512752594.7</v>
      </c>
      <c r="V1156" s="337">
        <f t="shared" si="483"/>
        <v>512752594.7</v>
      </c>
      <c r="W1156" s="337">
        <f t="shared" si="483"/>
        <v>512752594.7</v>
      </c>
      <c r="X1156" s="337">
        <f t="shared" si="483"/>
        <v>512752594.7</v>
      </c>
      <c r="Y1156" s="337">
        <f t="shared" si="483"/>
        <v>512752594.7</v>
      </c>
      <c r="Z1156" s="337">
        <f t="shared" si="483"/>
        <v>512752594.7</v>
      </c>
      <c r="AA1156" s="337">
        <f t="shared" si="483"/>
        <v>512752594.7</v>
      </c>
      <c r="AB1156" s="337">
        <f t="shared" si="483"/>
        <v>512752594.7</v>
      </c>
      <c r="AC1156" s="338">
        <f t="shared" si="483"/>
        <v>6153031137</v>
      </c>
      <c r="AD1156" s="178">
        <f>AC1156-AE1156</f>
        <v>0.5675697327</v>
      </c>
      <c r="AE1156" s="241">
        <f>'Proker New'!Y200</f>
        <v>6153031136</v>
      </c>
      <c r="AF1156" s="193" t="str">
        <f>C1156</f>
        <v>Jawa Barat - Bandung (BDO)</v>
      </c>
      <c r="AG1156" s="194"/>
      <c r="AH1156" s="194"/>
      <c r="AI1156" s="194"/>
    </row>
    <row r="1157">
      <c r="A1157" s="391"/>
      <c r="B1157" s="195"/>
      <c r="C1157" s="222">
        <v>1.0</v>
      </c>
      <c r="D1157" s="197" t="s">
        <v>1222</v>
      </c>
      <c r="E1157" s="198" t="s">
        <v>186</v>
      </c>
      <c r="F1157" s="198" t="s">
        <v>103</v>
      </c>
      <c r="G1157" s="198" t="s">
        <v>86</v>
      </c>
      <c r="H1157" s="198" t="s">
        <v>86</v>
      </c>
      <c r="I1157" s="198" t="s">
        <v>187</v>
      </c>
      <c r="J1157" s="198" t="s">
        <v>188</v>
      </c>
      <c r="K1157" s="199" t="s">
        <v>1221</v>
      </c>
      <c r="L1157" s="347">
        <f>461598561</f>
        <v>461598561</v>
      </c>
      <c r="M1157" s="257" t="s">
        <v>1223</v>
      </c>
      <c r="N1157" s="366"/>
      <c r="O1157" s="366">
        <v>45383.0</v>
      </c>
      <c r="P1157" s="366">
        <v>45747.0</v>
      </c>
      <c r="Q1157" s="204">
        <v>5.346654675E7</v>
      </c>
      <c r="R1157" s="204">
        <v>5.346654675E7</v>
      </c>
      <c r="S1157" s="204">
        <v>5.346654675E7</v>
      </c>
      <c r="T1157" s="204">
        <v>5.346654675E7</v>
      </c>
      <c r="U1157" s="204">
        <v>5.346654675E7</v>
      </c>
      <c r="V1157" s="204">
        <v>5.346654675E7</v>
      </c>
      <c r="W1157" s="204">
        <v>5.346654675E7</v>
      </c>
      <c r="X1157" s="204">
        <v>5.346654675E7</v>
      </c>
      <c r="Y1157" s="204">
        <v>5.346654675E7</v>
      </c>
      <c r="Z1157" s="204">
        <v>5.346654675E7</v>
      </c>
      <c r="AA1157" s="204">
        <v>5.346654675E7</v>
      </c>
      <c r="AB1157" s="204">
        <v>5.346654675E7</v>
      </c>
      <c r="AC1157" s="205">
        <f t="shared" ref="AC1157:AC1162" si="484">SUM(Q1157:AB1157)</f>
        <v>641598561</v>
      </c>
      <c r="AD1157" s="178">
        <f>SUM(Q1157:AB1157)-AC1157</f>
        <v>0</v>
      </c>
      <c r="AE1157" s="192"/>
      <c r="AF1157" s="194"/>
      <c r="AG1157" s="194"/>
      <c r="AH1157" s="194"/>
      <c r="AI1157" s="194"/>
    </row>
    <row r="1158" hidden="1">
      <c r="A1158" s="126"/>
      <c r="B1158" s="195"/>
      <c r="C1158" s="206"/>
      <c r="D1158" s="207"/>
      <c r="E1158" s="260"/>
      <c r="F1158" s="207"/>
      <c r="G1158" s="260"/>
      <c r="H1158" s="206"/>
      <c r="I1158" s="206"/>
      <c r="J1158" s="206"/>
      <c r="K1158" s="206" t="s">
        <v>1221</v>
      </c>
      <c r="L1158" s="282"/>
      <c r="M1158" s="209"/>
      <c r="N1158" s="367"/>
      <c r="O1158" s="367"/>
      <c r="P1158" s="367">
        <f>P1157</f>
        <v>45747</v>
      </c>
      <c r="Q1158" s="217">
        <v>3.4654546621621616E7</v>
      </c>
      <c r="R1158" s="217">
        <v>3.4654546621621616E7</v>
      </c>
      <c r="S1158" s="217">
        <v>3.4654546621621616E7</v>
      </c>
      <c r="T1158" s="212"/>
      <c r="U1158" s="212"/>
      <c r="V1158" s="212"/>
      <c r="W1158" s="212"/>
      <c r="X1158" s="212"/>
      <c r="Y1158" s="212"/>
      <c r="Z1158" s="212"/>
      <c r="AA1158" s="212"/>
      <c r="AB1158" s="212"/>
      <c r="AC1158" s="213">
        <f t="shared" si="484"/>
        <v>103963639.9</v>
      </c>
      <c r="AD1158" s="273"/>
      <c r="AE1158" s="192"/>
      <c r="AF1158" s="194"/>
      <c r="AG1158" s="194"/>
      <c r="AH1158" s="194"/>
      <c r="AI1158" s="194"/>
    </row>
    <row r="1159" hidden="1">
      <c r="A1159" s="126"/>
      <c r="B1159" s="195"/>
      <c r="C1159" s="206"/>
      <c r="D1159" s="265" t="s">
        <v>1224</v>
      </c>
      <c r="E1159" s="260"/>
      <c r="F1159" s="207"/>
      <c r="G1159" s="260"/>
      <c r="H1159" s="206"/>
      <c r="I1159" s="206"/>
      <c r="J1159" s="206"/>
      <c r="K1159" s="206" t="s">
        <v>1221</v>
      </c>
      <c r="L1159" s="245">
        <f>504216000</f>
        <v>504216000</v>
      </c>
      <c r="M1159" s="265" t="s">
        <v>1225</v>
      </c>
      <c r="N1159" s="367"/>
      <c r="O1159" s="367">
        <f>P1158+1</f>
        <v>45748</v>
      </c>
      <c r="P1159" s="367" t="s">
        <v>1226</v>
      </c>
      <c r="Q1159" s="269"/>
      <c r="R1159" s="269"/>
      <c r="S1159" s="269"/>
      <c r="T1159" s="217">
        <v>3.4654546621621616E7</v>
      </c>
      <c r="U1159" s="217">
        <v>3.4654546621621616E7</v>
      </c>
      <c r="V1159" s="217">
        <v>3.4654546621621616E7</v>
      </c>
      <c r="W1159" s="217">
        <v>3.4654546621621616E7</v>
      </c>
      <c r="X1159" s="217">
        <v>3.4654546621621616E7</v>
      </c>
      <c r="Y1159" s="217">
        <v>3.4654546621621616E7</v>
      </c>
      <c r="Z1159" s="217">
        <v>3.4654546621621616E7</v>
      </c>
      <c r="AA1159" s="217">
        <v>3.4654546621621616E7</v>
      </c>
      <c r="AB1159" s="217">
        <v>3.4654546621621616E7</v>
      </c>
      <c r="AC1159" s="213">
        <f t="shared" si="484"/>
        <v>311890919.6</v>
      </c>
      <c r="AD1159" s="273"/>
      <c r="AE1159" s="241"/>
      <c r="AF1159" s="194"/>
      <c r="AG1159" s="194"/>
      <c r="AH1159" s="194"/>
      <c r="AI1159" s="194"/>
    </row>
    <row r="1160" hidden="1">
      <c r="A1160" s="391"/>
      <c r="B1160" s="195"/>
      <c r="C1160" s="222"/>
      <c r="D1160" s="250" t="s">
        <v>1227</v>
      </c>
      <c r="E1160" s="233"/>
      <c r="F1160" s="224"/>
      <c r="G1160" s="233"/>
      <c r="H1160" s="222"/>
      <c r="I1160" s="222"/>
      <c r="J1160" s="222"/>
      <c r="K1160" s="222" t="s">
        <v>1221</v>
      </c>
      <c r="L1160" s="346"/>
      <c r="M1160" s="255"/>
      <c r="N1160" s="365"/>
      <c r="O1160" s="365"/>
      <c r="P1160" s="365"/>
      <c r="Q1160" s="229">
        <v>5.3466547E7</v>
      </c>
      <c r="R1160" s="229">
        <f t="shared" ref="R1160:V1160" si="485">Q1160</f>
        <v>53466547</v>
      </c>
      <c r="S1160" s="229">
        <f t="shared" si="485"/>
        <v>53466547</v>
      </c>
      <c r="T1160" s="229">
        <f t="shared" si="485"/>
        <v>53466547</v>
      </c>
      <c r="U1160" s="229">
        <f t="shared" si="485"/>
        <v>53466547</v>
      </c>
      <c r="V1160" s="229">
        <f t="shared" si="485"/>
        <v>53466547</v>
      </c>
      <c r="W1160" s="238"/>
      <c r="X1160" s="238"/>
      <c r="Y1160" s="238"/>
      <c r="Z1160" s="238"/>
      <c r="AA1160" s="238"/>
      <c r="AB1160" s="238"/>
      <c r="AC1160" s="231">
        <f t="shared" si="484"/>
        <v>320799282</v>
      </c>
      <c r="AD1160" s="264"/>
      <c r="AE1160" s="241"/>
      <c r="AF1160" s="194"/>
      <c r="AG1160" s="194"/>
      <c r="AH1160" s="194"/>
      <c r="AI1160" s="194"/>
    </row>
    <row r="1161" hidden="1">
      <c r="A1161" s="391"/>
      <c r="B1161" s="195"/>
      <c r="C1161" s="222"/>
      <c r="D1161" s="286" t="s">
        <v>194</v>
      </c>
      <c r="E1161" s="233"/>
      <c r="F1161" s="233"/>
      <c r="G1161" s="233"/>
      <c r="H1161" s="234"/>
      <c r="I1161" s="234"/>
      <c r="J1161" s="222"/>
      <c r="K1161" s="222" t="s">
        <v>1221</v>
      </c>
      <c r="L1161" s="346"/>
      <c r="M1161" s="255"/>
      <c r="N1161" s="365"/>
      <c r="O1161" s="365"/>
      <c r="P1161" s="365"/>
      <c r="Q1161" s="238"/>
      <c r="R1161" s="238"/>
      <c r="S1161" s="238"/>
      <c r="T1161" s="238"/>
      <c r="U1161" s="238"/>
      <c r="V1161" s="238"/>
      <c r="W1161" s="238"/>
      <c r="X1161" s="238"/>
      <c r="Y1161" s="238"/>
      <c r="Z1161" s="238"/>
      <c r="AA1161" s="238"/>
      <c r="AB1161" s="238"/>
      <c r="AC1161" s="378">
        <f t="shared" si="484"/>
        <v>0</v>
      </c>
      <c r="AD1161" s="214"/>
      <c r="AE1161" s="192"/>
      <c r="AF1161" s="194"/>
      <c r="AG1161" s="194"/>
      <c r="AH1161" s="194"/>
      <c r="AI1161" s="194"/>
    </row>
    <row r="1162" hidden="1">
      <c r="A1162" s="391"/>
      <c r="B1162" s="195"/>
      <c r="C1162" s="222"/>
      <c r="D1162" s="286" t="s">
        <v>1228</v>
      </c>
      <c r="E1162" s="233"/>
      <c r="F1162" s="233"/>
      <c r="G1162" s="233"/>
      <c r="H1162" s="234"/>
      <c r="I1162" s="234"/>
      <c r="J1162" s="222"/>
      <c r="K1162" s="222" t="s">
        <v>1221</v>
      </c>
      <c r="L1162" s="346"/>
      <c r="M1162" s="255"/>
      <c r="N1162" s="365"/>
      <c r="O1162" s="365"/>
      <c r="P1162" s="365"/>
      <c r="Q1162" s="238"/>
      <c r="R1162" s="238"/>
      <c r="S1162" s="238"/>
      <c r="T1162" s="238"/>
      <c r="U1162" s="238"/>
      <c r="V1162" s="238"/>
      <c r="W1162" s="238"/>
      <c r="X1162" s="238"/>
      <c r="Y1162" s="238"/>
      <c r="Z1162" s="238"/>
      <c r="AA1162" s="238"/>
      <c r="AB1162" s="238"/>
      <c r="AC1162" s="378">
        <f t="shared" si="484"/>
        <v>0</v>
      </c>
      <c r="AD1162" s="214"/>
      <c r="AE1162" s="192"/>
      <c r="AF1162" s="194"/>
      <c r="AG1162" s="194"/>
      <c r="AH1162" s="194"/>
      <c r="AI1162" s="194"/>
    </row>
    <row r="1163">
      <c r="A1163" s="391"/>
      <c r="B1163" s="195"/>
      <c r="C1163" s="222">
        <v>2.0</v>
      </c>
      <c r="D1163" s="197" t="s">
        <v>1229</v>
      </c>
      <c r="E1163" s="198" t="s">
        <v>186</v>
      </c>
      <c r="F1163" s="198" t="s">
        <v>103</v>
      </c>
      <c r="G1163" s="198" t="s">
        <v>86</v>
      </c>
      <c r="H1163" s="198" t="s">
        <v>86</v>
      </c>
      <c r="I1163" s="198" t="s">
        <v>187</v>
      </c>
      <c r="J1163" s="198" t="s">
        <v>188</v>
      </c>
      <c r="K1163" s="199" t="s">
        <v>1221</v>
      </c>
      <c r="L1163" s="347">
        <v>3.137E8</v>
      </c>
      <c r="M1163" s="257" t="s">
        <v>1230</v>
      </c>
      <c r="N1163" s="366"/>
      <c r="O1163" s="366">
        <v>45017.0</v>
      </c>
      <c r="P1163" s="366">
        <v>45747.0</v>
      </c>
      <c r="Q1163" s="204">
        <v>2.35510510510511E7</v>
      </c>
      <c r="R1163" s="204">
        <v>2.35510510510511E7</v>
      </c>
      <c r="S1163" s="204">
        <v>2.35510510510511E7</v>
      </c>
      <c r="T1163" s="204">
        <v>2.35510510510511E7</v>
      </c>
      <c r="U1163" s="204">
        <v>2.35510510510511E7</v>
      </c>
      <c r="V1163" s="204">
        <v>2.35510510510511E7</v>
      </c>
      <c r="W1163" s="204">
        <v>2.35510510510511E7</v>
      </c>
      <c r="X1163" s="204">
        <v>2.35510510510511E7</v>
      </c>
      <c r="Y1163" s="204">
        <v>2.35510510510511E7</v>
      </c>
      <c r="Z1163" s="204">
        <v>2.35510510510511E7</v>
      </c>
      <c r="AA1163" s="204">
        <v>2.35510510510511E7</v>
      </c>
      <c r="AB1163" s="204">
        <v>2.35510510510511E7</v>
      </c>
      <c r="AC1163" s="205">
        <v>2.8261261261261326E8</v>
      </c>
      <c r="AD1163" s="178">
        <f>SUM(Q1163:AB1163)-AC1163</f>
        <v>0</v>
      </c>
      <c r="AE1163" s="192"/>
      <c r="AF1163" s="194"/>
      <c r="AG1163" s="194"/>
      <c r="AH1163" s="194"/>
      <c r="AI1163" s="194"/>
    </row>
    <row r="1164" hidden="1">
      <c r="A1164" s="126"/>
      <c r="B1164" s="195"/>
      <c r="C1164" s="206"/>
      <c r="D1164" s="207"/>
      <c r="E1164" s="260"/>
      <c r="F1164" s="207"/>
      <c r="G1164" s="260"/>
      <c r="H1164" s="206"/>
      <c r="I1164" s="206"/>
      <c r="J1164" s="206"/>
      <c r="K1164" s="206" t="s">
        <v>1221</v>
      </c>
      <c r="L1164" s="245"/>
      <c r="M1164" s="209"/>
      <c r="N1164" s="367"/>
      <c r="O1164" s="367"/>
      <c r="P1164" s="367">
        <f>P1163</f>
        <v>45747</v>
      </c>
      <c r="Q1164" s="249">
        <v>2.61416666666667E7</v>
      </c>
      <c r="R1164" s="249">
        <v>2.61416666666667E7</v>
      </c>
      <c r="S1164" s="249">
        <v>2.61416666666667E7</v>
      </c>
      <c r="T1164" s="212"/>
      <c r="U1164" s="212"/>
      <c r="V1164" s="212"/>
      <c r="W1164" s="212"/>
      <c r="X1164" s="212"/>
      <c r="Y1164" s="212"/>
      <c r="Z1164" s="212"/>
      <c r="AA1164" s="212"/>
      <c r="AB1164" s="212"/>
      <c r="AC1164" s="213">
        <f t="shared" ref="AC1164:AC1168" si="487">SUM(Q1164:AB1164)</f>
        <v>78425000</v>
      </c>
      <c r="AD1164" s="273"/>
      <c r="AE1164" s="241"/>
      <c r="AF1164" s="194"/>
      <c r="AG1164" s="194"/>
      <c r="AH1164" s="194"/>
      <c r="AI1164" s="194"/>
    </row>
    <row r="1165" hidden="1">
      <c r="A1165" s="126"/>
      <c r="B1165" s="195"/>
      <c r="C1165" s="206"/>
      <c r="D1165" s="207"/>
      <c r="E1165" s="260"/>
      <c r="F1165" s="207"/>
      <c r="G1165" s="260"/>
      <c r="H1165" s="206"/>
      <c r="I1165" s="206"/>
      <c r="J1165" s="206"/>
      <c r="K1165" s="206" t="s">
        <v>1221</v>
      </c>
      <c r="L1165" s="245">
        <f>399914000*1.11</f>
        <v>443904540</v>
      </c>
      <c r="M1165" s="218" t="s">
        <v>1231</v>
      </c>
      <c r="N1165" s="367"/>
      <c r="O1165" s="367">
        <v>45748.0</v>
      </c>
      <c r="P1165" s="367">
        <v>45930.0</v>
      </c>
      <c r="Q1165" s="249"/>
      <c r="R1165" s="249"/>
      <c r="S1165" s="212"/>
      <c r="T1165" s="249">
        <f>L1165/18</f>
        <v>24661363.33</v>
      </c>
      <c r="U1165" s="249">
        <f t="shared" ref="U1165:Y1165" si="486">T1165</f>
        <v>24661363.33</v>
      </c>
      <c r="V1165" s="249">
        <f t="shared" si="486"/>
        <v>24661363.33</v>
      </c>
      <c r="W1165" s="249">
        <f t="shared" si="486"/>
        <v>24661363.33</v>
      </c>
      <c r="X1165" s="249">
        <f t="shared" si="486"/>
        <v>24661363.33</v>
      </c>
      <c r="Y1165" s="249">
        <f t="shared" si="486"/>
        <v>24661363.33</v>
      </c>
      <c r="Z1165" s="212"/>
      <c r="AA1165" s="212"/>
      <c r="AB1165" s="212"/>
      <c r="AC1165" s="213">
        <f t="shared" si="487"/>
        <v>147968180</v>
      </c>
      <c r="AD1165" s="284"/>
      <c r="AE1165" s="241"/>
      <c r="AF1165" s="194"/>
      <c r="AG1165" s="194"/>
      <c r="AH1165" s="194"/>
      <c r="AI1165" s="194"/>
    </row>
    <row r="1166" hidden="1">
      <c r="A1166" s="391"/>
      <c r="B1166" s="195"/>
      <c r="C1166" s="222"/>
      <c r="D1166" s="250" t="s">
        <v>1232</v>
      </c>
      <c r="E1166" s="233"/>
      <c r="F1166" s="224"/>
      <c r="G1166" s="233"/>
      <c r="H1166" s="222"/>
      <c r="I1166" s="222"/>
      <c r="J1166" s="222"/>
      <c r="K1166" s="222" t="s">
        <v>1221</v>
      </c>
      <c r="L1166" s="225"/>
      <c r="M1166" s="255"/>
      <c r="N1166" s="285"/>
      <c r="O1166" s="285"/>
      <c r="P1166" s="285"/>
      <c r="Q1166" s="228">
        <f t="shared" ref="Q1166:Q1168" si="490">14685300*1.11</f>
        <v>16300683</v>
      </c>
      <c r="R1166" s="228">
        <f t="shared" ref="R1166:S1166" si="488">Q1166</f>
        <v>16300683</v>
      </c>
      <c r="S1166" s="230">
        <f t="shared" si="488"/>
        <v>16300683</v>
      </c>
      <c r="T1166" s="228">
        <f t="shared" ref="T1166:T1168" si="492">13330467*1.11</f>
        <v>14796818.37</v>
      </c>
      <c r="U1166" s="228">
        <f t="shared" ref="U1166:V1166" si="489">T1166</f>
        <v>14796818.37</v>
      </c>
      <c r="V1166" s="229">
        <f t="shared" si="489"/>
        <v>14796818.37</v>
      </c>
      <c r="W1166" s="230"/>
      <c r="X1166" s="230"/>
      <c r="Y1166" s="230"/>
      <c r="Z1166" s="230"/>
      <c r="AA1166" s="230"/>
      <c r="AB1166" s="230"/>
      <c r="AC1166" s="231">
        <f t="shared" si="487"/>
        <v>93292504.11</v>
      </c>
      <c r="AD1166" s="284"/>
      <c r="AE1166" s="241"/>
      <c r="AF1166" s="194"/>
      <c r="AG1166" s="194"/>
      <c r="AH1166" s="194"/>
      <c r="AI1166" s="194"/>
    </row>
    <row r="1167" hidden="1">
      <c r="A1167" s="391"/>
      <c r="B1167" s="195"/>
      <c r="C1167" s="222"/>
      <c r="D1167" s="286" t="s">
        <v>194</v>
      </c>
      <c r="E1167" s="233"/>
      <c r="F1167" s="233"/>
      <c r="G1167" s="233"/>
      <c r="H1167" s="234"/>
      <c r="I1167" s="234"/>
      <c r="J1167" s="222"/>
      <c r="K1167" s="222" t="s">
        <v>1221</v>
      </c>
      <c r="L1167" s="346"/>
      <c r="M1167" s="255"/>
      <c r="N1167" s="365"/>
      <c r="O1167" s="365"/>
      <c r="P1167" s="365"/>
      <c r="Q1167" s="228">
        <f t="shared" si="490"/>
        <v>16300683</v>
      </c>
      <c r="R1167" s="228">
        <f t="shared" ref="R1167:S1167" si="491">Q1167</f>
        <v>16300683</v>
      </c>
      <c r="S1167" s="230">
        <f t="shared" si="491"/>
        <v>16300683</v>
      </c>
      <c r="T1167" s="228">
        <f t="shared" si="492"/>
        <v>14796818.37</v>
      </c>
      <c r="U1167" s="228">
        <f t="shared" ref="U1167:U1168" si="494">T1167</f>
        <v>14796818.37</v>
      </c>
      <c r="V1167" s="238"/>
      <c r="W1167" s="238"/>
      <c r="X1167" s="238"/>
      <c r="Y1167" s="238"/>
      <c r="Z1167" s="238"/>
      <c r="AA1167" s="238"/>
      <c r="AB1167" s="238"/>
      <c r="AC1167" s="378">
        <f t="shared" si="487"/>
        <v>78495685.74</v>
      </c>
      <c r="AD1167" s="214"/>
      <c r="AE1167" s="241"/>
      <c r="AF1167" s="194"/>
      <c r="AG1167" s="194"/>
      <c r="AH1167" s="194"/>
      <c r="AI1167" s="194"/>
    </row>
    <row r="1168" hidden="1">
      <c r="A1168" s="391"/>
      <c r="B1168" s="195"/>
      <c r="C1168" s="222"/>
      <c r="D1168" s="286" t="s">
        <v>1233</v>
      </c>
      <c r="E1168" s="233"/>
      <c r="F1168" s="233"/>
      <c r="G1168" s="233"/>
      <c r="H1168" s="234"/>
      <c r="I1168" s="234"/>
      <c r="J1168" s="222"/>
      <c r="K1168" s="222" t="s">
        <v>1221</v>
      </c>
      <c r="L1168" s="346"/>
      <c r="M1168" s="255"/>
      <c r="N1168" s="365"/>
      <c r="O1168" s="365"/>
      <c r="P1168" s="365"/>
      <c r="Q1168" s="228">
        <f t="shared" si="490"/>
        <v>16300683</v>
      </c>
      <c r="R1168" s="228">
        <f t="shared" ref="R1168:S1168" si="493">Q1168</f>
        <v>16300683</v>
      </c>
      <c r="S1168" s="230">
        <f t="shared" si="493"/>
        <v>16300683</v>
      </c>
      <c r="T1168" s="228">
        <f t="shared" si="492"/>
        <v>14796818.37</v>
      </c>
      <c r="U1168" s="228">
        <f t="shared" si="494"/>
        <v>14796818.37</v>
      </c>
      <c r="V1168" s="238"/>
      <c r="W1168" s="238"/>
      <c r="X1168" s="238"/>
      <c r="Y1168" s="238"/>
      <c r="Z1168" s="238"/>
      <c r="AA1168" s="238"/>
      <c r="AB1168" s="238"/>
      <c r="AC1168" s="378">
        <f t="shared" si="487"/>
        <v>78495685.74</v>
      </c>
      <c r="AD1168" s="214"/>
      <c r="AE1168" s="241"/>
      <c r="AF1168" s="194"/>
      <c r="AG1168" s="194"/>
      <c r="AH1168" s="194"/>
      <c r="AI1168" s="194"/>
    </row>
    <row r="1169">
      <c r="A1169" s="391"/>
      <c r="B1169" s="195"/>
      <c r="C1169" s="222">
        <v>3.0</v>
      </c>
      <c r="D1169" s="197" t="s">
        <v>1234</v>
      </c>
      <c r="E1169" s="198" t="s">
        <v>186</v>
      </c>
      <c r="F1169" s="198" t="s">
        <v>103</v>
      </c>
      <c r="G1169" s="198" t="s">
        <v>86</v>
      </c>
      <c r="H1169" s="198" t="s">
        <v>86</v>
      </c>
      <c r="I1169" s="198" t="s">
        <v>187</v>
      </c>
      <c r="J1169" s="198" t="s">
        <v>188</v>
      </c>
      <c r="K1169" s="199" t="s">
        <v>1221</v>
      </c>
      <c r="L1169" s="347">
        <v>3.2023311939E8</v>
      </c>
      <c r="M1169" s="257" t="s">
        <v>1235</v>
      </c>
      <c r="N1169" s="366"/>
      <c r="O1169" s="366">
        <v>45383.0</v>
      </c>
      <c r="P1169" s="366">
        <v>45747.0</v>
      </c>
      <c r="Q1169" s="204">
        <v>2.40415314564565E7</v>
      </c>
      <c r="R1169" s="204">
        <v>2.40415314564565E7</v>
      </c>
      <c r="S1169" s="204">
        <v>2.40415314564565E7</v>
      </c>
      <c r="T1169" s="204">
        <v>2.40415314564565E7</v>
      </c>
      <c r="U1169" s="204">
        <v>2.40415314564565E7</v>
      </c>
      <c r="V1169" s="204">
        <v>2.40415314564565E7</v>
      </c>
      <c r="W1169" s="204">
        <v>2.40415314564565E7</v>
      </c>
      <c r="X1169" s="204">
        <v>2.40415314564565E7</v>
      </c>
      <c r="Y1169" s="204">
        <v>2.40415314564565E7</v>
      </c>
      <c r="Z1169" s="204">
        <v>2.40415314564565E7</v>
      </c>
      <c r="AA1169" s="204">
        <v>2.40415314564565E7</v>
      </c>
      <c r="AB1169" s="204">
        <v>2.40415314564565E7</v>
      </c>
      <c r="AC1169" s="205">
        <v>2.884983774774781E8</v>
      </c>
      <c r="AD1169" s="178">
        <f>SUM(Q1169:AB1169)-AC1169</f>
        <v>0</v>
      </c>
      <c r="AE1169" s="241"/>
      <c r="AF1169" s="194"/>
      <c r="AG1169" s="194"/>
      <c r="AH1169" s="194"/>
      <c r="AI1169" s="194"/>
    </row>
    <row r="1170" hidden="1">
      <c r="A1170" s="126"/>
      <c r="B1170" s="195"/>
      <c r="C1170" s="206"/>
      <c r="D1170" s="207"/>
      <c r="E1170" s="260"/>
      <c r="F1170" s="207"/>
      <c r="G1170" s="260"/>
      <c r="H1170" s="206"/>
      <c r="I1170" s="206"/>
      <c r="J1170" s="206"/>
      <c r="K1170" s="206" t="s">
        <v>1221</v>
      </c>
      <c r="L1170" s="245"/>
      <c r="M1170" s="263"/>
      <c r="N1170" s="367"/>
      <c r="O1170" s="367"/>
      <c r="P1170" s="367">
        <f>P1169</f>
        <v>45747</v>
      </c>
      <c r="Q1170" s="249">
        <v>2.66860932825E7</v>
      </c>
      <c r="R1170" s="249">
        <v>2.66860932825E7</v>
      </c>
      <c r="S1170" s="249">
        <v>2.66860932825E7</v>
      </c>
      <c r="T1170" s="212"/>
      <c r="U1170" s="212"/>
      <c r="V1170" s="212"/>
      <c r="W1170" s="212"/>
      <c r="X1170" s="212"/>
      <c r="Y1170" s="212"/>
      <c r="Z1170" s="212"/>
      <c r="AA1170" s="212"/>
      <c r="AB1170" s="212"/>
      <c r="AC1170" s="213">
        <f t="shared" ref="AC1170:AC1174" si="495">SUM(Q1170:AB1170)</f>
        <v>80058279.85</v>
      </c>
      <c r="AD1170" s="264"/>
      <c r="AE1170" s="241"/>
      <c r="AF1170" s="194"/>
      <c r="AG1170" s="194"/>
      <c r="AH1170" s="194"/>
      <c r="AI1170" s="194"/>
    </row>
    <row r="1171" hidden="1">
      <c r="A1171" s="126"/>
      <c r="B1171" s="195"/>
      <c r="C1171" s="206"/>
      <c r="D1171" s="207"/>
      <c r="E1171" s="260"/>
      <c r="F1171" s="207"/>
      <c r="G1171" s="260"/>
      <c r="H1171" s="206"/>
      <c r="I1171" s="206"/>
      <c r="J1171" s="206"/>
      <c r="K1171" s="206" t="s">
        <v>1221</v>
      </c>
      <c r="L1171" s="245">
        <f>446342041*1.11</f>
        <v>495439665.5</v>
      </c>
      <c r="M1171" s="218" t="s">
        <v>1236</v>
      </c>
      <c r="N1171" s="367"/>
      <c r="O1171" s="367"/>
      <c r="P1171" s="367">
        <v>45930.0</v>
      </c>
      <c r="Q1171" s="249"/>
      <c r="R1171" s="249"/>
      <c r="S1171" s="212"/>
      <c r="T1171" s="249">
        <v>2.66860932825E7</v>
      </c>
      <c r="U1171" s="249">
        <v>2.66860932825E7</v>
      </c>
      <c r="V1171" s="249">
        <v>2.66860932825E7</v>
      </c>
      <c r="W1171" s="249">
        <v>2.66860932825E7</v>
      </c>
      <c r="X1171" s="249">
        <v>2.66860932825E7</v>
      </c>
      <c r="Y1171" s="249">
        <v>2.66860932825E7</v>
      </c>
      <c r="Z1171" s="212"/>
      <c r="AA1171" s="212"/>
      <c r="AB1171" s="212"/>
      <c r="AC1171" s="213">
        <f t="shared" si="495"/>
        <v>160116559.7</v>
      </c>
      <c r="AD1171" s="273"/>
      <c r="AE1171" s="192"/>
      <c r="AF1171" s="194"/>
      <c r="AG1171" s="194"/>
      <c r="AH1171" s="194"/>
      <c r="AI1171" s="194"/>
    </row>
    <row r="1172" hidden="1">
      <c r="A1172" s="391"/>
      <c r="B1172" s="195"/>
      <c r="C1172" s="222"/>
      <c r="D1172" s="250" t="s">
        <v>1237</v>
      </c>
      <c r="E1172" s="233"/>
      <c r="F1172" s="224"/>
      <c r="G1172" s="233"/>
      <c r="H1172" s="222"/>
      <c r="I1172" s="222"/>
      <c r="J1172" s="222"/>
      <c r="K1172" s="222" t="s">
        <v>1221</v>
      </c>
      <c r="L1172" s="225"/>
      <c r="M1172" s="236"/>
      <c r="N1172" s="285"/>
      <c r="O1172" s="285"/>
      <c r="P1172" s="285"/>
      <c r="Q1172" s="228">
        <f t="shared" ref="Q1172:Q1174" si="497">26686093*1.11</f>
        <v>29621563.23</v>
      </c>
      <c r="R1172" s="228">
        <f t="shared" ref="R1172:S1172" si="496">Q1172</f>
        <v>29621563.23</v>
      </c>
      <c r="S1172" s="230">
        <f t="shared" si="496"/>
        <v>29621563.23</v>
      </c>
      <c r="T1172" s="270">
        <v>2.476978E7</v>
      </c>
      <c r="U1172" s="270">
        <v>2.479678E7</v>
      </c>
      <c r="V1172" s="238">
        <f>U1172</f>
        <v>24796780</v>
      </c>
      <c r="W1172" s="230"/>
      <c r="X1172" s="230"/>
      <c r="Y1172" s="230"/>
      <c r="Z1172" s="230"/>
      <c r="AA1172" s="230"/>
      <c r="AB1172" s="230"/>
      <c r="AC1172" s="231">
        <f t="shared" si="495"/>
        <v>163228029.7</v>
      </c>
      <c r="AD1172" s="273"/>
      <c r="AE1172" s="192"/>
      <c r="AF1172" s="194"/>
      <c r="AG1172" s="194"/>
      <c r="AH1172" s="194"/>
      <c r="AI1172" s="194"/>
    </row>
    <row r="1173" hidden="1">
      <c r="A1173" s="391"/>
      <c r="B1173" s="195"/>
      <c r="C1173" s="222"/>
      <c r="D1173" s="286" t="s">
        <v>194</v>
      </c>
      <c r="E1173" s="233"/>
      <c r="F1173" s="233"/>
      <c r="G1173" s="233"/>
      <c r="H1173" s="234"/>
      <c r="I1173" s="234"/>
      <c r="J1173" s="222"/>
      <c r="K1173" s="222" t="s">
        <v>1221</v>
      </c>
      <c r="L1173" s="346"/>
      <c r="M1173" s="255"/>
      <c r="N1173" s="365"/>
      <c r="O1173" s="365"/>
      <c r="P1173" s="365"/>
      <c r="Q1173" s="228">
        <f t="shared" si="497"/>
        <v>29621563.23</v>
      </c>
      <c r="R1173" s="228">
        <f t="shared" ref="R1173:S1173" si="498">Q1173</f>
        <v>29621563.23</v>
      </c>
      <c r="S1173" s="230">
        <f t="shared" si="498"/>
        <v>29621563.23</v>
      </c>
      <c r="T1173" s="270">
        <v>2.476978E7</v>
      </c>
      <c r="U1173" s="270">
        <v>2.479678E7</v>
      </c>
      <c r="V1173" s="238"/>
      <c r="W1173" s="238"/>
      <c r="X1173" s="238"/>
      <c r="Y1173" s="238"/>
      <c r="Z1173" s="238"/>
      <c r="AA1173" s="238"/>
      <c r="AB1173" s="238"/>
      <c r="AC1173" s="378">
        <f t="shared" si="495"/>
        <v>138431249.7</v>
      </c>
      <c r="AD1173" s="214"/>
      <c r="AE1173" s="192"/>
      <c r="AF1173" s="194"/>
      <c r="AG1173" s="194"/>
      <c r="AH1173" s="194"/>
      <c r="AI1173" s="194"/>
    </row>
    <row r="1174" hidden="1">
      <c r="A1174" s="391"/>
      <c r="B1174" s="195"/>
      <c r="C1174" s="222"/>
      <c r="D1174" s="286" t="s">
        <v>1238</v>
      </c>
      <c r="E1174" s="233"/>
      <c r="F1174" s="233"/>
      <c r="G1174" s="233"/>
      <c r="H1174" s="234"/>
      <c r="I1174" s="234"/>
      <c r="J1174" s="222"/>
      <c r="K1174" s="222" t="s">
        <v>1221</v>
      </c>
      <c r="L1174" s="346"/>
      <c r="M1174" s="255"/>
      <c r="N1174" s="365"/>
      <c r="O1174" s="365"/>
      <c r="P1174" s="365"/>
      <c r="Q1174" s="228">
        <f t="shared" si="497"/>
        <v>29621563.23</v>
      </c>
      <c r="R1174" s="228">
        <f t="shared" ref="R1174:S1174" si="499">Q1174</f>
        <v>29621563.23</v>
      </c>
      <c r="S1174" s="230">
        <f t="shared" si="499"/>
        <v>29621563.23</v>
      </c>
      <c r="T1174" s="270">
        <v>2.476978E7</v>
      </c>
      <c r="U1174" s="270">
        <v>2.479678E7</v>
      </c>
      <c r="V1174" s="238"/>
      <c r="W1174" s="238"/>
      <c r="X1174" s="238"/>
      <c r="Y1174" s="238"/>
      <c r="Z1174" s="238"/>
      <c r="AA1174" s="238"/>
      <c r="AB1174" s="238"/>
      <c r="AC1174" s="378">
        <f t="shared" si="495"/>
        <v>138431249.7</v>
      </c>
      <c r="AD1174" s="214"/>
      <c r="AE1174" s="192"/>
      <c r="AF1174" s="194"/>
      <c r="AG1174" s="194"/>
      <c r="AH1174" s="194"/>
      <c r="AI1174" s="194"/>
    </row>
    <row r="1175">
      <c r="A1175" s="391"/>
      <c r="B1175" s="195"/>
      <c r="C1175" s="222">
        <v>4.0</v>
      </c>
      <c r="D1175" s="197" t="s">
        <v>1239</v>
      </c>
      <c r="E1175" s="198" t="s">
        <v>186</v>
      </c>
      <c r="F1175" s="198" t="s">
        <v>103</v>
      </c>
      <c r="G1175" s="198" t="s">
        <v>86</v>
      </c>
      <c r="H1175" s="198" t="s">
        <v>86</v>
      </c>
      <c r="I1175" s="198" t="s">
        <v>187</v>
      </c>
      <c r="J1175" s="198" t="s">
        <v>188</v>
      </c>
      <c r="K1175" s="199" t="s">
        <v>1221</v>
      </c>
      <c r="L1175" s="347">
        <f>288498305*1.11</f>
        <v>320233118.6</v>
      </c>
      <c r="M1175" s="257" t="s">
        <v>1240</v>
      </c>
      <c r="N1175" s="366"/>
      <c r="O1175" s="366">
        <v>45383.0</v>
      </c>
      <c r="P1175" s="366">
        <v>45747.0</v>
      </c>
      <c r="Q1175" s="204">
        <v>2.40415314564565E7</v>
      </c>
      <c r="R1175" s="204">
        <v>2.40415314564565E7</v>
      </c>
      <c r="S1175" s="204">
        <v>2.40415314564565E7</v>
      </c>
      <c r="T1175" s="204">
        <v>2.40415314564565E7</v>
      </c>
      <c r="U1175" s="204">
        <v>2.40415314564565E7</v>
      </c>
      <c r="V1175" s="204">
        <v>2.40415314564565E7</v>
      </c>
      <c r="W1175" s="204">
        <v>2.40415314564565E7</v>
      </c>
      <c r="X1175" s="204">
        <v>2.40415314564565E7</v>
      </c>
      <c r="Y1175" s="204">
        <v>2.40415314564565E7</v>
      </c>
      <c r="Z1175" s="204">
        <v>2.40415314564565E7</v>
      </c>
      <c r="AA1175" s="204">
        <v>2.40415314564565E7</v>
      </c>
      <c r="AB1175" s="204">
        <v>2.40415314564565E7</v>
      </c>
      <c r="AC1175" s="205">
        <v>2.884983774774781E8</v>
      </c>
      <c r="AD1175" s="178">
        <f>SUM(Q1175:AB1175)-AC1175</f>
        <v>0</v>
      </c>
      <c r="AE1175" s="192"/>
      <c r="AF1175" s="194"/>
      <c r="AG1175" s="194"/>
      <c r="AH1175" s="194"/>
      <c r="AI1175" s="194"/>
    </row>
    <row r="1176" hidden="1">
      <c r="A1176" s="126"/>
      <c r="B1176" s="195"/>
      <c r="C1176" s="206"/>
      <c r="D1176" s="207"/>
      <c r="E1176" s="260"/>
      <c r="F1176" s="207"/>
      <c r="G1176" s="260"/>
      <c r="H1176" s="206"/>
      <c r="I1176" s="206"/>
      <c r="J1176" s="206"/>
      <c r="K1176" s="206" t="s">
        <v>1221</v>
      </c>
      <c r="L1176" s="245"/>
      <c r="M1176" s="209"/>
      <c r="N1176" s="367"/>
      <c r="O1176" s="367"/>
      <c r="P1176" s="367">
        <f>P1175</f>
        <v>45747</v>
      </c>
      <c r="Q1176" s="249">
        <v>2.66860932825E7</v>
      </c>
      <c r="R1176" s="249">
        <v>2.66860932825E7</v>
      </c>
      <c r="S1176" s="249">
        <v>2.66860932825E7</v>
      </c>
      <c r="T1176" s="212"/>
      <c r="U1176" s="212"/>
      <c r="V1176" s="212"/>
      <c r="W1176" s="212"/>
      <c r="X1176" s="212"/>
      <c r="Y1176" s="212"/>
      <c r="Z1176" s="212"/>
      <c r="AA1176" s="212"/>
      <c r="AB1176" s="212"/>
      <c r="AC1176" s="213">
        <f t="shared" ref="AC1176:AC1180" si="500">SUM(Q1176:AB1176)</f>
        <v>80058279.85</v>
      </c>
      <c r="AD1176" s="273"/>
      <c r="AE1176" s="192"/>
      <c r="AF1176" s="194"/>
      <c r="AG1176" s="194"/>
      <c r="AH1176" s="194"/>
      <c r="AI1176" s="194"/>
    </row>
    <row r="1177" hidden="1">
      <c r="A1177" s="126"/>
      <c r="B1177" s="195"/>
      <c r="C1177" s="206"/>
      <c r="D1177" s="207"/>
      <c r="E1177" s="260"/>
      <c r="F1177" s="207"/>
      <c r="G1177" s="260"/>
      <c r="H1177" s="206"/>
      <c r="I1177" s="206"/>
      <c r="J1177" s="206"/>
      <c r="K1177" s="206" t="s">
        <v>1221</v>
      </c>
      <c r="L1177" s="245">
        <f>446342041*1.11</f>
        <v>495439665.5</v>
      </c>
      <c r="M1177" s="218" t="s">
        <v>1241</v>
      </c>
      <c r="N1177" s="367"/>
      <c r="O1177" s="367"/>
      <c r="P1177" s="367">
        <v>45930.0</v>
      </c>
      <c r="Q1177" s="249"/>
      <c r="R1177" s="249"/>
      <c r="S1177" s="212"/>
      <c r="T1177" s="249">
        <v>2.66860932825E7</v>
      </c>
      <c r="U1177" s="249">
        <v>2.66860932825E7</v>
      </c>
      <c r="V1177" s="249">
        <v>2.66860932825E7</v>
      </c>
      <c r="W1177" s="249">
        <v>2.66860932825E7</v>
      </c>
      <c r="X1177" s="249">
        <v>2.66860932825E7</v>
      </c>
      <c r="Y1177" s="249">
        <v>2.66860932825E7</v>
      </c>
      <c r="Z1177" s="212"/>
      <c r="AA1177" s="212"/>
      <c r="AB1177" s="212"/>
      <c r="AC1177" s="213">
        <f t="shared" si="500"/>
        <v>160116559.7</v>
      </c>
      <c r="AD1177" s="273"/>
      <c r="AE1177" s="241"/>
      <c r="AF1177" s="194"/>
      <c r="AG1177" s="194"/>
      <c r="AH1177" s="194"/>
      <c r="AI1177" s="194"/>
    </row>
    <row r="1178" hidden="1">
      <c r="A1178" s="391"/>
      <c r="B1178" s="195"/>
      <c r="C1178" s="222"/>
      <c r="D1178" s="250" t="s">
        <v>1242</v>
      </c>
      <c r="E1178" s="233"/>
      <c r="F1178" s="224"/>
      <c r="G1178" s="233"/>
      <c r="H1178" s="222"/>
      <c r="I1178" s="222"/>
      <c r="J1178" s="222"/>
      <c r="K1178" s="222" t="s">
        <v>1221</v>
      </c>
      <c r="L1178" s="225"/>
      <c r="M1178" s="236"/>
      <c r="N1178" s="285"/>
      <c r="O1178" s="285"/>
      <c r="P1178" s="285"/>
      <c r="Q1178" s="228">
        <f t="shared" ref="Q1178:Q1180" si="503">26686093*1.11</f>
        <v>29621563.23</v>
      </c>
      <c r="R1178" s="228">
        <f t="shared" ref="R1178:S1178" si="501">Q1178</f>
        <v>29621563.23</v>
      </c>
      <c r="S1178" s="230">
        <f t="shared" si="501"/>
        <v>29621563.23</v>
      </c>
      <c r="T1178" s="228">
        <f t="shared" ref="T1178:T1180" si="505">24796780*1.11</f>
        <v>27524425.8</v>
      </c>
      <c r="U1178" s="270">
        <f t="shared" ref="U1178:V1178" si="502">T1178</f>
        <v>27524425.8</v>
      </c>
      <c r="V1178" s="238">
        <f t="shared" si="502"/>
        <v>27524425.8</v>
      </c>
      <c r="W1178" s="230"/>
      <c r="X1178" s="230"/>
      <c r="Y1178" s="230"/>
      <c r="Z1178" s="230"/>
      <c r="AA1178" s="230"/>
      <c r="AB1178" s="230"/>
      <c r="AC1178" s="231">
        <f t="shared" si="500"/>
        <v>171437967.1</v>
      </c>
      <c r="AD1178" s="264"/>
      <c r="AE1178" s="241"/>
      <c r="AF1178" s="194"/>
      <c r="AG1178" s="194"/>
      <c r="AH1178" s="194"/>
      <c r="AI1178" s="194"/>
    </row>
    <row r="1179" hidden="1">
      <c r="A1179" s="391"/>
      <c r="B1179" s="195"/>
      <c r="C1179" s="196"/>
      <c r="D1179" s="286" t="s">
        <v>194</v>
      </c>
      <c r="E1179" s="233"/>
      <c r="F1179" s="233"/>
      <c r="G1179" s="233"/>
      <c r="H1179" s="234"/>
      <c r="I1179" s="234"/>
      <c r="J1179" s="222"/>
      <c r="K1179" s="222" t="s">
        <v>1221</v>
      </c>
      <c r="L1179" s="346"/>
      <c r="M1179" s="255"/>
      <c r="N1179" s="365"/>
      <c r="O1179" s="365"/>
      <c r="P1179" s="365"/>
      <c r="Q1179" s="228">
        <f t="shared" si="503"/>
        <v>29621563.23</v>
      </c>
      <c r="R1179" s="228">
        <f t="shared" ref="R1179:S1179" si="504">Q1179</f>
        <v>29621563.23</v>
      </c>
      <c r="S1179" s="230">
        <f t="shared" si="504"/>
        <v>29621563.23</v>
      </c>
      <c r="T1179" s="228">
        <f t="shared" si="505"/>
        <v>27524425.8</v>
      </c>
      <c r="U1179" s="229">
        <f>T1179</f>
        <v>27524425.8</v>
      </c>
      <c r="V1179" s="238"/>
      <c r="W1179" s="238"/>
      <c r="X1179" s="238"/>
      <c r="Y1179" s="238"/>
      <c r="Z1179" s="238"/>
      <c r="AA1179" s="238"/>
      <c r="AB1179" s="238"/>
      <c r="AC1179" s="378">
        <f t="shared" si="500"/>
        <v>143913541.3</v>
      </c>
      <c r="AD1179" s="214"/>
      <c r="AE1179" s="192"/>
      <c r="AF1179" s="194"/>
      <c r="AG1179" s="194"/>
      <c r="AH1179" s="194"/>
      <c r="AI1179" s="194"/>
    </row>
    <row r="1180" hidden="1">
      <c r="A1180" s="391"/>
      <c r="B1180" s="195"/>
      <c r="C1180" s="196"/>
      <c r="D1180" s="286" t="s">
        <v>1243</v>
      </c>
      <c r="E1180" s="233"/>
      <c r="F1180" s="233"/>
      <c r="G1180" s="233"/>
      <c r="H1180" s="234"/>
      <c r="I1180" s="234"/>
      <c r="J1180" s="222"/>
      <c r="K1180" s="222" t="s">
        <v>1221</v>
      </c>
      <c r="L1180" s="346"/>
      <c r="M1180" s="255"/>
      <c r="N1180" s="365"/>
      <c r="O1180" s="365"/>
      <c r="P1180" s="365"/>
      <c r="Q1180" s="228">
        <f t="shared" si="503"/>
        <v>29621563.23</v>
      </c>
      <c r="R1180" s="228">
        <f t="shared" ref="R1180:S1180" si="506">Q1180</f>
        <v>29621563.23</v>
      </c>
      <c r="S1180" s="230">
        <f t="shared" si="506"/>
        <v>29621563.23</v>
      </c>
      <c r="T1180" s="228">
        <f t="shared" si="505"/>
        <v>27524425.8</v>
      </c>
      <c r="U1180" s="238"/>
      <c r="V1180" s="238"/>
      <c r="W1180" s="238"/>
      <c r="X1180" s="238"/>
      <c r="Y1180" s="238"/>
      <c r="Z1180" s="238"/>
      <c r="AA1180" s="238"/>
      <c r="AB1180" s="238"/>
      <c r="AC1180" s="378">
        <f t="shared" si="500"/>
        <v>116389115.5</v>
      </c>
      <c r="AD1180" s="214"/>
      <c r="AE1180" s="192"/>
      <c r="AF1180" s="194"/>
      <c r="AG1180" s="194"/>
      <c r="AH1180" s="194"/>
      <c r="AI1180" s="194"/>
    </row>
    <row r="1181">
      <c r="A1181" s="391"/>
      <c r="B1181" s="195"/>
      <c r="C1181" s="196">
        <v>5.0</v>
      </c>
      <c r="D1181" s="354" t="s">
        <v>1244</v>
      </c>
      <c r="E1181" s="198" t="s">
        <v>186</v>
      </c>
      <c r="F1181" s="198" t="s">
        <v>88</v>
      </c>
      <c r="G1181" s="198" t="s">
        <v>88</v>
      </c>
      <c r="H1181" s="198" t="s">
        <v>218</v>
      </c>
      <c r="I1181" s="198" t="s">
        <v>253</v>
      </c>
      <c r="J1181" s="198" t="s">
        <v>254</v>
      </c>
      <c r="K1181" s="199" t="s">
        <v>783</v>
      </c>
      <c r="L1181" s="540">
        <f>613000000*1.11</f>
        <v>680430000</v>
      </c>
      <c r="M1181" s="257" t="s">
        <v>1245</v>
      </c>
      <c r="N1181" s="541"/>
      <c r="O1181" s="541">
        <v>45231.0</v>
      </c>
      <c r="P1181" s="541">
        <v>45597.0</v>
      </c>
      <c r="Q1181" s="204">
        <v>5.4314436E7</v>
      </c>
      <c r="R1181" s="204">
        <v>5.4314436E7</v>
      </c>
      <c r="S1181" s="204">
        <v>5.4314436E7</v>
      </c>
      <c r="T1181" s="204">
        <v>5.4314436E7</v>
      </c>
      <c r="U1181" s="204">
        <v>5.4314436E7</v>
      </c>
      <c r="V1181" s="204">
        <v>5.4314436E7</v>
      </c>
      <c r="W1181" s="204">
        <v>5.4314436E7</v>
      </c>
      <c r="X1181" s="204">
        <v>5.4314436E7</v>
      </c>
      <c r="Y1181" s="204">
        <v>5.4314436E7</v>
      </c>
      <c r="Z1181" s="204">
        <v>5.4314436E7</v>
      </c>
      <c r="AA1181" s="204">
        <v>5.4314436E7</v>
      </c>
      <c r="AB1181" s="204">
        <v>5.4314436E7</v>
      </c>
      <c r="AC1181" s="205">
        <v>6.51773232E8</v>
      </c>
      <c r="AD1181" s="178">
        <f>SUM(Q1181:AB1181)-AC1181</f>
        <v>0</v>
      </c>
      <c r="AE1181" s="192"/>
      <c r="AF1181" s="194"/>
      <c r="AG1181" s="194"/>
      <c r="AH1181" s="194"/>
      <c r="AI1181" s="194"/>
    </row>
    <row r="1182" hidden="1">
      <c r="A1182" s="126"/>
      <c r="B1182" s="195"/>
      <c r="C1182" s="206"/>
      <c r="D1182" s="220" t="s">
        <v>1246</v>
      </c>
      <c r="E1182" s="260"/>
      <c r="F1182" s="207"/>
      <c r="G1182" s="260"/>
      <c r="H1182" s="206"/>
      <c r="I1182" s="206"/>
      <c r="J1182" s="206"/>
      <c r="K1182" s="206" t="s">
        <v>783</v>
      </c>
      <c r="L1182" s="245">
        <f>717045061*1.11</f>
        <v>795920017.7</v>
      </c>
      <c r="M1182" s="246" t="s">
        <v>1247</v>
      </c>
      <c r="N1182" s="367"/>
      <c r="O1182" s="367">
        <v>45598.0</v>
      </c>
      <c r="P1182" s="367">
        <v>45962.0</v>
      </c>
      <c r="Q1182" s="249">
        <v>5.97537550833333E7</v>
      </c>
      <c r="R1182" s="249">
        <v>5.97537550833333E7</v>
      </c>
      <c r="S1182" s="249">
        <v>5.97537550833333E7</v>
      </c>
      <c r="T1182" s="249">
        <v>5.97537550833333E7</v>
      </c>
      <c r="U1182" s="249">
        <v>5.97537550833333E7</v>
      </c>
      <c r="V1182" s="249">
        <v>5.97537550833333E7</v>
      </c>
      <c r="W1182" s="249">
        <v>5.97537550833333E7</v>
      </c>
      <c r="X1182" s="249">
        <v>5.97537550833333E7</v>
      </c>
      <c r="Y1182" s="249">
        <v>5.97537550833333E7</v>
      </c>
      <c r="Z1182" s="249">
        <v>5.97537550833333E7</v>
      </c>
      <c r="AA1182" s="212"/>
      <c r="AB1182" s="212"/>
      <c r="AC1182" s="213">
        <f t="shared" ref="AC1182:AC1185" si="508">SUM(Q1182:AB1182)</f>
        <v>597537550.8</v>
      </c>
      <c r="AD1182" s="273"/>
      <c r="AE1182" s="192"/>
      <c r="AF1182" s="194"/>
      <c r="AG1182" s="194"/>
      <c r="AH1182" s="194"/>
      <c r="AI1182" s="194"/>
    </row>
    <row r="1183" hidden="1">
      <c r="A1183" s="391"/>
      <c r="B1183" s="195"/>
      <c r="C1183" s="222"/>
      <c r="D1183" s="250" t="s">
        <v>1248</v>
      </c>
      <c r="E1183" s="233"/>
      <c r="F1183" s="224"/>
      <c r="G1183" s="233"/>
      <c r="H1183" s="222"/>
      <c r="I1183" s="222"/>
      <c r="J1183" s="196"/>
      <c r="K1183" s="196" t="s">
        <v>783</v>
      </c>
      <c r="L1183" s="225"/>
      <c r="M1183" s="236"/>
      <c r="N1183" s="285"/>
      <c r="O1183" s="285"/>
      <c r="P1183" s="285"/>
      <c r="Q1183" s="270">
        <v>5.9753755E7</v>
      </c>
      <c r="R1183" s="270">
        <f t="shared" ref="R1183:V1183" si="507">Q1183</f>
        <v>59753755</v>
      </c>
      <c r="S1183" s="270">
        <f t="shared" si="507"/>
        <v>59753755</v>
      </c>
      <c r="T1183" s="270">
        <f t="shared" si="507"/>
        <v>59753755</v>
      </c>
      <c r="U1183" s="229">
        <f t="shared" si="507"/>
        <v>59753755</v>
      </c>
      <c r="V1183" s="229">
        <f t="shared" si="507"/>
        <v>59753755</v>
      </c>
      <c r="W1183" s="230"/>
      <c r="X1183" s="230"/>
      <c r="Y1183" s="230"/>
      <c r="Z1183" s="230"/>
      <c r="AA1183" s="230"/>
      <c r="AB1183" s="230"/>
      <c r="AC1183" s="231">
        <f t="shared" si="508"/>
        <v>358522530</v>
      </c>
      <c r="AD1183" s="273"/>
      <c r="AE1183" s="192"/>
      <c r="AF1183" s="194"/>
      <c r="AG1183" s="194"/>
      <c r="AH1183" s="194"/>
      <c r="AI1183" s="194"/>
    </row>
    <row r="1184" hidden="1">
      <c r="A1184" s="391"/>
      <c r="B1184" s="181"/>
      <c r="C1184" s="222"/>
      <c r="D1184" s="286" t="s">
        <v>194</v>
      </c>
      <c r="E1184" s="233"/>
      <c r="F1184" s="233"/>
      <c r="G1184" s="233"/>
      <c r="H1184" s="234"/>
      <c r="I1184" s="234"/>
      <c r="J1184" s="196"/>
      <c r="K1184" s="196" t="s">
        <v>783</v>
      </c>
      <c r="L1184" s="921"/>
      <c r="M1184" s="236"/>
      <c r="N1184" s="285"/>
      <c r="O1184" s="285"/>
      <c r="P1184" s="285"/>
      <c r="Q1184" s="229">
        <v>5.9753755E7</v>
      </c>
      <c r="R1184" s="229">
        <f t="shared" ref="R1184:T1184" si="509">Q1184</f>
        <v>59753755</v>
      </c>
      <c r="S1184" s="229">
        <f t="shared" si="509"/>
        <v>59753755</v>
      </c>
      <c r="T1184" s="229">
        <f t="shared" si="509"/>
        <v>59753755</v>
      </c>
      <c r="U1184" s="288"/>
      <c r="V1184" s="288"/>
      <c r="W1184" s="288"/>
      <c r="X1184" s="288"/>
      <c r="Y1184" s="288"/>
      <c r="Z1184" s="288"/>
      <c r="AA1184" s="288"/>
      <c r="AB1184" s="288"/>
      <c r="AC1184" s="378">
        <f t="shared" si="508"/>
        <v>239015020</v>
      </c>
      <c r="AD1184" s="273"/>
      <c r="AE1184" s="192"/>
      <c r="AF1184" s="194"/>
      <c r="AG1184" s="194"/>
      <c r="AH1184" s="194"/>
      <c r="AI1184" s="194"/>
    </row>
    <row r="1185" hidden="1">
      <c r="A1185" s="391"/>
      <c r="B1185" s="181"/>
      <c r="C1185" s="222"/>
      <c r="D1185" s="286" t="s">
        <v>1249</v>
      </c>
      <c r="E1185" s="233"/>
      <c r="F1185" s="233"/>
      <c r="G1185" s="233"/>
      <c r="H1185" s="234"/>
      <c r="I1185" s="234"/>
      <c r="J1185" s="196"/>
      <c r="K1185" s="196" t="s">
        <v>783</v>
      </c>
      <c r="L1185" s="921"/>
      <c r="M1185" s="236"/>
      <c r="N1185" s="285"/>
      <c r="O1185" s="285"/>
      <c r="P1185" s="285"/>
      <c r="Q1185" s="288"/>
      <c r="R1185" s="288"/>
      <c r="S1185" s="288"/>
      <c r="T1185" s="288"/>
      <c r="U1185" s="288"/>
      <c r="V1185" s="288"/>
      <c r="W1185" s="288"/>
      <c r="X1185" s="288"/>
      <c r="Y1185" s="288"/>
      <c r="Z1185" s="288"/>
      <c r="AA1185" s="288"/>
      <c r="AB1185" s="288"/>
      <c r="AC1185" s="378">
        <f t="shared" si="508"/>
        <v>0</v>
      </c>
      <c r="AD1185" s="273"/>
      <c r="AE1185" s="192"/>
      <c r="AF1185" s="194"/>
      <c r="AG1185" s="194"/>
      <c r="AH1185" s="194"/>
      <c r="AI1185" s="194"/>
    </row>
    <row r="1186">
      <c r="A1186" s="391"/>
      <c r="B1186" s="195"/>
      <c r="C1186" s="196">
        <v>6.0</v>
      </c>
      <c r="D1186" s="730" t="s">
        <v>1250</v>
      </c>
      <c r="E1186" s="198" t="s">
        <v>994</v>
      </c>
      <c r="F1186" s="198" t="s">
        <v>135</v>
      </c>
      <c r="G1186" s="198" t="s">
        <v>135</v>
      </c>
      <c r="H1186" s="198" t="s">
        <v>203</v>
      </c>
      <c r="I1186" s="198" t="s">
        <v>253</v>
      </c>
      <c r="J1186" s="198" t="s">
        <v>254</v>
      </c>
      <c r="K1186" s="685" t="s">
        <v>1221</v>
      </c>
      <c r="L1186" s="540"/>
      <c r="M1186" s="257"/>
      <c r="N1186" s="541"/>
      <c r="O1186" s="541"/>
      <c r="P1186" s="541"/>
      <c r="Q1186" s="793">
        <v>3.33337498E8</v>
      </c>
      <c r="R1186" s="793">
        <v>3.33337498E8</v>
      </c>
      <c r="S1186" s="793">
        <v>3.33337498E8</v>
      </c>
      <c r="T1186" s="793">
        <v>3.33337498E8</v>
      </c>
      <c r="U1186" s="793">
        <v>3.33337498E8</v>
      </c>
      <c r="V1186" s="793">
        <v>3.33337498E8</v>
      </c>
      <c r="W1186" s="793">
        <v>3.33337498E8</v>
      </c>
      <c r="X1186" s="793">
        <v>3.33337498E8</v>
      </c>
      <c r="Y1186" s="793">
        <v>3.33337498E8</v>
      </c>
      <c r="Z1186" s="793">
        <v>3.33337498E8</v>
      </c>
      <c r="AA1186" s="793">
        <v>3.33337498E8</v>
      </c>
      <c r="AB1186" s="793">
        <v>3.33337498E8</v>
      </c>
      <c r="AC1186" s="887">
        <v>4.000049976E9</v>
      </c>
      <c r="AD1186" s="178">
        <f>SUM(Q1186:AB1186)-AC1186</f>
        <v>0</v>
      </c>
      <c r="AE1186" s="192"/>
      <c r="AF1186" s="194"/>
      <c r="AG1186" s="194"/>
      <c r="AH1186" s="194"/>
      <c r="AI1186" s="194"/>
    </row>
    <row r="1187" hidden="1">
      <c r="A1187" s="126"/>
      <c r="B1187" s="195"/>
      <c r="C1187" s="206"/>
      <c r="D1187" s="220"/>
      <c r="E1187" s="260"/>
      <c r="F1187" s="207"/>
      <c r="G1187" s="260"/>
      <c r="H1187" s="206"/>
      <c r="I1187" s="206"/>
      <c r="J1187" s="242"/>
      <c r="K1187" s="242" t="s">
        <v>1221</v>
      </c>
      <c r="L1187" s="245"/>
      <c r="M1187" s="246"/>
      <c r="N1187" s="367"/>
      <c r="O1187" s="367"/>
      <c r="P1187" s="367"/>
      <c r="Q1187" s="249"/>
      <c r="R1187" s="249"/>
      <c r="S1187" s="249"/>
      <c r="T1187" s="249"/>
      <c r="U1187" s="249"/>
      <c r="V1187" s="249"/>
      <c r="W1187" s="249"/>
      <c r="X1187" s="249"/>
      <c r="Y1187" s="249"/>
      <c r="Z1187" s="249"/>
      <c r="AA1187" s="212"/>
      <c r="AB1187" s="212"/>
      <c r="AC1187" s="213">
        <f t="shared" ref="AC1187:AC1195" si="510">SUM(Q1187:AB1187)</f>
        <v>0</v>
      </c>
      <c r="AD1187" s="273"/>
      <c r="AE1187" s="192"/>
      <c r="AF1187" s="194"/>
      <c r="AG1187" s="194"/>
      <c r="AH1187" s="194"/>
      <c r="AI1187" s="194"/>
    </row>
    <row r="1188" hidden="1">
      <c r="A1188" s="391"/>
      <c r="B1188" s="195"/>
      <c r="C1188" s="222"/>
      <c r="D1188" s="250" t="s">
        <v>1251</v>
      </c>
      <c r="E1188" s="233"/>
      <c r="F1188" s="224"/>
      <c r="G1188" s="233"/>
      <c r="H1188" s="222"/>
      <c r="I1188" s="222"/>
      <c r="J1188" s="222"/>
      <c r="K1188" s="222" t="s">
        <v>1221</v>
      </c>
      <c r="L1188" s="225"/>
      <c r="M1188" s="236"/>
      <c r="N1188" s="285"/>
      <c r="O1188" s="285"/>
      <c r="P1188" s="285"/>
      <c r="Q1188" s="270"/>
      <c r="R1188" s="270"/>
      <c r="S1188" s="270"/>
      <c r="T1188" s="270"/>
      <c r="U1188" s="229"/>
      <c r="V1188" s="229"/>
      <c r="W1188" s="230"/>
      <c r="X1188" s="230"/>
      <c r="Y1188" s="230"/>
      <c r="Z1188" s="230"/>
      <c r="AA1188" s="230"/>
      <c r="AB1188" s="230"/>
      <c r="AC1188" s="231">
        <f t="shared" si="510"/>
        <v>0</v>
      </c>
      <c r="AD1188" s="273"/>
      <c r="AE1188" s="192"/>
      <c r="AF1188" s="194"/>
      <c r="AG1188" s="194"/>
      <c r="AH1188" s="194"/>
      <c r="AI1188" s="194"/>
    </row>
    <row r="1189" hidden="1">
      <c r="A1189" s="391"/>
      <c r="B1189" s="181"/>
      <c r="C1189" s="222"/>
      <c r="D1189" s="286" t="s">
        <v>194</v>
      </c>
      <c r="E1189" s="233"/>
      <c r="F1189" s="233"/>
      <c r="G1189" s="233"/>
      <c r="H1189" s="234"/>
      <c r="I1189" s="234"/>
      <c r="J1189" s="222"/>
      <c r="K1189" s="222" t="s">
        <v>1221</v>
      </c>
      <c r="L1189" s="921"/>
      <c r="M1189" s="236"/>
      <c r="N1189" s="285"/>
      <c r="O1189" s="285"/>
      <c r="P1189" s="285"/>
      <c r="Q1189" s="229"/>
      <c r="R1189" s="229"/>
      <c r="S1189" s="229"/>
      <c r="T1189" s="229"/>
      <c r="U1189" s="288"/>
      <c r="V1189" s="288"/>
      <c r="W1189" s="288"/>
      <c r="X1189" s="288"/>
      <c r="Y1189" s="288"/>
      <c r="Z1189" s="288"/>
      <c r="AA1189" s="288"/>
      <c r="AB1189" s="288"/>
      <c r="AC1189" s="378">
        <f t="shared" si="510"/>
        <v>0</v>
      </c>
      <c r="AD1189" s="273"/>
      <c r="AE1189" s="192"/>
      <c r="AF1189" s="194"/>
      <c r="AG1189" s="194"/>
      <c r="AH1189" s="194"/>
      <c r="AI1189" s="194"/>
    </row>
    <row r="1190" hidden="1">
      <c r="A1190" s="391"/>
      <c r="B1190" s="181"/>
      <c r="C1190" s="222"/>
      <c r="D1190" s="286" t="s">
        <v>1252</v>
      </c>
      <c r="E1190" s="233"/>
      <c r="F1190" s="233"/>
      <c r="G1190" s="233"/>
      <c r="H1190" s="234"/>
      <c r="I1190" s="234"/>
      <c r="J1190" s="222"/>
      <c r="K1190" s="222" t="s">
        <v>1221</v>
      </c>
      <c r="L1190" s="921"/>
      <c r="M1190" s="236"/>
      <c r="N1190" s="285"/>
      <c r="O1190" s="285"/>
      <c r="P1190" s="285"/>
      <c r="Q1190" s="288"/>
      <c r="R1190" s="288"/>
      <c r="S1190" s="288"/>
      <c r="T1190" s="288"/>
      <c r="U1190" s="288"/>
      <c r="V1190" s="288"/>
      <c r="W1190" s="288"/>
      <c r="X1190" s="288"/>
      <c r="Y1190" s="288"/>
      <c r="Z1190" s="288"/>
      <c r="AA1190" s="288"/>
      <c r="AB1190" s="288"/>
      <c r="AC1190" s="378">
        <f t="shared" si="510"/>
        <v>0</v>
      </c>
      <c r="AD1190" s="273"/>
      <c r="AE1190" s="192"/>
      <c r="AF1190" s="194"/>
      <c r="AG1190" s="194"/>
      <c r="AH1190" s="194"/>
      <c r="AI1190" s="194"/>
    </row>
    <row r="1191" hidden="1">
      <c r="A1191" s="126"/>
      <c r="B1191" s="181"/>
      <c r="C1191" s="289"/>
      <c r="D1191" s="290" t="s">
        <v>1253</v>
      </c>
      <c r="E1191" s="487"/>
      <c r="F1191" s="487"/>
      <c r="G1191" s="487"/>
      <c r="H1191" s="291"/>
      <c r="I1191" s="291"/>
      <c r="J1191" s="292"/>
      <c r="K1191" s="292" t="s">
        <v>1221</v>
      </c>
      <c r="L1191" s="922"/>
      <c r="M1191" s="294"/>
      <c r="N1191" s="295"/>
      <c r="O1191" s="295"/>
      <c r="P1191" s="295"/>
      <c r="Q1191" s="296">
        <f t="shared" ref="Q1191:AB1191" si="511">Q1158+Q1159+Q1164+Q1165+Q1170+Q1171+Q1176+Q1177+Q1182</f>
        <v>173922154.9</v>
      </c>
      <c r="R1191" s="296">
        <f t="shared" si="511"/>
        <v>173922154.9</v>
      </c>
      <c r="S1191" s="296">
        <f t="shared" si="511"/>
        <v>173922154.9</v>
      </c>
      <c r="T1191" s="296">
        <f t="shared" si="511"/>
        <v>172441851.6</v>
      </c>
      <c r="U1191" s="296">
        <f t="shared" si="511"/>
        <v>172441851.6</v>
      </c>
      <c r="V1191" s="296">
        <f t="shared" si="511"/>
        <v>172441851.6</v>
      </c>
      <c r="W1191" s="296">
        <f t="shared" si="511"/>
        <v>172441851.6</v>
      </c>
      <c r="X1191" s="296">
        <f t="shared" si="511"/>
        <v>172441851.6</v>
      </c>
      <c r="Y1191" s="296">
        <f t="shared" si="511"/>
        <v>172441851.6</v>
      </c>
      <c r="Z1191" s="296">
        <f t="shared" si="511"/>
        <v>94408301.7</v>
      </c>
      <c r="AA1191" s="296">
        <f t="shared" si="511"/>
        <v>34654546.62</v>
      </c>
      <c r="AB1191" s="296">
        <f t="shared" si="511"/>
        <v>34654546.62</v>
      </c>
      <c r="AC1191" s="547">
        <f t="shared" si="510"/>
        <v>1720134969</v>
      </c>
      <c r="AD1191" s="273"/>
      <c r="AE1191" s="241"/>
      <c r="AF1191" s="194"/>
      <c r="AG1191" s="194"/>
      <c r="AH1191" s="194"/>
      <c r="AI1191" s="194"/>
    </row>
    <row r="1192" hidden="1">
      <c r="A1192" s="391"/>
      <c r="B1192" s="298"/>
      <c r="C1192" s="299"/>
      <c r="D1192" s="300" t="s">
        <v>1254</v>
      </c>
      <c r="E1192" s="488"/>
      <c r="F1192" s="488"/>
      <c r="G1192" s="488"/>
      <c r="H1192" s="301"/>
      <c r="I1192" s="301"/>
      <c r="J1192" s="489"/>
      <c r="K1192" s="489" t="s">
        <v>1221</v>
      </c>
      <c r="L1192" s="304"/>
      <c r="M1192" s="305"/>
      <c r="N1192" s="306"/>
      <c r="O1192" s="306"/>
      <c r="P1192" s="306"/>
      <c r="Q1192" s="490">
        <f t="shared" ref="Q1192:AB1192" si="512">Q1160+Q1166+Q1172+Q1178+Q1183</f>
        <v>188764111.5</v>
      </c>
      <c r="R1192" s="490">
        <f t="shared" si="512"/>
        <v>188764111.5</v>
      </c>
      <c r="S1192" s="490">
        <f t="shared" si="512"/>
        <v>188764111.5</v>
      </c>
      <c r="T1192" s="490">
        <f t="shared" si="512"/>
        <v>180311326.2</v>
      </c>
      <c r="U1192" s="490">
        <f t="shared" si="512"/>
        <v>180338326.2</v>
      </c>
      <c r="V1192" s="490">
        <f t="shared" si="512"/>
        <v>180338326.2</v>
      </c>
      <c r="W1192" s="307">
        <f t="shared" si="512"/>
        <v>0</v>
      </c>
      <c r="X1192" s="307">
        <f t="shared" si="512"/>
        <v>0</v>
      </c>
      <c r="Y1192" s="307">
        <f t="shared" si="512"/>
        <v>0</v>
      </c>
      <c r="Z1192" s="307">
        <f t="shared" si="512"/>
        <v>0</v>
      </c>
      <c r="AA1192" s="307">
        <f t="shared" si="512"/>
        <v>0</v>
      </c>
      <c r="AB1192" s="307">
        <f t="shared" si="512"/>
        <v>0</v>
      </c>
      <c r="AC1192" s="309">
        <f t="shared" si="510"/>
        <v>1107280313</v>
      </c>
      <c r="AD1192" s="548"/>
      <c r="AE1192" s="241"/>
      <c r="AF1192" s="310">
        <f t="shared" ref="AF1192:AF1193" si="514">AC1192-AC1193</f>
        <v>507424816.2</v>
      </c>
      <c r="AG1192" s="311" t="s">
        <v>226</v>
      </c>
      <c r="AH1192" s="194"/>
      <c r="AI1192" s="194"/>
    </row>
    <row r="1193" hidden="1">
      <c r="A1193" s="391"/>
      <c r="B1193" s="923"/>
      <c r="C1193" s="312"/>
      <c r="D1193" s="313" t="s">
        <v>1255</v>
      </c>
      <c r="E1193" s="331"/>
      <c r="F1193" s="331"/>
      <c r="G1193" s="331"/>
      <c r="H1193" s="199"/>
      <c r="I1193" s="199"/>
      <c r="J1193" s="222"/>
      <c r="K1193" s="222" t="s">
        <v>1221</v>
      </c>
      <c r="L1193" s="287"/>
      <c r="M1193" s="236"/>
      <c r="N1193" s="285"/>
      <c r="O1193" s="285"/>
      <c r="P1193" s="285"/>
      <c r="Q1193" s="314">
        <f t="shared" ref="Q1193:V1193" si="513">Q1161+Q1167+Q1173+Q1179+Q1184</f>
        <v>135297564.5</v>
      </c>
      <c r="R1193" s="314">
        <f t="shared" si="513"/>
        <v>135297564.5</v>
      </c>
      <c r="S1193" s="314">
        <f t="shared" si="513"/>
        <v>135297564.5</v>
      </c>
      <c r="T1193" s="314">
        <f t="shared" si="513"/>
        <v>126844779.2</v>
      </c>
      <c r="U1193" s="314">
        <f t="shared" si="513"/>
        <v>67118024.17</v>
      </c>
      <c r="V1193" s="314">
        <f t="shared" si="513"/>
        <v>0</v>
      </c>
      <c r="W1193" s="288"/>
      <c r="X1193" s="288"/>
      <c r="Y1193" s="288"/>
      <c r="Z1193" s="288"/>
      <c r="AA1193" s="288"/>
      <c r="AB1193" s="288"/>
      <c r="AC1193" s="378">
        <f t="shared" si="510"/>
        <v>599855496.7</v>
      </c>
      <c r="AD1193" s="214"/>
      <c r="AE1193" s="192"/>
      <c r="AF1193" s="316">
        <f t="shared" si="514"/>
        <v>266539445.8</v>
      </c>
      <c r="AG1193" s="311" t="s">
        <v>228</v>
      </c>
      <c r="AH1193" s="194"/>
      <c r="AI1193" s="194"/>
    </row>
    <row r="1194" hidden="1">
      <c r="A1194" s="391"/>
      <c r="B1194" s="923"/>
      <c r="C1194" s="317"/>
      <c r="D1194" s="318" t="s">
        <v>1256</v>
      </c>
      <c r="E1194" s="493"/>
      <c r="F1194" s="493"/>
      <c r="G1194" s="493"/>
      <c r="H1194" s="494"/>
      <c r="I1194" s="494"/>
      <c r="J1194" s="320"/>
      <c r="K1194" s="320" t="s">
        <v>1221</v>
      </c>
      <c r="L1194" s="321"/>
      <c r="M1194" s="322"/>
      <c r="N1194" s="323"/>
      <c r="O1194" s="323"/>
      <c r="P1194" s="323"/>
      <c r="Q1194" s="325">
        <f t="shared" ref="Q1194:V1194" si="515">Q1162+Q1168+Q1174+Q1180+Q1185</f>
        <v>75543809.46</v>
      </c>
      <c r="R1194" s="325">
        <f t="shared" si="515"/>
        <v>75543809.46</v>
      </c>
      <c r="S1194" s="325">
        <f t="shared" si="515"/>
        <v>75543809.46</v>
      </c>
      <c r="T1194" s="325">
        <f t="shared" si="515"/>
        <v>67091024.17</v>
      </c>
      <c r="U1194" s="325">
        <f t="shared" si="515"/>
        <v>39593598.37</v>
      </c>
      <c r="V1194" s="325">
        <f t="shared" si="515"/>
        <v>0</v>
      </c>
      <c r="W1194" s="324"/>
      <c r="X1194" s="324"/>
      <c r="Y1194" s="324"/>
      <c r="Z1194" s="324"/>
      <c r="AA1194" s="324"/>
      <c r="AB1194" s="324"/>
      <c r="AC1194" s="539">
        <f t="shared" si="510"/>
        <v>333316050.9</v>
      </c>
      <c r="AD1194" s="214"/>
      <c r="AE1194" s="192"/>
      <c r="AF1194" s="328">
        <f>AC1194</f>
        <v>333316050.9</v>
      </c>
      <c r="AG1194" s="311" t="s">
        <v>148</v>
      </c>
      <c r="AH1194" s="194"/>
      <c r="AI1194" s="194"/>
    </row>
    <row r="1195">
      <c r="A1195" s="391"/>
      <c r="B1195" s="924">
        <v>15.0</v>
      </c>
      <c r="C1195" s="329" t="s">
        <v>44</v>
      </c>
      <c r="D1195" s="724"/>
      <c r="E1195" s="496"/>
      <c r="F1195" s="496"/>
      <c r="G1195" s="496"/>
      <c r="H1195" s="332"/>
      <c r="I1195" s="332"/>
      <c r="J1195" s="333"/>
      <c r="K1195" s="333" t="s">
        <v>1257</v>
      </c>
      <c r="L1195" s="334">
        <f>L1196+L1205+L1214+L1219+L1224</f>
        <v>146504954</v>
      </c>
      <c r="M1195" s="335"/>
      <c r="N1195" s="336"/>
      <c r="O1195" s="336"/>
      <c r="P1195" s="336"/>
      <c r="Q1195" s="337">
        <f t="shared" ref="Q1195:AB1195" si="516">Q1196+Q1205+Q1214+Q1219+Q1224</f>
        <v>113291463</v>
      </c>
      <c r="R1195" s="337">
        <f t="shared" si="516"/>
        <v>113291463</v>
      </c>
      <c r="S1195" s="337">
        <f t="shared" si="516"/>
        <v>113291463</v>
      </c>
      <c r="T1195" s="337">
        <f t="shared" si="516"/>
        <v>113291463</v>
      </c>
      <c r="U1195" s="337">
        <f t="shared" si="516"/>
        <v>232533463</v>
      </c>
      <c r="V1195" s="337">
        <f t="shared" si="516"/>
        <v>250083044</v>
      </c>
      <c r="W1195" s="337">
        <f t="shared" si="516"/>
        <v>250083044</v>
      </c>
      <c r="X1195" s="337">
        <f t="shared" si="516"/>
        <v>250083044</v>
      </c>
      <c r="Y1195" s="337">
        <f t="shared" si="516"/>
        <v>322004377</v>
      </c>
      <c r="Z1195" s="337">
        <f t="shared" si="516"/>
        <v>322004377</v>
      </c>
      <c r="AA1195" s="337">
        <f t="shared" si="516"/>
        <v>322004377</v>
      </c>
      <c r="AB1195" s="337">
        <f t="shared" si="516"/>
        <v>322004377</v>
      </c>
      <c r="AC1195" s="338">
        <f t="shared" si="510"/>
        <v>2723965954</v>
      </c>
      <c r="AD1195" s="178">
        <f>AC1195-AE1195</f>
        <v>0.4603471756</v>
      </c>
      <c r="AE1195" s="192">
        <f>'Proker New'!Y207</f>
        <v>2723965954</v>
      </c>
      <c r="AF1195" s="193" t="str">
        <f>C1195</f>
        <v>Jawa Tengah - Semarang (SRG)</v>
      </c>
      <c r="AG1195" s="194"/>
      <c r="AH1195" s="194"/>
      <c r="AI1195" s="194"/>
    </row>
    <row r="1196">
      <c r="A1196" s="391"/>
      <c r="B1196" s="195"/>
      <c r="C1196" s="196">
        <v>1.0</v>
      </c>
      <c r="D1196" s="197" t="s">
        <v>1258</v>
      </c>
      <c r="E1196" s="198" t="s">
        <v>186</v>
      </c>
      <c r="F1196" s="198" t="s">
        <v>103</v>
      </c>
      <c r="G1196" s="198" t="s">
        <v>86</v>
      </c>
      <c r="H1196" s="198" t="s">
        <v>86</v>
      </c>
      <c r="I1196" s="198" t="s">
        <v>187</v>
      </c>
      <c r="J1196" s="198" t="s">
        <v>188</v>
      </c>
      <c r="K1196" s="199" t="s">
        <v>1259</v>
      </c>
      <c r="L1196" s="347">
        <v>1.46504954E8</v>
      </c>
      <c r="M1196" s="257" t="s">
        <v>1260</v>
      </c>
      <c r="N1196" s="366"/>
      <c r="O1196" s="366">
        <v>45383.0</v>
      </c>
      <c r="P1196" s="366">
        <v>45473.0</v>
      </c>
      <c r="Q1196" s="204">
        <v>4.883498468468468E7</v>
      </c>
      <c r="R1196" s="204">
        <v>4.883498468468468E7</v>
      </c>
      <c r="S1196" s="204">
        <v>4.883498468468468E7</v>
      </c>
      <c r="T1196" s="204">
        <v>4.883498468468468E7</v>
      </c>
      <c r="U1196" s="204">
        <v>4.883498468468468E7</v>
      </c>
      <c r="V1196" s="204">
        <v>4.883498468468468E7</v>
      </c>
      <c r="W1196" s="204">
        <v>4.883498468468468E7</v>
      </c>
      <c r="X1196" s="204">
        <v>4.883498468468468E7</v>
      </c>
      <c r="Y1196" s="204">
        <v>4.883498468468468E7</v>
      </c>
      <c r="Z1196" s="204">
        <v>4.883498468468468E7</v>
      </c>
      <c r="AA1196" s="204">
        <v>4.883498468468468E7</v>
      </c>
      <c r="AB1196" s="204">
        <v>4.883498468468468E7</v>
      </c>
      <c r="AC1196" s="205">
        <v>5.860198162162162E8</v>
      </c>
      <c r="AD1196" s="178">
        <f>SUM(Q1196:AB1196)-AC1196</f>
        <v>0</v>
      </c>
      <c r="AE1196" s="241"/>
      <c r="AF1196" s="194"/>
      <c r="AG1196" s="194"/>
      <c r="AH1196" s="194"/>
      <c r="AI1196" s="194"/>
    </row>
    <row r="1197" hidden="1">
      <c r="A1197" s="126"/>
      <c r="B1197" s="195"/>
      <c r="C1197" s="206"/>
      <c r="D1197" s="220" t="s">
        <v>1261</v>
      </c>
      <c r="E1197" s="260"/>
      <c r="F1197" s="207"/>
      <c r="G1197" s="260"/>
      <c r="H1197" s="206"/>
      <c r="I1197" s="206"/>
      <c r="J1197" s="206"/>
      <c r="K1197" s="206" t="s">
        <v>1259</v>
      </c>
      <c r="L1197" s="245"/>
      <c r="M1197" s="209" t="s">
        <v>270</v>
      </c>
      <c r="N1197" s="367"/>
      <c r="O1197" s="367">
        <v>45474.0</v>
      </c>
      <c r="P1197" s="367">
        <v>45565.0</v>
      </c>
      <c r="Q1197" s="249"/>
      <c r="R1197" s="249"/>
      <c r="S1197" s="249"/>
      <c r="T1197" s="249"/>
      <c r="U1197" s="249"/>
      <c r="V1197" s="212"/>
      <c r="W1197" s="212"/>
      <c r="X1197" s="212"/>
      <c r="Y1197" s="212"/>
      <c r="Z1197" s="212"/>
      <c r="AA1197" s="212"/>
      <c r="AB1197" s="212"/>
      <c r="AC1197" s="213">
        <f t="shared" ref="AC1197:AC1204" si="517">SUM(Q1197:AB1197)</f>
        <v>0</v>
      </c>
      <c r="AD1197" s="548"/>
      <c r="AE1197" s="241"/>
      <c r="AF1197" s="194"/>
      <c r="AG1197" s="194"/>
      <c r="AH1197" s="194"/>
      <c r="AI1197" s="194"/>
    </row>
    <row r="1198" hidden="1">
      <c r="A1198" s="126"/>
      <c r="B1198" s="195"/>
      <c r="C1198" s="206"/>
      <c r="D1198" s="220" t="s">
        <v>1261</v>
      </c>
      <c r="E1198" s="260"/>
      <c r="F1198" s="207"/>
      <c r="G1198" s="260"/>
      <c r="H1198" s="206"/>
      <c r="I1198" s="206"/>
      <c r="J1198" s="206"/>
      <c r="K1198" s="206" t="s">
        <v>1259</v>
      </c>
      <c r="L1198" s="245"/>
      <c r="M1198" s="209" t="s">
        <v>264</v>
      </c>
      <c r="N1198" s="367"/>
      <c r="O1198" s="367">
        <v>45566.0</v>
      </c>
      <c r="P1198" s="367">
        <v>45657.0</v>
      </c>
      <c r="Q1198" s="249"/>
      <c r="R1198" s="249"/>
      <c r="S1198" s="249"/>
      <c r="T1198" s="249"/>
      <c r="U1198" s="249"/>
      <c r="V1198" s="212"/>
      <c r="W1198" s="212"/>
      <c r="X1198" s="212"/>
      <c r="Y1198" s="212"/>
      <c r="Z1198" s="212"/>
      <c r="AA1198" s="212"/>
      <c r="AB1198" s="212"/>
      <c r="AC1198" s="213">
        <f t="shared" si="517"/>
        <v>0</v>
      </c>
      <c r="AD1198" s="548"/>
      <c r="AE1198" s="192"/>
      <c r="AF1198" s="194"/>
      <c r="AG1198" s="194"/>
      <c r="AH1198" s="194"/>
      <c r="AI1198" s="194"/>
    </row>
    <row r="1199" hidden="1">
      <c r="A1199" s="126"/>
      <c r="B1199" s="195"/>
      <c r="C1199" s="206"/>
      <c r="D1199" s="207"/>
      <c r="E1199" s="260"/>
      <c r="F1199" s="207"/>
      <c r="G1199" s="260"/>
      <c r="H1199" s="206"/>
      <c r="I1199" s="206"/>
      <c r="J1199" s="206"/>
      <c r="K1199" s="206" t="s">
        <v>1259</v>
      </c>
      <c r="L1199" s="245"/>
      <c r="M1199" s="209" t="s">
        <v>1262</v>
      </c>
      <c r="N1199" s="367"/>
      <c r="O1199" s="367">
        <v>45658.0</v>
      </c>
      <c r="P1199" s="367" t="s">
        <v>1263</v>
      </c>
      <c r="Q1199" s="249">
        <v>3.3198799E7</v>
      </c>
      <c r="R1199" s="249">
        <v>3.3198799E7</v>
      </c>
      <c r="S1199" s="212"/>
      <c r="T1199" s="212"/>
      <c r="U1199" s="212"/>
      <c r="V1199" s="212"/>
      <c r="W1199" s="212"/>
      <c r="X1199" s="212"/>
      <c r="Y1199" s="212"/>
      <c r="Z1199" s="212"/>
      <c r="AA1199" s="212"/>
      <c r="AB1199" s="212"/>
      <c r="AC1199" s="213">
        <f t="shared" si="517"/>
        <v>66397598</v>
      </c>
      <c r="AD1199" s="273"/>
      <c r="AE1199" s="241"/>
      <c r="AF1199" s="194"/>
      <c r="AG1199" s="194"/>
      <c r="AH1199" s="194"/>
      <c r="AI1199" s="194"/>
    </row>
    <row r="1200" hidden="1">
      <c r="A1200" s="126"/>
      <c r="B1200" s="195"/>
      <c r="C1200" s="206"/>
      <c r="D1200" s="207"/>
      <c r="E1200" s="260"/>
      <c r="F1200" s="207"/>
      <c r="G1200" s="260"/>
      <c r="H1200" s="206"/>
      <c r="I1200" s="206"/>
      <c r="J1200" s="206"/>
      <c r="K1200" s="206" t="s">
        <v>1259</v>
      </c>
      <c r="L1200" s="245">
        <v>9.9596396E7</v>
      </c>
      <c r="M1200" s="209" t="s">
        <v>1264</v>
      </c>
      <c r="N1200" s="367"/>
      <c r="O1200" s="367">
        <v>45717.0</v>
      </c>
      <c r="P1200" s="367">
        <v>45778.0</v>
      </c>
      <c r="Q1200" s="249"/>
      <c r="R1200" s="249"/>
      <c r="S1200" s="249">
        <v>3.3198799E7</v>
      </c>
      <c r="T1200" s="249">
        <v>3.3198799E7</v>
      </c>
      <c r="U1200" s="249">
        <v>3.3198799E7</v>
      </c>
      <c r="V1200" s="212"/>
      <c r="W1200" s="212"/>
      <c r="X1200" s="212"/>
      <c r="Y1200" s="212"/>
      <c r="Z1200" s="212"/>
      <c r="AA1200" s="212"/>
      <c r="AB1200" s="212"/>
      <c r="AC1200" s="213">
        <f t="shared" si="517"/>
        <v>99596397</v>
      </c>
      <c r="AD1200" s="548"/>
      <c r="AE1200" s="241"/>
      <c r="AF1200" s="194"/>
      <c r="AG1200" s="194"/>
      <c r="AH1200" s="194"/>
      <c r="AI1200" s="194"/>
    </row>
    <row r="1201" hidden="1">
      <c r="A1201" s="126"/>
      <c r="B1201" s="195"/>
      <c r="C1201" s="206"/>
      <c r="D1201" s="220" t="s">
        <v>1265</v>
      </c>
      <c r="E1201" s="260"/>
      <c r="F1201" s="207"/>
      <c r="G1201" s="260"/>
      <c r="H1201" s="206"/>
      <c r="I1201" s="206"/>
      <c r="J1201" s="206"/>
      <c r="K1201" s="206"/>
      <c r="L1201" s="245"/>
      <c r="M1201" s="209"/>
      <c r="N1201" s="367"/>
      <c r="O1201" s="367"/>
      <c r="P1201" s="367"/>
      <c r="Q1201" s="249"/>
      <c r="R1201" s="249"/>
      <c r="S1201" s="249"/>
      <c r="T1201" s="249"/>
      <c r="U1201" s="249"/>
      <c r="V1201" s="212"/>
      <c r="W1201" s="212"/>
      <c r="X1201" s="212"/>
      <c r="Y1201" s="212"/>
      <c r="Z1201" s="212"/>
      <c r="AA1201" s="212"/>
      <c r="AB1201" s="212"/>
      <c r="AC1201" s="213">
        <f t="shared" si="517"/>
        <v>0</v>
      </c>
      <c r="AD1201" s="178"/>
      <c r="AE1201" s="192"/>
      <c r="AF1201" s="194"/>
      <c r="AG1201" s="194"/>
      <c r="AH1201" s="194"/>
      <c r="AI1201" s="194"/>
    </row>
    <row r="1202" hidden="1">
      <c r="A1202" s="391"/>
      <c r="B1202" s="195"/>
      <c r="C1202" s="222"/>
      <c r="D1202" s="250" t="s">
        <v>1266</v>
      </c>
      <c r="E1202" s="233"/>
      <c r="F1202" s="224"/>
      <c r="G1202" s="233"/>
      <c r="H1202" s="222"/>
      <c r="I1202" s="222"/>
      <c r="J1202" s="222"/>
      <c r="K1202" s="222" t="s">
        <v>1259</v>
      </c>
      <c r="L1202" s="225"/>
      <c r="M1202" s="236"/>
      <c r="N1202" s="285"/>
      <c r="O1202" s="285"/>
      <c r="P1202" s="285"/>
      <c r="Q1202" s="238">
        <v>3.3198799E7</v>
      </c>
      <c r="R1202" s="238">
        <v>3.3198799E7</v>
      </c>
      <c r="S1202" s="238">
        <v>3.3198799E7</v>
      </c>
      <c r="T1202" s="238">
        <f t="shared" ref="T1202:V1202" si="518">S1202</f>
        <v>33198799</v>
      </c>
      <c r="U1202" s="238">
        <f t="shared" si="518"/>
        <v>33198799</v>
      </c>
      <c r="V1202" s="238">
        <f t="shared" si="518"/>
        <v>33198799</v>
      </c>
      <c r="W1202" s="230"/>
      <c r="X1202" s="230"/>
      <c r="Y1202" s="230"/>
      <c r="Z1202" s="230"/>
      <c r="AA1202" s="230"/>
      <c r="AB1202" s="230"/>
      <c r="AC1202" s="231">
        <f t="shared" si="517"/>
        <v>199192794</v>
      </c>
      <c r="AD1202" s="273"/>
      <c r="AE1202" s="192"/>
      <c r="AF1202" s="194"/>
      <c r="AG1202" s="194"/>
      <c r="AH1202" s="194"/>
      <c r="AI1202" s="194"/>
    </row>
    <row r="1203" hidden="1">
      <c r="A1203" s="391"/>
      <c r="B1203" s="195"/>
      <c r="C1203" s="196"/>
      <c r="D1203" s="286" t="s">
        <v>194</v>
      </c>
      <c r="E1203" s="233"/>
      <c r="F1203" s="233"/>
      <c r="G1203" s="233"/>
      <c r="H1203" s="234"/>
      <c r="I1203" s="234"/>
      <c r="J1203" s="222"/>
      <c r="K1203" s="222" t="s">
        <v>1259</v>
      </c>
      <c r="L1203" s="225"/>
      <c r="M1203" s="236"/>
      <c r="N1203" s="285"/>
      <c r="O1203" s="285"/>
      <c r="P1203" s="285"/>
      <c r="Q1203" s="238"/>
      <c r="R1203" s="238"/>
      <c r="S1203" s="238"/>
      <c r="T1203" s="238"/>
      <c r="U1203" s="238"/>
      <c r="V1203" s="238"/>
      <c r="W1203" s="238"/>
      <c r="X1203" s="238"/>
      <c r="Y1203" s="238"/>
      <c r="Z1203" s="238"/>
      <c r="AA1203" s="238"/>
      <c r="AB1203" s="238"/>
      <c r="AC1203" s="378">
        <f t="shared" si="517"/>
        <v>0</v>
      </c>
      <c r="AD1203" s="214"/>
      <c r="AE1203" s="192"/>
      <c r="AF1203" s="194"/>
      <c r="AG1203" s="194"/>
      <c r="AH1203" s="194"/>
      <c r="AI1203" s="194"/>
    </row>
    <row r="1204" hidden="1">
      <c r="A1204" s="391"/>
      <c r="B1204" s="195"/>
      <c r="C1204" s="196"/>
      <c r="D1204" s="286" t="s">
        <v>1267</v>
      </c>
      <c r="E1204" s="233"/>
      <c r="F1204" s="233"/>
      <c r="G1204" s="233"/>
      <c r="H1204" s="234"/>
      <c r="I1204" s="234"/>
      <c r="J1204" s="222"/>
      <c r="K1204" s="222" t="s">
        <v>1259</v>
      </c>
      <c r="L1204" s="225"/>
      <c r="M1204" s="236"/>
      <c r="N1204" s="285"/>
      <c r="O1204" s="285"/>
      <c r="P1204" s="285"/>
      <c r="Q1204" s="238"/>
      <c r="R1204" s="238"/>
      <c r="S1204" s="238"/>
      <c r="T1204" s="238"/>
      <c r="U1204" s="238"/>
      <c r="V1204" s="238"/>
      <c r="W1204" s="238"/>
      <c r="X1204" s="238"/>
      <c r="Y1204" s="238"/>
      <c r="Z1204" s="238"/>
      <c r="AA1204" s="238"/>
      <c r="AB1204" s="238"/>
      <c r="AC1204" s="378">
        <f t="shared" si="517"/>
        <v>0</v>
      </c>
      <c r="AD1204" s="214"/>
      <c r="AE1204" s="192"/>
      <c r="AF1204" s="194"/>
      <c r="AG1204" s="194"/>
      <c r="AH1204" s="194"/>
      <c r="AI1204" s="194"/>
    </row>
    <row r="1205">
      <c r="A1205" s="391"/>
      <c r="B1205" s="195"/>
      <c r="C1205" s="196">
        <v>2.0</v>
      </c>
      <c r="D1205" s="730" t="s">
        <v>1268</v>
      </c>
      <c r="E1205" s="198" t="s">
        <v>186</v>
      </c>
      <c r="F1205" s="198" t="s">
        <v>88</v>
      </c>
      <c r="G1205" s="198" t="s">
        <v>88</v>
      </c>
      <c r="H1205" s="198" t="s">
        <v>218</v>
      </c>
      <c r="I1205" s="198" t="s">
        <v>187</v>
      </c>
      <c r="J1205" s="198" t="s">
        <v>188</v>
      </c>
      <c r="K1205" s="199" t="s">
        <v>1259</v>
      </c>
      <c r="L1205" s="355"/>
      <c r="M1205" s="188"/>
      <c r="N1205" s="686"/>
      <c r="O1205" s="686"/>
      <c r="P1205" s="686"/>
      <c r="Q1205" s="204">
        <v>6.4456478270344205E7</v>
      </c>
      <c r="R1205" s="204">
        <v>6.4456478270344205E7</v>
      </c>
      <c r="S1205" s="204">
        <v>6.4456478270344205E7</v>
      </c>
      <c r="T1205" s="204">
        <v>6.4456478270344205E7</v>
      </c>
      <c r="U1205" s="204">
        <v>6.4456478270344205E7</v>
      </c>
      <c r="V1205" s="204">
        <v>6.4456478270344205E7</v>
      </c>
      <c r="W1205" s="204">
        <v>6.4456478270344205E7</v>
      </c>
      <c r="X1205" s="204">
        <v>6.4456478270344205E7</v>
      </c>
      <c r="Y1205" s="204">
        <v>6.4456478270344205E7</v>
      </c>
      <c r="Z1205" s="204">
        <v>6.4456478270344205E7</v>
      </c>
      <c r="AA1205" s="204">
        <v>6.4456478270344205E7</v>
      </c>
      <c r="AB1205" s="204">
        <v>6.4456478270344205E7</v>
      </c>
      <c r="AC1205" s="205">
        <v>7.734777392441306E8</v>
      </c>
      <c r="AD1205" s="178">
        <f>SUM(Q1205:AB1205)-AC1205</f>
        <v>0</v>
      </c>
      <c r="AE1205" s="241"/>
      <c r="AF1205" s="194"/>
      <c r="AG1205" s="194"/>
      <c r="AH1205" s="194"/>
      <c r="AI1205" s="194"/>
    </row>
    <row r="1206" hidden="1">
      <c r="A1206" s="126"/>
      <c r="B1206" s="195"/>
      <c r="C1206" s="206"/>
      <c r="D1206" s="215"/>
      <c r="E1206" s="260"/>
      <c r="F1206" s="207"/>
      <c r="G1206" s="260"/>
      <c r="H1206" s="206"/>
      <c r="I1206" s="206"/>
      <c r="J1206" s="206"/>
      <c r="K1206" s="206" t="s">
        <v>1259</v>
      </c>
      <c r="L1206" s="245"/>
      <c r="M1206" s="209" t="s">
        <v>1269</v>
      </c>
      <c r="N1206" s="367"/>
      <c r="O1206" s="367">
        <v>45038.0</v>
      </c>
      <c r="P1206" s="367">
        <v>45403.0</v>
      </c>
      <c r="Q1206" s="249"/>
      <c r="R1206" s="212"/>
      <c r="S1206" s="212"/>
      <c r="T1206" s="212"/>
      <c r="U1206" s="212"/>
      <c r="V1206" s="212"/>
      <c r="W1206" s="212"/>
      <c r="X1206" s="212"/>
      <c r="Y1206" s="212"/>
      <c r="Z1206" s="212"/>
      <c r="AA1206" s="212"/>
      <c r="AB1206" s="212"/>
      <c r="AC1206" s="213">
        <f t="shared" ref="AC1206:AC1213" si="519">SUM(Q1206:AB1206)</f>
        <v>0</v>
      </c>
      <c r="AD1206" s="273"/>
      <c r="AE1206" s="241"/>
      <c r="AF1206" s="194"/>
      <c r="AG1206" s="194"/>
      <c r="AH1206" s="194"/>
      <c r="AI1206" s="194"/>
    </row>
    <row r="1207" hidden="1">
      <c r="A1207" s="126"/>
      <c r="B1207" s="195"/>
      <c r="C1207" s="206"/>
      <c r="D1207" s="207"/>
      <c r="E1207" s="260"/>
      <c r="F1207" s="207"/>
      <c r="G1207" s="260"/>
      <c r="H1207" s="242"/>
      <c r="I1207" s="242"/>
      <c r="J1207" s="206"/>
      <c r="K1207" s="206" t="s">
        <v>1259</v>
      </c>
      <c r="L1207" s="277"/>
      <c r="M1207" s="209" t="s">
        <v>1270</v>
      </c>
      <c r="N1207" s="367"/>
      <c r="O1207" s="367">
        <f t="shared" ref="O1207:O1209" si="520">P1206+1</f>
        <v>45404</v>
      </c>
      <c r="P1207" s="367">
        <v>45572.0</v>
      </c>
      <c r="Q1207" s="212"/>
      <c r="R1207" s="212"/>
      <c r="S1207" s="212"/>
      <c r="T1207" s="212"/>
      <c r="U1207" s="212"/>
      <c r="V1207" s="212"/>
      <c r="W1207" s="212"/>
      <c r="X1207" s="212"/>
      <c r="Y1207" s="212"/>
      <c r="Z1207" s="212"/>
      <c r="AA1207" s="212"/>
      <c r="AB1207" s="212"/>
      <c r="AC1207" s="213">
        <f t="shared" si="519"/>
        <v>0</v>
      </c>
      <c r="AD1207" s="273"/>
      <c r="AE1207" s="192"/>
      <c r="AF1207" s="194"/>
      <c r="AG1207" s="194"/>
      <c r="AH1207" s="194"/>
      <c r="AI1207" s="194"/>
    </row>
    <row r="1208" hidden="1">
      <c r="A1208" s="126"/>
      <c r="B1208" s="195"/>
      <c r="C1208" s="206"/>
      <c r="D1208" s="265" t="s">
        <v>1271</v>
      </c>
      <c r="E1208" s="260"/>
      <c r="F1208" s="207"/>
      <c r="G1208" s="260"/>
      <c r="H1208" s="206"/>
      <c r="I1208" s="206"/>
      <c r="J1208" s="206"/>
      <c r="K1208" s="206" t="s">
        <v>1259</v>
      </c>
      <c r="L1208" s="245">
        <v>1.161250173E9</v>
      </c>
      <c r="M1208" s="265" t="s">
        <v>1271</v>
      </c>
      <c r="N1208" s="367"/>
      <c r="O1208" s="367">
        <f t="shared" si="520"/>
        <v>45573</v>
      </c>
      <c r="P1208" s="367">
        <v>45747.0</v>
      </c>
      <c r="Q1208" s="249">
        <f>L1208/18</f>
        <v>64513898.5</v>
      </c>
      <c r="R1208" s="249">
        <f t="shared" ref="R1208:S1208" si="521">Q1208</f>
        <v>64513898.5</v>
      </c>
      <c r="S1208" s="212">
        <f t="shared" si="521"/>
        <v>64513898.5</v>
      </c>
      <c r="T1208" s="212"/>
      <c r="U1208" s="212"/>
      <c r="V1208" s="212"/>
      <c r="W1208" s="212"/>
      <c r="X1208" s="212"/>
      <c r="Y1208" s="212"/>
      <c r="Z1208" s="212"/>
      <c r="AA1208" s="212"/>
      <c r="AB1208" s="212"/>
      <c r="AC1208" s="213">
        <f t="shared" si="519"/>
        <v>193541695.5</v>
      </c>
      <c r="AD1208" s="273"/>
      <c r="AE1208" s="241"/>
      <c r="AF1208" s="194"/>
      <c r="AG1208" s="194"/>
      <c r="AH1208" s="194"/>
      <c r="AI1208" s="194"/>
    </row>
    <row r="1209" hidden="1">
      <c r="A1209" s="126"/>
      <c r="B1209" s="195"/>
      <c r="C1209" s="206"/>
      <c r="D1209" s="207"/>
      <c r="E1209" s="260"/>
      <c r="F1209" s="207"/>
      <c r="G1209" s="260"/>
      <c r="H1209" s="206"/>
      <c r="I1209" s="206"/>
      <c r="J1209" s="206"/>
      <c r="K1209" s="206" t="s">
        <v>1259</v>
      </c>
      <c r="L1209" s="277"/>
      <c r="M1209" s="209"/>
      <c r="N1209" s="389"/>
      <c r="O1209" s="389">
        <f t="shared" si="520"/>
        <v>45748</v>
      </c>
      <c r="P1209" s="367">
        <v>45838.0</v>
      </c>
      <c r="Q1209" s="212"/>
      <c r="R1209" s="212"/>
      <c r="S1209" s="212"/>
      <c r="T1209" s="212"/>
      <c r="U1209" s="212"/>
      <c r="V1209" s="212"/>
      <c r="W1209" s="212"/>
      <c r="X1209" s="212"/>
      <c r="Y1209" s="212"/>
      <c r="Z1209" s="212"/>
      <c r="AA1209" s="212"/>
      <c r="AB1209" s="212"/>
      <c r="AC1209" s="213">
        <f t="shared" si="519"/>
        <v>0</v>
      </c>
      <c r="AD1209" s="273"/>
      <c r="AE1209" s="241"/>
      <c r="AF1209" s="194"/>
      <c r="AG1209" s="194"/>
      <c r="AH1209" s="194"/>
      <c r="AI1209" s="194"/>
    </row>
    <row r="1210" hidden="1">
      <c r="A1210" s="126"/>
      <c r="B1210" s="195"/>
      <c r="C1210" s="206"/>
      <c r="D1210" s="207"/>
      <c r="E1210" s="260"/>
      <c r="F1210" s="207"/>
      <c r="G1210" s="260"/>
      <c r="H1210" s="206"/>
      <c r="I1210" s="206"/>
      <c r="J1210" s="206"/>
      <c r="K1210" s="206"/>
      <c r="L1210" s="277"/>
      <c r="M1210" s="209"/>
      <c r="N1210" s="389"/>
      <c r="O1210" s="389"/>
      <c r="P1210" s="367"/>
      <c r="Q1210" s="212"/>
      <c r="R1210" s="212"/>
      <c r="S1210" s="212"/>
      <c r="T1210" s="212"/>
      <c r="U1210" s="212"/>
      <c r="V1210" s="212"/>
      <c r="W1210" s="212"/>
      <c r="X1210" s="212"/>
      <c r="Y1210" s="212"/>
      <c r="Z1210" s="212"/>
      <c r="AA1210" s="212"/>
      <c r="AB1210" s="212"/>
      <c r="AC1210" s="213">
        <f t="shared" si="519"/>
        <v>0</v>
      </c>
      <c r="AD1210" s="273"/>
      <c r="AE1210" s="241"/>
      <c r="AF1210" s="194"/>
      <c r="AG1210" s="194"/>
      <c r="AH1210" s="194"/>
      <c r="AI1210" s="194"/>
    </row>
    <row r="1211" hidden="1">
      <c r="A1211" s="391"/>
      <c r="B1211" s="195"/>
      <c r="C1211" s="222"/>
      <c r="D1211" s="250" t="s">
        <v>1272</v>
      </c>
      <c r="E1211" s="233"/>
      <c r="F1211" s="224"/>
      <c r="G1211" s="233"/>
      <c r="H1211" s="222"/>
      <c r="I1211" s="222"/>
      <c r="J1211" s="222"/>
      <c r="K1211" s="222" t="s">
        <v>1259</v>
      </c>
      <c r="L1211" s="225"/>
      <c r="M1211" s="255"/>
      <c r="N1211" s="285"/>
      <c r="O1211" s="285"/>
      <c r="P1211" s="285"/>
      <c r="Q1211" s="229">
        <f>62582907*1.11</f>
        <v>69467026.77</v>
      </c>
      <c r="R1211" s="238">
        <f t="shared" ref="R1211:V1211" si="522">Q1211</f>
        <v>69467026.77</v>
      </c>
      <c r="S1211" s="238">
        <f t="shared" si="522"/>
        <v>69467026.77</v>
      </c>
      <c r="T1211" s="238">
        <f t="shared" si="522"/>
        <v>69467026.77</v>
      </c>
      <c r="U1211" s="238">
        <f t="shared" si="522"/>
        <v>69467026.77</v>
      </c>
      <c r="V1211" s="238">
        <f t="shared" si="522"/>
        <v>69467026.77</v>
      </c>
      <c r="W1211" s="230"/>
      <c r="X1211" s="230"/>
      <c r="Y1211" s="230"/>
      <c r="Z1211" s="230"/>
      <c r="AA1211" s="230"/>
      <c r="AB1211" s="230"/>
      <c r="AC1211" s="231">
        <f t="shared" si="519"/>
        <v>416802160.6</v>
      </c>
      <c r="AD1211" s="273"/>
      <c r="AE1211" s="241"/>
      <c r="AF1211" s="194"/>
      <c r="AG1211" s="194"/>
      <c r="AH1211" s="194"/>
      <c r="AI1211" s="194"/>
    </row>
    <row r="1212" hidden="1">
      <c r="A1212" s="391"/>
      <c r="B1212" s="392"/>
      <c r="C1212" s="196"/>
      <c r="D1212" s="286" t="s">
        <v>194</v>
      </c>
      <c r="E1212" s="233"/>
      <c r="F1212" s="233"/>
      <c r="G1212" s="233"/>
      <c r="H1212" s="234"/>
      <c r="I1212" s="234"/>
      <c r="J1212" s="222"/>
      <c r="K1212" s="222" t="s">
        <v>1259</v>
      </c>
      <c r="L1212" s="225"/>
      <c r="M1212" s="236"/>
      <c r="N1212" s="285"/>
      <c r="O1212" s="285"/>
      <c r="P1212" s="285"/>
      <c r="Q1212" s="718"/>
      <c r="R1212" s="718"/>
      <c r="S1212" s="718"/>
      <c r="T1212" s="718"/>
      <c r="U1212" s="718"/>
      <c r="V1212" s="718"/>
      <c r="W1212" s="718"/>
      <c r="X1212" s="718"/>
      <c r="Y1212" s="718"/>
      <c r="Z1212" s="718"/>
      <c r="AA1212" s="718"/>
      <c r="AB1212" s="718"/>
      <c r="AC1212" s="378">
        <f t="shared" si="519"/>
        <v>0</v>
      </c>
      <c r="AD1212" s="273"/>
      <c r="AE1212" s="192"/>
      <c r="AF1212" s="194"/>
      <c r="AG1212" s="194"/>
      <c r="AH1212" s="194"/>
      <c r="AI1212" s="194"/>
    </row>
    <row r="1213" hidden="1">
      <c r="A1213" s="391"/>
      <c r="B1213" s="392"/>
      <c r="C1213" s="196"/>
      <c r="D1213" s="286" t="s">
        <v>1273</v>
      </c>
      <c r="E1213" s="233"/>
      <c r="F1213" s="233"/>
      <c r="G1213" s="233"/>
      <c r="H1213" s="234"/>
      <c r="I1213" s="234"/>
      <c r="J1213" s="222"/>
      <c r="K1213" s="222" t="s">
        <v>1259</v>
      </c>
      <c r="L1213" s="225"/>
      <c r="M1213" s="236"/>
      <c r="N1213" s="285"/>
      <c r="O1213" s="285"/>
      <c r="P1213" s="285"/>
      <c r="Q1213" s="718"/>
      <c r="R1213" s="718"/>
      <c r="S1213" s="718"/>
      <c r="T1213" s="718"/>
      <c r="U1213" s="718"/>
      <c r="V1213" s="718"/>
      <c r="W1213" s="718"/>
      <c r="X1213" s="718"/>
      <c r="Y1213" s="718"/>
      <c r="Z1213" s="718"/>
      <c r="AA1213" s="718"/>
      <c r="AB1213" s="718"/>
      <c r="AC1213" s="378">
        <f t="shared" si="519"/>
        <v>0</v>
      </c>
      <c r="AD1213" s="273"/>
      <c r="AE1213" s="192"/>
      <c r="AF1213" s="194"/>
      <c r="AG1213" s="194"/>
      <c r="AH1213" s="194"/>
      <c r="AI1213" s="194"/>
    </row>
    <row r="1214">
      <c r="A1214" s="391"/>
      <c r="B1214" s="893"/>
      <c r="C1214" s="196">
        <v>3.0</v>
      </c>
      <c r="D1214" s="925" t="s">
        <v>1274</v>
      </c>
      <c r="E1214" s="198" t="s">
        <v>186</v>
      </c>
      <c r="F1214" s="198" t="s">
        <v>305</v>
      </c>
      <c r="G1214" s="198" t="s">
        <v>92</v>
      </c>
      <c r="H1214" s="198" t="s">
        <v>306</v>
      </c>
      <c r="I1214" s="198" t="s">
        <v>187</v>
      </c>
      <c r="J1214" s="198" t="s">
        <v>188</v>
      </c>
      <c r="K1214" s="606" t="s">
        <v>1275</v>
      </c>
      <c r="L1214" s="895"/>
      <c r="M1214" s="240"/>
      <c r="N1214" s="388"/>
      <c r="O1214" s="388"/>
      <c r="P1214" s="388"/>
      <c r="Q1214" s="896"/>
      <c r="R1214" s="896"/>
      <c r="S1214" s="896"/>
      <c r="T1214" s="896"/>
      <c r="U1214" s="896"/>
      <c r="V1214" s="896">
        <v>1.7549581E7</v>
      </c>
      <c r="W1214" s="896">
        <v>1.7549581E7</v>
      </c>
      <c r="X1214" s="896">
        <v>1.7549581E7</v>
      </c>
      <c r="Y1214" s="896">
        <v>1.7549581E7</v>
      </c>
      <c r="Z1214" s="896">
        <v>1.7549581E7</v>
      </c>
      <c r="AA1214" s="896">
        <v>1.7549581E7</v>
      </c>
      <c r="AB1214" s="896">
        <v>1.7549581E7</v>
      </c>
      <c r="AC1214" s="897">
        <v>1.22847067E8</v>
      </c>
      <c r="AD1214" s="273">
        <f>SUM(Q1214:AB1214)-AC1214</f>
        <v>0</v>
      </c>
      <c r="AE1214" s="192"/>
      <c r="AF1214" s="194"/>
      <c r="AG1214" s="194"/>
      <c r="AH1214" s="194"/>
      <c r="AI1214" s="194"/>
    </row>
    <row r="1215" hidden="1">
      <c r="A1215" s="126"/>
      <c r="B1215" s="893"/>
      <c r="C1215" s="206"/>
      <c r="D1215" s="207"/>
      <c r="E1215" s="260"/>
      <c r="F1215" s="207"/>
      <c r="G1215" s="260"/>
      <c r="H1215" s="206"/>
      <c r="I1215" s="206"/>
      <c r="J1215" s="206"/>
      <c r="K1215" s="206" t="s">
        <v>1275</v>
      </c>
      <c r="L1215" s="277"/>
      <c r="M1215" s="244"/>
      <c r="N1215" s="389"/>
      <c r="O1215" s="389"/>
      <c r="P1215" s="389"/>
      <c r="Q1215" s="212"/>
      <c r="R1215" s="212"/>
      <c r="S1215" s="212"/>
      <c r="T1215" s="212"/>
      <c r="U1215" s="212"/>
      <c r="V1215" s="212"/>
      <c r="W1215" s="212"/>
      <c r="X1215" s="212"/>
      <c r="Y1215" s="212"/>
      <c r="Z1215" s="212"/>
      <c r="AA1215" s="212"/>
      <c r="AB1215" s="212"/>
      <c r="AC1215" s="213">
        <f t="shared" ref="AC1215:AC1218" si="523">SUM(Q1215:AB1215)</f>
        <v>0</v>
      </c>
      <c r="AD1215" s="273"/>
      <c r="AE1215" s="241"/>
      <c r="AF1215" s="194"/>
      <c r="AG1215" s="194"/>
      <c r="AH1215" s="194"/>
      <c r="AI1215" s="194"/>
    </row>
    <row r="1216" hidden="1">
      <c r="A1216" s="391"/>
      <c r="B1216" s="893"/>
      <c r="C1216" s="222"/>
      <c r="D1216" s="250" t="s">
        <v>1276</v>
      </c>
      <c r="E1216" s="233"/>
      <c r="F1216" s="224"/>
      <c r="G1216" s="233"/>
      <c r="H1216" s="222"/>
      <c r="I1216" s="222"/>
      <c r="J1216" s="222"/>
      <c r="K1216" s="222" t="s">
        <v>1275</v>
      </c>
      <c r="L1216" s="225"/>
      <c r="M1216" s="236"/>
      <c r="N1216" s="285"/>
      <c r="O1216" s="285"/>
      <c r="P1216" s="285"/>
      <c r="Q1216" s="230"/>
      <c r="R1216" s="230"/>
      <c r="S1216" s="230"/>
      <c r="T1216" s="230"/>
      <c r="U1216" s="230"/>
      <c r="V1216" s="230"/>
      <c r="W1216" s="230"/>
      <c r="X1216" s="230"/>
      <c r="Y1216" s="230"/>
      <c r="Z1216" s="230"/>
      <c r="AA1216" s="230"/>
      <c r="AB1216" s="230"/>
      <c r="AC1216" s="231">
        <f t="shared" si="523"/>
        <v>0</v>
      </c>
      <c r="AD1216" s="284"/>
      <c r="AE1216" s="241"/>
      <c r="AF1216" s="194"/>
      <c r="AG1216" s="194"/>
      <c r="AH1216" s="194"/>
      <c r="AI1216" s="194"/>
    </row>
    <row r="1217" hidden="1">
      <c r="A1217" s="391"/>
      <c r="B1217" s="893"/>
      <c r="C1217" s="196"/>
      <c r="D1217" s="286" t="s">
        <v>194</v>
      </c>
      <c r="E1217" s="233"/>
      <c r="F1217" s="233"/>
      <c r="G1217" s="233"/>
      <c r="H1217" s="234"/>
      <c r="I1217" s="234"/>
      <c r="J1217" s="222"/>
      <c r="K1217" s="222" t="s">
        <v>1275</v>
      </c>
      <c r="L1217" s="225"/>
      <c r="M1217" s="236"/>
      <c r="N1217" s="285"/>
      <c r="O1217" s="285"/>
      <c r="P1217" s="285"/>
      <c r="Q1217" s="718"/>
      <c r="R1217" s="718"/>
      <c r="S1217" s="718"/>
      <c r="T1217" s="718"/>
      <c r="U1217" s="718"/>
      <c r="V1217" s="718"/>
      <c r="W1217" s="718"/>
      <c r="X1217" s="718"/>
      <c r="Y1217" s="718"/>
      <c r="Z1217" s="718"/>
      <c r="AA1217" s="718"/>
      <c r="AB1217" s="718"/>
      <c r="AC1217" s="378">
        <f t="shared" si="523"/>
        <v>0</v>
      </c>
      <c r="AD1217" s="273"/>
      <c r="AE1217" s="241"/>
      <c r="AF1217" s="194"/>
      <c r="AG1217" s="194"/>
      <c r="AH1217" s="194"/>
      <c r="AI1217" s="194"/>
    </row>
    <row r="1218" hidden="1">
      <c r="A1218" s="391"/>
      <c r="B1218" s="893"/>
      <c r="C1218" s="196"/>
      <c r="D1218" s="286" t="s">
        <v>1277</v>
      </c>
      <c r="E1218" s="233"/>
      <c r="F1218" s="233"/>
      <c r="G1218" s="233"/>
      <c r="H1218" s="234"/>
      <c r="I1218" s="234"/>
      <c r="J1218" s="222"/>
      <c r="K1218" s="222" t="s">
        <v>1275</v>
      </c>
      <c r="L1218" s="225"/>
      <c r="M1218" s="236"/>
      <c r="N1218" s="285"/>
      <c r="O1218" s="285"/>
      <c r="P1218" s="285"/>
      <c r="Q1218" s="718"/>
      <c r="R1218" s="718"/>
      <c r="S1218" s="718"/>
      <c r="T1218" s="718"/>
      <c r="U1218" s="718"/>
      <c r="V1218" s="718"/>
      <c r="W1218" s="718"/>
      <c r="X1218" s="718"/>
      <c r="Y1218" s="718"/>
      <c r="Z1218" s="718"/>
      <c r="AA1218" s="718"/>
      <c r="AB1218" s="718"/>
      <c r="AC1218" s="378">
        <f t="shared" si="523"/>
        <v>0</v>
      </c>
      <c r="AD1218" s="273"/>
      <c r="AE1218" s="241"/>
      <c r="AF1218" s="194"/>
      <c r="AG1218" s="194"/>
      <c r="AH1218" s="194"/>
      <c r="AI1218" s="194"/>
    </row>
    <row r="1219">
      <c r="A1219" s="391"/>
      <c r="B1219" s="893"/>
      <c r="C1219" s="196">
        <v>4.0</v>
      </c>
      <c r="D1219" s="925" t="s">
        <v>1278</v>
      </c>
      <c r="E1219" s="198" t="s">
        <v>186</v>
      </c>
      <c r="F1219" s="198" t="s">
        <v>103</v>
      </c>
      <c r="G1219" s="198" t="s">
        <v>86</v>
      </c>
      <c r="H1219" s="198" t="s">
        <v>86</v>
      </c>
      <c r="I1219" s="198" t="s">
        <v>187</v>
      </c>
      <c r="J1219" s="198" t="s">
        <v>188</v>
      </c>
      <c r="K1219" s="606" t="s">
        <v>1279</v>
      </c>
      <c r="L1219" s="895"/>
      <c r="M1219" s="240"/>
      <c r="N1219" s="388"/>
      <c r="O1219" s="388"/>
      <c r="P1219" s="388"/>
      <c r="Q1219" s="896"/>
      <c r="R1219" s="896"/>
      <c r="S1219" s="896"/>
      <c r="T1219" s="896"/>
      <c r="U1219" s="896">
        <v>1.19242E8</v>
      </c>
      <c r="V1219" s="896">
        <v>1.19242E8</v>
      </c>
      <c r="W1219" s="896">
        <v>1.19242E8</v>
      </c>
      <c r="X1219" s="896">
        <v>1.19242E8</v>
      </c>
      <c r="Y1219" s="896">
        <v>1.19242E8</v>
      </c>
      <c r="Z1219" s="896">
        <v>1.19242E8</v>
      </c>
      <c r="AA1219" s="896">
        <v>1.19242E8</v>
      </c>
      <c r="AB1219" s="896">
        <v>1.19242E8</v>
      </c>
      <c r="AC1219" s="897">
        <v>9.53936E8</v>
      </c>
      <c r="AD1219" s="273">
        <f>SUM(Q1219:AB1219)-AC1219</f>
        <v>0</v>
      </c>
      <c r="AE1219" s="241"/>
      <c r="AF1219" s="194"/>
      <c r="AG1219" s="194"/>
      <c r="AH1219" s="194"/>
      <c r="AI1219" s="194"/>
    </row>
    <row r="1220" hidden="1">
      <c r="A1220" s="126"/>
      <c r="B1220" s="893"/>
      <c r="C1220" s="206"/>
      <c r="D1220" s="207"/>
      <c r="E1220" s="260"/>
      <c r="F1220" s="207"/>
      <c r="G1220" s="260"/>
      <c r="H1220" s="206"/>
      <c r="I1220" s="206"/>
      <c r="J1220" s="206"/>
      <c r="K1220" s="206" t="s">
        <v>1279</v>
      </c>
      <c r="L1220" s="277"/>
      <c r="M1220" s="244"/>
      <c r="N1220" s="389"/>
      <c r="O1220" s="389"/>
      <c r="P1220" s="389"/>
      <c r="Q1220" s="212"/>
      <c r="R1220" s="212"/>
      <c r="S1220" s="212"/>
      <c r="T1220" s="212"/>
      <c r="U1220" s="212"/>
      <c r="V1220" s="212"/>
      <c r="W1220" s="212"/>
      <c r="X1220" s="212"/>
      <c r="Y1220" s="212"/>
      <c r="Z1220" s="212"/>
      <c r="AA1220" s="212"/>
      <c r="AB1220" s="212"/>
      <c r="AC1220" s="213">
        <f t="shared" ref="AC1220:AC1223" si="524">SUM(Q1220:AB1220)</f>
        <v>0</v>
      </c>
      <c r="AD1220" s="284"/>
      <c r="AE1220" s="241"/>
      <c r="AF1220" s="194"/>
      <c r="AG1220" s="194"/>
      <c r="AH1220" s="194"/>
      <c r="AI1220" s="194"/>
    </row>
    <row r="1221" hidden="1">
      <c r="A1221" s="391"/>
      <c r="B1221" s="893"/>
      <c r="C1221" s="222"/>
      <c r="D1221" s="250" t="s">
        <v>1280</v>
      </c>
      <c r="E1221" s="233"/>
      <c r="F1221" s="224"/>
      <c r="G1221" s="233"/>
      <c r="H1221" s="222"/>
      <c r="I1221" s="222"/>
      <c r="J1221" s="222"/>
      <c r="K1221" s="222" t="s">
        <v>1279</v>
      </c>
      <c r="L1221" s="225"/>
      <c r="M1221" s="236"/>
      <c r="N1221" s="285"/>
      <c r="O1221" s="285"/>
      <c r="P1221" s="285"/>
      <c r="Q1221" s="230"/>
      <c r="R1221" s="230"/>
      <c r="S1221" s="230"/>
      <c r="T1221" s="230"/>
      <c r="U1221" s="230"/>
      <c r="V1221" s="230"/>
      <c r="W1221" s="230"/>
      <c r="X1221" s="230"/>
      <c r="Y1221" s="230"/>
      <c r="Z1221" s="230"/>
      <c r="AA1221" s="230"/>
      <c r="AB1221" s="230"/>
      <c r="AC1221" s="231">
        <f t="shared" si="524"/>
        <v>0</v>
      </c>
      <c r="AD1221" s="548"/>
      <c r="AE1221" s="241"/>
      <c r="AF1221" s="194"/>
      <c r="AG1221" s="194"/>
      <c r="AH1221" s="194"/>
      <c r="AI1221" s="194"/>
    </row>
    <row r="1222" hidden="1">
      <c r="A1222" s="391"/>
      <c r="B1222" s="893"/>
      <c r="C1222" s="196"/>
      <c r="D1222" s="286" t="s">
        <v>194</v>
      </c>
      <c r="E1222" s="233"/>
      <c r="F1222" s="233"/>
      <c r="G1222" s="233"/>
      <c r="H1222" s="234"/>
      <c r="I1222" s="234"/>
      <c r="J1222" s="222"/>
      <c r="K1222" s="222" t="s">
        <v>1279</v>
      </c>
      <c r="L1222" s="225"/>
      <c r="M1222" s="236"/>
      <c r="N1222" s="285"/>
      <c r="O1222" s="285"/>
      <c r="P1222" s="285"/>
      <c r="Q1222" s="718"/>
      <c r="R1222" s="718"/>
      <c r="S1222" s="718"/>
      <c r="T1222" s="718"/>
      <c r="U1222" s="718"/>
      <c r="V1222" s="718"/>
      <c r="W1222" s="718"/>
      <c r="X1222" s="718"/>
      <c r="Y1222" s="718"/>
      <c r="Z1222" s="718"/>
      <c r="AA1222" s="718"/>
      <c r="AB1222" s="718"/>
      <c r="AC1222" s="378">
        <f t="shared" si="524"/>
        <v>0</v>
      </c>
      <c r="AD1222" s="273"/>
      <c r="AE1222" s="192"/>
      <c r="AF1222" s="194"/>
      <c r="AG1222" s="194"/>
      <c r="AH1222" s="194"/>
      <c r="AI1222" s="194"/>
    </row>
    <row r="1223" hidden="1">
      <c r="A1223" s="391"/>
      <c r="B1223" s="893"/>
      <c r="C1223" s="196"/>
      <c r="D1223" s="286" t="s">
        <v>1281</v>
      </c>
      <c r="E1223" s="233"/>
      <c r="F1223" s="233"/>
      <c r="G1223" s="233"/>
      <c r="H1223" s="234"/>
      <c r="I1223" s="234"/>
      <c r="J1223" s="222"/>
      <c r="K1223" s="222" t="s">
        <v>1279</v>
      </c>
      <c r="L1223" s="225"/>
      <c r="M1223" s="236"/>
      <c r="N1223" s="285"/>
      <c r="O1223" s="285"/>
      <c r="P1223" s="285"/>
      <c r="Q1223" s="718"/>
      <c r="R1223" s="718"/>
      <c r="S1223" s="718"/>
      <c r="T1223" s="718"/>
      <c r="U1223" s="718"/>
      <c r="V1223" s="718"/>
      <c r="W1223" s="718"/>
      <c r="X1223" s="718"/>
      <c r="Y1223" s="718"/>
      <c r="Z1223" s="718"/>
      <c r="AA1223" s="718"/>
      <c r="AB1223" s="718"/>
      <c r="AC1223" s="378">
        <f t="shared" si="524"/>
        <v>0</v>
      </c>
      <c r="AD1223" s="273"/>
      <c r="AE1223" s="192"/>
      <c r="AF1223" s="194"/>
      <c r="AG1223" s="194"/>
      <c r="AH1223" s="194"/>
      <c r="AI1223" s="194"/>
    </row>
    <row r="1224">
      <c r="A1224" s="391"/>
      <c r="B1224" s="893"/>
      <c r="C1224" s="196">
        <v>5.0</v>
      </c>
      <c r="D1224" s="925" t="s">
        <v>1282</v>
      </c>
      <c r="E1224" s="198" t="s">
        <v>186</v>
      </c>
      <c r="F1224" s="198" t="s">
        <v>305</v>
      </c>
      <c r="G1224" s="198" t="s">
        <v>92</v>
      </c>
      <c r="H1224" s="198" t="s">
        <v>306</v>
      </c>
      <c r="I1224" s="198" t="s">
        <v>187</v>
      </c>
      <c r="J1224" s="198" t="s">
        <v>188</v>
      </c>
      <c r="K1224" s="606" t="s">
        <v>1279</v>
      </c>
      <c r="L1224" s="895"/>
      <c r="M1224" s="240"/>
      <c r="N1224" s="388"/>
      <c r="O1224" s="388"/>
      <c r="P1224" s="388"/>
      <c r="Q1224" s="896"/>
      <c r="R1224" s="896"/>
      <c r="S1224" s="896"/>
      <c r="T1224" s="896"/>
      <c r="U1224" s="896"/>
      <c r="V1224" s="896"/>
      <c r="W1224" s="896"/>
      <c r="X1224" s="896"/>
      <c r="Y1224" s="896">
        <v>7.1921333E7</v>
      </c>
      <c r="Z1224" s="896">
        <v>7.1921333E7</v>
      </c>
      <c r="AA1224" s="896">
        <v>7.1921333E7</v>
      </c>
      <c r="AB1224" s="896">
        <v>7.1921333E7</v>
      </c>
      <c r="AC1224" s="897">
        <v>2.87685332E8</v>
      </c>
      <c r="AD1224" s="273">
        <f>SUM(Q1224:AB1224)-AC1224</f>
        <v>0</v>
      </c>
      <c r="AE1224" s="192"/>
      <c r="AF1224" s="194"/>
      <c r="AG1224" s="194"/>
      <c r="AH1224" s="194"/>
      <c r="AI1224" s="194"/>
    </row>
    <row r="1225" hidden="1">
      <c r="A1225" s="126"/>
      <c r="B1225" s="893"/>
      <c r="C1225" s="206"/>
      <c r="D1225" s="207"/>
      <c r="E1225" s="260"/>
      <c r="F1225" s="207"/>
      <c r="G1225" s="260"/>
      <c r="H1225" s="206"/>
      <c r="I1225" s="206"/>
      <c r="J1225" s="206"/>
      <c r="K1225" s="206" t="s">
        <v>1279</v>
      </c>
      <c r="L1225" s="277"/>
      <c r="M1225" s="244"/>
      <c r="N1225" s="389"/>
      <c r="O1225" s="389"/>
      <c r="P1225" s="389"/>
      <c r="Q1225" s="212"/>
      <c r="R1225" s="212"/>
      <c r="S1225" s="212"/>
      <c r="T1225" s="212"/>
      <c r="U1225" s="212"/>
      <c r="V1225" s="212"/>
      <c r="W1225" s="212"/>
      <c r="X1225" s="212"/>
      <c r="Y1225" s="212"/>
      <c r="Z1225" s="212"/>
      <c r="AA1225" s="212"/>
      <c r="AB1225" s="212"/>
      <c r="AC1225" s="213">
        <f t="shared" ref="AC1225:AC1238" si="525">SUM(Q1225:AB1225)</f>
        <v>0</v>
      </c>
      <c r="AD1225" s="499"/>
      <c r="AE1225" s="241"/>
      <c r="AF1225" s="194"/>
      <c r="AG1225" s="194"/>
      <c r="AH1225" s="194"/>
      <c r="AI1225" s="194"/>
    </row>
    <row r="1226" hidden="1">
      <c r="A1226" s="391"/>
      <c r="B1226" s="893"/>
      <c r="C1226" s="222"/>
      <c r="D1226" s="250" t="s">
        <v>1283</v>
      </c>
      <c r="E1226" s="233"/>
      <c r="F1226" s="224"/>
      <c r="G1226" s="233"/>
      <c r="H1226" s="222"/>
      <c r="I1226" s="222"/>
      <c r="J1226" s="222"/>
      <c r="K1226" s="222" t="s">
        <v>1279</v>
      </c>
      <c r="L1226" s="225"/>
      <c r="M1226" s="236"/>
      <c r="N1226" s="285"/>
      <c r="O1226" s="285"/>
      <c r="P1226" s="285"/>
      <c r="Q1226" s="230"/>
      <c r="R1226" s="230"/>
      <c r="S1226" s="230"/>
      <c r="T1226" s="230"/>
      <c r="U1226" s="230"/>
      <c r="V1226" s="230"/>
      <c r="W1226" s="230"/>
      <c r="X1226" s="230"/>
      <c r="Y1226" s="230"/>
      <c r="Z1226" s="230"/>
      <c r="AA1226" s="230"/>
      <c r="AB1226" s="230"/>
      <c r="AC1226" s="231">
        <f t="shared" si="525"/>
        <v>0</v>
      </c>
      <c r="AD1226" s="548"/>
      <c r="AE1226" s="241"/>
      <c r="AF1226" s="194"/>
      <c r="AG1226" s="194"/>
      <c r="AH1226" s="194"/>
      <c r="AI1226" s="194"/>
    </row>
    <row r="1227" hidden="1">
      <c r="A1227" s="391"/>
      <c r="B1227" s="893"/>
      <c r="C1227" s="433"/>
      <c r="D1227" s="286" t="s">
        <v>194</v>
      </c>
      <c r="E1227" s="527"/>
      <c r="F1227" s="527"/>
      <c r="G1227" s="527"/>
      <c r="H1227" s="510"/>
      <c r="I1227" s="510"/>
      <c r="J1227" s="511"/>
      <c r="K1227" s="222" t="s">
        <v>1279</v>
      </c>
      <c r="L1227" s="536"/>
      <c r="M1227" s="513"/>
      <c r="N1227" s="514"/>
      <c r="O1227" s="514"/>
      <c r="P1227" s="514"/>
      <c r="Q1227" s="452"/>
      <c r="R1227" s="452"/>
      <c r="S1227" s="452"/>
      <c r="T1227" s="452"/>
      <c r="U1227" s="452"/>
      <c r="V1227" s="452"/>
      <c r="W1227" s="452"/>
      <c r="X1227" s="452"/>
      <c r="Y1227" s="452"/>
      <c r="Z1227" s="452"/>
      <c r="AA1227" s="452"/>
      <c r="AB1227" s="452"/>
      <c r="AC1227" s="378">
        <f t="shared" si="525"/>
        <v>0</v>
      </c>
      <c r="AD1227" s="273"/>
      <c r="AE1227" s="192"/>
      <c r="AF1227" s="194"/>
      <c r="AG1227" s="194"/>
      <c r="AH1227" s="194"/>
      <c r="AI1227" s="194"/>
    </row>
    <row r="1228" hidden="1">
      <c r="A1228" s="391"/>
      <c r="B1228" s="893"/>
      <c r="C1228" s="433"/>
      <c r="D1228" s="286" t="s">
        <v>1284</v>
      </c>
      <c r="E1228" s="527"/>
      <c r="F1228" s="527"/>
      <c r="G1228" s="527"/>
      <c r="H1228" s="510"/>
      <c r="I1228" s="510"/>
      <c r="J1228" s="511"/>
      <c r="K1228" s="222" t="s">
        <v>1279</v>
      </c>
      <c r="L1228" s="536"/>
      <c r="M1228" s="513"/>
      <c r="N1228" s="514"/>
      <c r="O1228" s="514"/>
      <c r="P1228" s="514"/>
      <c r="Q1228" s="452"/>
      <c r="R1228" s="452"/>
      <c r="S1228" s="452"/>
      <c r="T1228" s="452"/>
      <c r="U1228" s="452"/>
      <c r="V1228" s="452"/>
      <c r="W1228" s="452"/>
      <c r="X1228" s="452"/>
      <c r="Y1228" s="452"/>
      <c r="Z1228" s="452"/>
      <c r="AA1228" s="452"/>
      <c r="AB1228" s="452"/>
      <c r="AC1228" s="378">
        <f t="shared" si="525"/>
        <v>0</v>
      </c>
      <c r="AD1228" s="273"/>
      <c r="AE1228" s="192"/>
      <c r="AF1228" s="194"/>
      <c r="AG1228" s="194"/>
      <c r="AH1228" s="194"/>
      <c r="AI1228" s="194"/>
    </row>
    <row r="1229">
      <c r="A1229" s="391"/>
      <c r="B1229" s="555"/>
      <c r="C1229" s="433">
        <v>6.0</v>
      </c>
      <c r="D1229" s="528" t="s">
        <v>1285</v>
      </c>
      <c r="E1229" s="198" t="s">
        <v>186</v>
      </c>
      <c r="F1229" s="198" t="s">
        <v>135</v>
      </c>
      <c r="G1229" s="198" t="s">
        <v>135</v>
      </c>
      <c r="H1229" s="198" t="s">
        <v>203</v>
      </c>
      <c r="I1229" s="198" t="s">
        <v>1010</v>
      </c>
      <c r="J1229" s="198" t="s">
        <v>188</v>
      </c>
      <c r="K1229" s="529" t="s">
        <v>1275</v>
      </c>
      <c r="L1229" s="604">
        <f>1246725645</f>
        <v>1246725645</v>
      </c>
      <c r="M1229" s="531" t="s">
        <v>1286</v>
      </c>
      <c r="N1229" s="532"/>
      <c r="O1229" s="532">
        <v>45536.0</v>
      </c>
      <c r="P1229" s="532">
        <v>46538.0</v>
      </c>
      <c r="Q1229" s="439"/>
      <c r="R1229" s="439"/>
      <c r="S1229" s="439"/>
      <c r="T1229" s="439"/>
      <c r="U1229" s="439"/>
      <c r="V1229" s="439"/>
      <c r="W1229" s="439"/>
      <c r="X1229" s="439"/>
      <c r="Y1229" s="439"/>
      <c r="Z1229" s="439"/>
      <c r="AA1229" s="439"/>
      <c r="AB1229" s="439"/>
      <c r="AC1229" s="440">
        <f t="shared" si="525"/>
        <v>0</v>
      </c>
      <c r="AD1229" s="273"/>
      <c r="AE1229" s="353"/>
      <c r="AF1229" s="273"/>
      <c r="AG1229" s="273"/>
      <c r="AH1229" s="273"/>
      <c r="AI1229" s="273"/>
    </row>
    <row r="1230" hidden="1">
      <c r="A1230" s="126"/>
      <c r="B1230" s="555"/>
      <c r="C1230" s="206"/>
      <c r="D1230" s="215"/>
      <c r="E1230" s="534"/>
      <c r="F1230" s="534"/>
      <c r="G1230" s="534"/>
      <c r="H1230" s="523"/>
      <c r="I1230" s="523"/>
      <c r="J1230" s="596"/>
      <c r="K1230" s="596" t="s">
        <v>1275</v>
      </c>
      <c r="L1230" s="463"/>
      <c r="M1230" s="535"/>
      <c r="N1230" s="464"/>
      <c r="O1230" s="464"/>
      <c r="P1230" s="464"/>
      <c r="Q1230" s="447">
        <f>L1229/33</f>
        <v>37779565</v>
      </c>
      <c r="R1230" s="447">
        <v>3.7779565E7</v>
      </c>
      <c r="S1230" s="447">
        <v>3.7779565E7</v>
      </c>
      <c r="T1230" s="447">
        <v>3.7779565E7</v>
      </c>
      <c r="U1230" s="447">
        <v>3.7779565E7</v>
      </c>
      <c r="V1230" s="447">
        <v>3.7779565E7</v>
      </c>
      <c r="W1230" s="447">
        <v>3.7779565E7</v>
      </c>
      <c r="X1230" s="447">
        <v>3.7779565E7</v>
      </c>
      <c r="Y1230" s="447">
        <v>3.7779565E7</v>
      </c>
      <c r="Z1230" s="447">
        <v>3.7779565E7</v>
      </c>
      <c r="AA1230" s="447">
        <v>3.7779565E7</v>
      </c>
      <c r="AB1230" s="447">
        <v>3.7779565E7</v>
      </c>
      <c r="AC1230" s="449">
        <f t="shared" si="525"/>
        <v>453354780</v>
      </c>
      <c r="AD1230" s="273"/>
      <c r="AE1230" s="353"/>
      <c r="AF1230" s="273"/>
      <c r="AG1230" s="273"/>
      <c r="AH1230" s="273"/>
      <c r="AI1230" s="273"/>
    </row>
    <row r="1231" hidden="1">
      <c r="A1231" s="391"/>
      <c r="B1231" s="555"/>
      <c r="C1231" s="222"/>
      <c r="D1231" s="250" t="s">
        <v>1287</v>
      </c>
      <c r="E1231" s="470"/>
      <c r="F1231" s="470"/>
      <c r="G1231" s="470"/>
      <c r="H1231" s="456"/>
      <c r="I1231" s="456"/>
      <c r="J1231" s="471"/>
      <c r="K1231" s="719" t="s">
        <v>1275</v>
      </c>
      <c r="L1231" s="536"/>
      <c r="M1231" s="926"/>
      <c r="N1231" s="537"/>
      <c r="O1231" s="537"/>
      <c r="P1231" s="537"/>
      <c r="Q1231" s="452">
        <f t="shared" ref="Q1231:Q1233" si="526">57997726</f>
        <v>57997726</v>
      </c>
      <c r="R1231" s="452">
        <f t="shared" ref="R1231:R1233" si="527">51115694</f>
        <v>51115694</v>
      </c>
      <c r="S1231" s="452">
        <f t="shared" ref="S1231:S1233" si="528">48517317</f>
        <v>48517317</v>
      </c>
      <c r="T1231" s="452">
        <f t="shared" ref="T1231:T1233" si="529">S1231</f>
        <v>48517317</v>
      </c>
      <c r="U1231" s="600">
        <v>5.181E7</v>
      </c>
      <c r="V1231" s="600">
        <v>5.181E7</v>
      </c>
      <c r="W1231" s="452"/>
      <c r="X1231" s="452"/>
      <c r="Y1231" s="452"/>
      <c r="Z1231" s="452"/>
      <c r="AA1231" s="452"/>
      <c r="AB1231" s="452"/>
      <c r="AC1231" s="538">
        <f t="shared" si="525"/>
        <v>309768054</v>
      </c>
      <c r="AD1231" s="273"/>
      <c r="AE1231" s="692"/>
      <c r="AF1231" s="273"/>
      <c r="AG1231" s="273"/>
      <c r="AH1231" s="273"/>
      <c r="AI1231" s="273"/>
    </row>
    <row r="1232" hidden="1">
      <c r="A1232" s="391"/>
      <c r="B1232" s="555"/>
      <c r="C1232" s="433"/>
      <c r="D1232" s="286" t="s">
        <v>194</v>
      </c>
      <c r="E1232" s="527"/>
      <c r="F1232" s="527"/>
      <c r="G1232" s="527"/>
      <c r="H1232" s="510"/>
      <c r="I1232" s="510"/>
      <c r="J1232" s="927"/>
      <c r="K1232" s="471" t="s">
        <v>1275</v>
      </c>
      <c r="L1232" s="536"/>
      <c r="M1232" s="513"/>
      <c r="N1232" s="514"/>
      <c r="O1232" s="514"/>
      <c r="P1232" s="514"/>
      <c r="Q1232" s="452">
        <f t="shared" si="526"/>
        <v>57997726</v>
      </c>
      <c r="R1232" s="452">
        <f t="shared" si="527"/>
        <v>51115694</v>
      </c>
      <c r="S1232" s="452">
        <f t="shared" si="528"/>
        <v>48517317</v>
      </c>
      <c r="T1232" s="452">
        <f t="shared" si="529"/>
        <v>48517317</v>
      </c>
      <c r="U1232" s="600">
        <v>5.181E7</v>
      </c>
      <c r="V1232" s="600">
        <v>5.181E7</v>
      </c>
      <c r="W1232" s="452"/>
      <c r="X1232" s="452"/>
      <c r="Y1232" s="452"/>
      <c r="Z1232" s="452"/>
      <c r="AA1232" s="452"/>
      <c r="AB1232" s="452"/>
      <c r="AC1232" s="378">
        <f t="shared" si="525"/>
        <v>309768054</v>
      </c>
      <c r="AD1232" s="178"/>
      <c r="AE1232" s="692"/>
      <c r="AF1232" s="273"/>
      <c r="AG1232" s="273"/>
      <c r="AH1232" s="273"/>
      <c r="AI1232" s="273"/>
    </row>
    <row r="1233" hidden="1">
      <c r="A1233" s="391"/>
      <c r="B1233" s="555"/>
      <c r="C1233" s="433"/>
      <c r="D1233" s="286" t="s">
        <v>1288</v>
      </c>
      <c r="E1233" s="527"/>
      <c r="F1233" s="527"/>
      <c r="G1233" s="527"/>
      <c r="H1233" s="510"/>
      <c r="I1233" s="510"/>
      <c r="J1233" s="927"/>
      <c r="K1233" s="471" t="s">
        <v>1275</v>
      </c>
      <c r="L1233" s="536"/>
      <c r="M1233" s="513"/>
      <c r="N1233" s="514"/>
      <c r="O1233" s="514"/>
      <c r="P1233" s="514"/>
      <c r="Q1233" s="452">
        <f t="shared" si="526"/>
        <v>57997726</v>
      </c>
      <c r="R1233" s="452">
        <f t="shared" si="527"/>
        <v>51115694</v>
      </c>
      <c r="S1233" s="452">
        <f t="shared" si="528"/>
        <v>48517317</v>
      </c>
      <c r="T1233" s="452">
        <f t="shared" si="529"/>
        <v>48517317</v>
      </c>
      <c r="U1233" s="600">
        <v>5.181E7</v>
      </c>
      <c r="V1233" s="600">
        <v>5.181E7</v>
      </c>
      <c r="W1233" s="452"/>
      <c r="X1233" s="452"/>
      <c r="Y1233" s="452"/>
      <c r="Z1233" s="452"/>
      <c r="AA1233" s="452"/>
      <c r="AB1233" s="452"/>
      <c r="AC1233" s="378">
        <f t="shared" si="525"/>
        <v>309768054</v>
      </c>
      <c r="AD1233" s="178"/>
      <c r="AE1233" s="692"/>
      <c r="AF1233" s="273"/>
      <c r="AG1233" s="273"/>
      <c r="AH1233" s="273"/>
      <c r="AI1233" s="273"/>
    </row>
    <row r="1234">
      <c r="A1234" s="391"/>
      <c r="B1234" s="555"/>
      <c r="C1234" s="433">
        <v>7.0</v>
      </c>
      <c r="D1234" s="528" t="s">
        <v>1289</v>
      </c>
      <c r="E1234" s="198" t="s">
        <v>186</v>
      </c>
      <c r="F1234" s="198" t="s">
        <v>135</v>
      </c>
      <c r="G1234" s="198" t="s">
        <v>135</v>
      </c>
      <c r="H1234" s="198" t="s">
        <v>203</v>
      </c>
      <c r="I1234" s="198" t="s">
        <v>1010</v>
      </c>
      <c r="J1234" s="198" t="s">
        <v>188</v>
      </c>
      <c r="K1234" s="529" t="s">
        <v>1275</v>
      </c>
      <c r="L1234" s="604">
        <f>3852322617</f>
        <v>3852322617</v>
      </c>
      <c r="M1234" s="531" t="s">
        <v>1290</v>
      </c>
      <c r="N1234" s="532"/>
      <c r="O1234" s="532">
        <v>45536.0</v>
      </c>
      <c r="P1234" s="532">
        <v>46538.0</v>
      </c>
      <c r="Q1234" s="439"/>
      <c r="R1234" s="439"/>
      <c r="S1234" s="439"/>
      <c r="T1234" s="439"/>
      <c r="U1234" s="439"/>
      <c r="V1234" s="439"/>
      <c r="W1234" s="439"/>
      <c r="X1234" s="439"/>
      <c r="Y1234" s="439"/>
      <c r="Z1234" s="439"/>
      <c r="AA1234" s="439"/>
      <c r="AB1234" s="439"/>
      <c r="AC1234" s="440">
        <f t="shared" si="525"/>
        <v>0</v>
      </c>
      <c r="AD1234" s="178"/>
      <c r="AE1234" s="692"/>
      <c r="AF1234" s="273"/>
      <c r="AG1234" s="273"/>
      <c r="AH1234" s="273"/>
      <c r="AI1234" s="273"/>
    </row>
    <row r="1235" hidden="1">
      <c r="A1235" s="126"/>
      <c r="B1235" s="555"/>
      <c r="C1235" s="206"/>
      <c r="D1235" s="207"/>
      <c r="E1235" s="534"/>
      <c r="F1235" s="534"/>
      <c r="G1235" s="534"/>
      <c r="H1235" s="523"/>
      <c r="I1235" s="523"/>
      <c r="J1235" s="596"/>
      <c r="K1235" s="596" t="s">
        <v>1275</v>
      </c>
      <c r="L1235" s="463"/>
      <c r="M1235" s="535"/>
      <c r="N1235" s="464"/>
      <c r="O1235" s="464"/>
      <c r="P1235" s="464"/>
      <c r="Q1235" s="447">
        <f>L1234/33</f>
        <v>116737049</v>
      </c>
      <c r="R1235" s="447">
        <v>1.16737049E8</v>
      </c>
      <c r="S1235" s="447">
        <v>1.16737049E8</v>
      </c>
      <c r="T1235" s="447">
        <v>1.16737049E8</v>
      </c>
      <c r="U1235" s="447">
        <v>1.16737049E8</v>
      </c>
      <c r="V1235" s="447">
        <v>1.16737049E8</v>
      </c>
      <c r="W1235" s="447">
        <v>1.16737049E8</v>
      </c>
      <c r="X1235" s="447">
        <v>1.16737049E8</v>
      </c>
      <c r="Y1235" s="447">
        <v>1.16737049E8</v>
      </c>
      <c r="Z1235" s="447">
        <v>1.16737049E8</v>
      </c>
      <c r="AA1235" s="447">
        <v>1.16737049E8</v>
      </c>
      <c r="AB1235" s="447">
        <v>1.16737049E8</v>
      </c>
      <c r="AC1235" s="449">
        <f t="shared" si="525"/>
        <v>1400844588</v>
      </c>
      <c r="AD1235" s="548"/>
      <c r="AE1235" s="692"/>
      <c r="AF1235" s="273"/>
      <c r="AG1235" s="273"/>
      <c r="AH1235" s="273"/>
      <c r="AI1235" s="273"/>
    </row>
    <row r="1236" hidden="1">
      <c r="A1236" s="391"/>
      <c r="B1236" s="555"/>
      <c r="C1236" s="222"/>
      <c r="D1236" s="250" t="s">
        <v>1291</v>
      </c>
      <c r="E1236" s="470"/>
      <c r="F1236" s="470"/>
      <c r="G1236" s="470"/>
      <c r="H1236" s="456"/>
      <c r="I1236" s="456"/>
      <c r="J1236" s="471"/>
      <c r="K1236" s="719" t="s">
        <v>1275</v>
      </c>
      <c r="L1236" s="536"/>
      <c r="M1236" s="926"/>
      <c r="N1236" s="537"/>
      <c r="O1236" s="537"/>
      <c r="P1236" s="537"/>
      <c r="Q1236" s="452">
        <f t="shared" ref="Q1236:S1236" si="530">117546681</f>
        <v>117546681</v>
      </c>
      <c r="R1236" s="452">
        <f t="shared" si="530"/>
        <v>117546681</v>
      </c>
      <c r="S1236" s="452">
        <f t="shared" si="530"/>
        <v>117546681</v>
      </c>
      <c r="T1236" s="452">
        <f t="shared" ref="T1236:T1238" si="532">S1236</f>
        <v>117546681</v>
      </c>
      <c r="U1236" s="600">
        <v>1.15119E8</v>
      </c>
      <c r="V1236" s="600">
        <v>1.15119E8</v>
      </c>
      <c r="W1236" s="452"/>
      <c r="X1236" s="452"/>
      <c r="Y1236" s="452"/>
      <c r="Z1236" s="452"/>
      <c r="AA1236" s="452"/>
      <c r="AB1236" s="452"/>
      <c r="AC1236" s="538">
        <f t="shared" si="525"/>
        <v>700424724</v>
      </c>
      <c r="AD1236" s="273"/>
      <c r="AE1236" s="353"/>
      <c r="AF1236" s="273"/>
      <c r="AG1236" s="273"/>
      <c r="AH1236" s="273"/>
      <c r="AI1236" s="273"/>
    </row>
    <row r="1237" hidden="1">
      <c r="A1237" s="391"/>
      <c r="B1237" s="432"/>
      <c r="C1237" s="222"/>
      <c r="D1237" s="286" t="s">
        <v>194</v>
      </c>
      <c r="E1237" s="233"/>
      <c r="F1237" s="233"/>
      <c r="G1237" s="233"/>
      <c r="H1237" s="234"/>
      <c r="I1237" s="234"/>
      <c r="J1237" s="471"/>
      <c r="K1237" s="471" t="s">
        <v>1275</v>
      </c>
      <c r="L1237" s="287"/>
      <c r="M1237" s="236"/>
      <c r="N1237" s="285"/>
      <c r="O1237" s="285"/>
      <c r="P1237" s="285"/>
      <c r="Q1237" s="452">
        <f t="shared" ref="Q1237:S1237" si="531">117546681</f>
        <v>117546681</v>
      </c>
      <c r="R1237" s="452">
        <f t="shared" si="531"/>
        <v>117546681</v>
      </c>
      <c r="S1237" s="452">
        <f t="shared" si="531"/>
        <v>117546681</v>
      </c>
      <c r="T1237" s="452">
        <f t="shared" si="532"/>
        <v>117546681</v>
      </c>
      <c r="U1237" s="600">
        <v>1.15119E8</v>
      </c>
      <c r="V1237" s="600">
        <v>1.15119E8</v>
      </c>
      <c r="W1237" s="288"/>
      <c r="X1237" s="288"/>
      <c r="Y1237" s="288"/>
      <c r="Z1237" s="288"/>
      <c r="AA1237" s="288"/>
      <c r="AB1237" s="288"/>
      <c r="AC1237" s="378">
        <f t="shared" si="525"/>
        <v>700424724</v>
      </c>
      <c r="AD1237" s="273"/>
      <c r="AE1237" s="353"/>
      <c r="AF1237" s="273"/>
      <c r="AG1237" s="273"/>
      <c r="AH1237" s="273"/>
      <c r="AI1237" s="273"/>
    </row>
    <row r="1238" hidden="1">
      <c r="A1238" s="391"/>
      <c r="B1238" s="432"/>
      <c r="C1238" s="222"/>
      <c r="D1238" s="286" t="s">
        <v>1292</v>
      </c>
      <c r="E1238" s="233"/>
      <c r="F1238" s="233"/>
      <c r="G1238" s="233"/>
      <c r="H1238" s="234"/>
      <c r="I1238" s="234"/>
      <c r="J1238" s="471"/>
      <c r="K1238" s="471" t="s">
        <v>1275</v>
      </c>
      <c r="L1238" s="287"/>
      <c r="M1238" s="236"/>
      <c r="N1238" s="285"/>
      <c r="O1238" s="285"/>
      <c r="P1238" s="285"/>
      <c r="Q1238" s="452">
        <f t="shared" ref="Q1238:S1238" si="533">117546681</f>
        <v>117546681</v>
      </c>
      <c r="R1238" s="452">
        <f t="shared" si="533"/>
        <v>117546681</v>
      </c>
      <c r="S1238" s="452">
        <f t="shared" si="533"/>
        <v>117546681</v>
      </c>
      <c r="T1238" s="452">
        <f t="shared" si="532"/>
        <v>117546681</v>
      </c>
      <c r="U1238" s="600">
        <v>1.15119E8</v>
      </c>
      <c r="V1238" s="600">
        <v>1.15119E8</v>
      </c>
      <c r="W1238" s="288"/>
      <c r="X1238" s="288"/>
      <c r="Y1238" s="288"/>
      <c r="Z1238" s="288"/>
      <c r="AA1238" s="288"/>
      <c r="AB1238" s="288"/>
      <c r="AC1238" s="378">
        <f t="shared" si="525"/>
        <v>700424724</v>
      </c>
      <c r="AD1238" s="273"/>
      <c r="AE1238" s="353"/>
      <c r="AF1238" s="273"/>
      <c r="AG1238" s="273"/>
      <c r="AH1238" s="273"/>
      <c r="AI1238" s="273"/>
    </row>
    <row r="1239" hidden="1">
      <c r="A1239" s="126"/>
      <c r="B1239" s="181"/>
      <c r="C1239" s="289"/>
      <c r="D1239" s="290" t="s">
        <v>1293</v>
      </c>
      <c r="E1239" s="487"/>
      <c r="F1239" s="487"/>
      <c r="G1239" s="487"/>
      <c r="H1239" s="291"/>
      <c r="I1239" s="291"/>
      <c r="J1239" s="292"/>
      <c r="K1239" s="292" t="s">
        <v>1257</v>
      </c>
      <c r="L1239" s="293"/>
      <c r="M1239" s="294"/>
      <c r="N1239" s="295"/>
      <c r="O1239" s="295"/>
      <c r="P1239" s="295"/>
      <c r="Q1239" s="296">
        <f t="shared" ref="Q1239:AC1239" si="534">Q1197+Q1198+Q1199+Q1200+Q1201+Q1206+Q1207+Q1208+Q1209+Q1210</f>
        <v>97712697.5</v>
      </c>
      <c r="R1239" s="296">
        <f t="shared" si="534"/>
        <v>97712697.5</v>
      </c>
      <c r="S1239" s="296">
        <f t="shared" si="534"/>
        <v>97712697.5</v>
      </c>
      <c r="T1239" s="296">
        <f t="shared" si="534"/>
        <v>33198799</v>
      </c>
      <c r="U1239" s="296">
        <f t="shared" si="534"/>
        <v>33198799</v>
      </c>
      <c r="V1239" s="296">
        <f t="shared" si="534"/>
        <v>0</v>
      </c>
      <c r="W1239" s="296">
        <f t="shared" si="534"/>
        <v>0</v>
      </c>
      <c r="X1239" s="296">
        <f t="shared" si="534"/>
        <v>0</v>
      </c>
      <c r="Y1239" s="296">
        <f t="shared" si="534"/>
        <v>0</v>
      </c>
      <c r="Z1239" s="296">
        <f t="shared" si="534"/>
        <v>0</v>
      </c>
      <c r="AA1239" s="296">
        <f t="shared" si="534"/>
        <v>0</v>
      </c>
      <c r="AB1239" s="296">
        <f t="shared" si="534"/>
        <v>0</v>
      </c>
      <c r="AC1239" s="297">
        <f t="shared" si="534"/>
        <v>359535690.5</v>
      </c>
      <c r="AD1239" s="273"/>
      <c r="AE1239" s="241"/>
      <c r="AF1239" s="194"/>
      <c r="AG1239" s="194"/>
      <c r="AH1239" s="194"/>
      <c r="AI1239" s="194"/>
    </row>
    <row r="1240" hidden="1">
      <c r="A1240" s="391"/>
      <c r="B1240" s="298"/>
      <c r="C1240" s="299"/>
      <c r="D1240" s="300" t="s">
        <v>1294</v>
      </c>
      <c r="E1240" s="488"/>
      <c r="F1240" s="488"/>
      <c r="G1240" s="488"/>
      <c r="H1240" s="301"/>
      <c r="I1240" s="301"/>
      <c r="J1240" s="302"/>
      <c r="K1240" s="303" t="s">
        <v>1257</v>
      </c>
      <c r="L1240" s="304"/>
      <c r="M1240" s="305"/>
      <c r="N1240" s="306"/>
      <c r="O1240" s="306"/>
      <c r="P1240" s="306"/>
      <c r="Q1240" s="490">
        <f t="shared" ref="Q1240:AB1240" si="535">Q1202+Q1211+Q1216+Q1221+Q1226+Q1231+Q1236</f>
        <v>278210232.8</v>
      </c>
      <c r="R1240" s="490">
        <f t="shared" si="535"/>
        <v>271328200.8</v>
      </c>
      <c r="S1240" s="490">
        <f t="shared" si="535"/>
        <v>268729823.8</v>
      </c>
      <c r="T1240" s="490">
        <f t="shared" si="535"/>
        <v>268729823.8</v>
      </c>
      <c r="U1240" s="490">
        <f t="shared" si="535"/>
        <v>269594825.8</v>
      </c>
      <c r="V1240" s="490">
        <f t="shared" si="535"/>
        <v>269594825.8</v>
      </c>
      <c r="W1240" s="307">
        <f t="shared" si="535"/>
        <v>0</v>
      </c>
      <c r="X1240" s="307">
        <f t="shared" si="535"/>
        <v>0</v>
      </c>
      <c r="Y1240" s="307">
        <f t="shared" si="535"/>
        <v>0</v>
      </c>
      <c r="Z1240" s="307">
        <f t="shared" si="535"/>
        <v>0</v>
      </c>
      <c r="AA1240" s="307">
        <f t="shared" si="535"/>
        <v>0</v>
      </c>
      <c r="AB1240" s="307">
        <f t="shared" si="535"/>
        <v>0</v>
      </c>
      <c r="AC1240" s="309">
        <f t="shared" ref="AC1240:AC1243" si="537">SUM(Q1240:AB1240)</f>
        <v>1626187733</v>
      </c>
      <c r="AD1240" s="284"/>
      <c r="AE1240" s="241"/>
      <c r="AF1240" s="310">
        <f t="shared" ref="AF1240:AF1241" si="538">AC1240-AC1241</f>
        <v>615994954.6</v>
      </c>
      <c r="AG1240" s="311" t="s">
        <v>226</v>
      </c>
      <c r="AH1240" s="194"/>
      <c r="AI1240" s="194"/>
    </row>
    <row r="1241" hidden="1">
      <c r="A1241" s="391"/>
      <c r="B1241" s="923"/>
      <c r="C1241" s="312"/>
      <c r="D1241" s="313" t="s">
        <v>1295</v>
      </c>
      <c r="E1241" s="331"/>
      <c r="F1241" s="331"/>
      <c r="G1241" s="331"/>
      <c r="H1241" s="199"/>
      <c r="I1241" s="199"/>
      <c r="J1241" s="377"/>
      <c r="K1241" s="719" t="s">
        <v>1257</v>
      </c>
      <c r="L1241" s="287"/>
      <c r="M1241" s="236"/>
      <c r="N1241" s="285"/>
      <c r="O1241" s="285"/>
      <c r="P1241" s="285"/>
      <c r="Q1241" s="314">
        <f t="shared" ref="Q1241:V1241" si="536">Q1203+Q1212+Q1217+Q1222+Q1227+Q1232+Q1237</f>
        <v>175544407</v>
      </c>
      <c r="R1241" s="314">
        <f t="shared" si="536"/>
        <v>168662375</v>
      </c>
      <c r="S1241" s="314">
        <f t="shared" si="536"/>
        <v>166063998</v>
      </c>
      <c r="T1241" s="314">
        <f t="shared" si="536"/>
        <v>166063998</v>
      </c>
      <c r="U1241" s="314">
        <f t="shared" si="536"/>
        <v>166929000</v>
      </c>
      <c r="V1241" s="314">
        <f t="shared" si="536"/>
        <v>166929000</v>
      </c>
      <c r="W1241" s="288"/>
      <c r="X1241" s="288"/>
      <c r="Y1241" s="288"/>
      <c r="Z1241" s="288"/>
      <c r="AA1241" s="288"/>
      <c r="AB1241" s="288"/>
      <c r="AC1241" s="378">
        <f t="shared" si="537"/>
        <v>1010192778</v>
      </c>
      <c r="AD1241" s="214"/>
      <c r="AE1241" s="241"/>
      <c r="AF1241" s="316">
        <f t="shared" si="538"/>
        <v>0</v>
      </c>
      <c r="AG1241" s="311" t="s">
        <v>228</v>
      </c>
      <c r="AH1241" s="194"/>
      <c r="AI1241" s="194"/>
    </row>
    <row r="1242" hidden="1">
      <c r="A1242" s="391"/>
      <c r="B1242" s="923"/>
      <c r="C1242" s="317"/>
      <c r="D1242" s="318" t="s">
        <v>1296</v>
      </c>
      <c r="E1242" s="493"/>
      <c r="F1242" s="493"/>
      <c r="G1242" s="493"/>
      <c r="H1242" s="494"/>
      <c r="I1242" s="494"/>
      <c r="J1242" s="722"/>
      <c r="K1242" s="723" t="s">
        <v>1257</v>
      </c>
      <c r="L1242" s="321"/>
      <c r="M1242" s="322"/>
      <c r="N1242" s="323"/>
      <c r="O1242" s="323"/>
      <c r="P1242" s="323"/>
      <c r="Q1242" s="325">
        <f t="shared" ref="Q1242:V1242" si="539">Q1204+Q1213+Q1218+Q1223+Q1228+Q1233+Q1238</f>
        <v>175544407</v>
      </c>
      <c r="R1242" s="325">
        <f t="shared" si="539"/>
        <v>168662375</v>
      </c>
      <c r="S1242" s="325">
        <f t="shared" si="539"/>
        <v>166063998</v>
      </c>
      <c r="T1242" s="325">
        <f t="shared" si="539"/>
        <v>166063998</v>
      </c>
      <c r="U1242" s="325">
        <f t="shared" si="539"/>
        <v>166929000</v>
      </c>
      <c r="V1242" s="325">
        <f t="shared" si="539"/>
        <v>166929000</v>
      </c>
      <c r="W1242" s="324"/>
      <c r="X1242" s="324"/>
      <c r="Y1242" s="324"/>
      <c r="Z1242" s="324"/>
      <c r="AA1242" s="324"/>
      <c r="AB1242" s="324"/>
      <c r="AC1242" s="539">
        <f t="shared" si="537"/>
        <v>1010192778</v>
      </c>
      <c r="AD1242" s="214"/>
      <c r="AE1242" s="241"/>
      <c r="AF1242" s="328">
        <f>AC1242</f>
        <v>1010192778</v>
      </c>
      <c r="AG1242" s="311" t="s">
        <v>148</v>
      </c>
      <c r="AH1242" s="194"/>
      <c r="AI1242" s="194"/>
    </row>
    <row r="1243">
      <c r="A1243" s="391"/>
      <c r="B1243" s="924">
        <v>16.0</v>
      </c>
      <c r="C1243" s="329" t="s">
        <v>45</v>
      </c>
      <c r="D1243" s="724"/>
      <c r="E1243" s="496"/>
      <c r="F1243" s="496"/>
      <c r="G1243" s="496"/>
      <c r="H1243" s="332"/>
      <c r="I1243" s="332"/>
      <c r="J1243" s="333"/>
      <c r="K1243" s="928" t="s">
        <v>1297</v>
      </c>
      <c r="L1243" s="929">
        <f>L1244+L1249+L1254</f>
        <v>0</v>
      </c>
      <c r="M1243" s="930"/>
      <c r="N1243" s="931"/>
      <c r="O1243" s="931"/>
      <c r="P1243" s="931"/>
      <c r="Q1243" s="337">
        <f t="shared" ref="Q1243:AB1243" si="540">Q1244+Q1249+Q1254</f>
        <v>0</v>
      </c>
      <c r="R1243" s="337">
        <f t="shared" si="540"/>
        <v>0</v>
      </c>
      <c r="S1243" s="337">
        <f t="shared" si="540"/>
        <v>0</v>
      </c>
      <c r="T1243" s="337">
        <f t="shared" si="540"/>
        <v>32415417</v>
      </c>
      <c r="U1243" s="337">
        <f t="shared" si="540"/>
        <v>68008667</v>
      </c>
      <c r="V1243" s="337">
        <f t="shared" si="540"/>
        <v>68008667</v>
      </c>
      <c r="W1243" s="337">
        <f t="shared" si="540"/>
        <v>68008667</v>
      </c>
      <c r="X1243" s="337">
        <f t="shared" si="540"/>
        <v>68008667</v>
      </c>
      <c r="Y1243" s="337">
        <f t="shared" si="540"/>
        <v>68008667</v>
      </c>
      <c r="Z1243" s="337">
        <f t="shared" si="540"/>
        <v>68008667</v>
      </c>
      <c r="AA1243" s="337">
        <f t="shared" si="540"/>
        <v>78508667</v>
      </c>
      <c r="AB1243" s="337">
        <f t="shared" si="540"/>
        <v>78508667</v>
      </c>
      <c r="AC1243" s="338">
        <f t="shared" si="537"/>
        <v>597484753</v>
      </c>
      <c r="AD1243" s="178">
        <f>AC1243-AE1243</f>
        <v>0</v>
      </c>
      <c r="AE1243" s="241">
        <f>'Proker New'!Y215</f>
        <v>597484753</v>
      </c>
      <c r="AF1243" s="193" t="str">
        <f>C1243</f>
        <v>DI Yogyakarta - Yogyakarta (JOG)</v>
      </c>
      <c r="AG1243" s="194"/>
      <c r="AH1243" s="194"/>
      <c r="AI1243" s="194"/>
    </row>
    <row r="1244">
      <c r="A1244" s="391"/>
      <c r="B1244" s="893"/>
      <c r="C1244" s="196">
        <v>1.0</v>
      </c>
      <c r="D1244" s="925" t="s">
        <v>1298</v>
      </c>
      <c r="E1244" s="198" t="s">
        <v>186</v>
      </c>
      <c r="F1244" s="198" t="s">
        <v>103</v>
      </c>
      <c r="G1244" s="198" t="s">
        <v>86</v>
      </c>
      <c r="H1244" s="198" t="s">
        <v>86</v>
      </c>
      <c r="I1244" s="198" t="s">
        <v>187</v>
      </c>
      <c r="J1244" s="198" t="s">
        <v>188</v>
      </c>
      <c r="K1244" s="606" t="s">
        <v>1297</v>
      </c>
      <c r="L1244" s="895"/>
      <c r="M1244" s="240"/>
      <c r="N1244" s="388"/>
      <c r="O1244" s="388"/>
      <c r="P1244" s="388"/>
      <c r="Q1244" s="896"/>
      <c r="R1244" s="896"/>
      <c r="S1244" s="896"/>
      <c r="T1244" s="896"/>
      <c r="U1244" s="896"/>
      <c r="V1244" s="896"/>
      <c r="W1244" s="896"/>
      <c r="X1244" s="896"/>
      <c r="Y1244" s="896"/>
      <c r="Z1244" s="896"/>
      <c r="AA1244" s="896">
        <v>1.05E7</v>
      </c>
      <c r="AB1244" s="896">
        <v>1.05E7</v>
      </c>
      <c r="AC1244" s="897">
        <v>2.1E7</v>
      </c>
      <c r="AD1244" s="273">
        <f>SUM(Q1244:AB1244)-AC1244</f>
        <v>0</v>
      </c>
      <c r="AE1244" s="241"/>
      <c r="AF1244" s="194"/>
      <c r="AG1244" s="194"/>
      <c r="AH1244" s="194"/>
      <c r="AI1244" s="194"/>
    </row>
    <row r="1245" hidden="1">
      <c r="A1245" s="126"/>
      <c r="B1245" s="893"/>
      <c r="C1245" s="206"/>
      <c r="D1245" s="207"/>
      <c r="E1245" s="260"/>
      <c r="F1245" s="207"/>
      <c r="G1245" s="260"/>
      <c r="H1245" s="206"/>
      <c r="I1245" s="206"/>
      <c r="J1245" s="206"/>
      <c r="K1245" s="206" t="s">
        <v>1297</v>
      </c>
      <c r="L1245" s="277"/>
      <c r="M1245" s="244"/>
      <c r="N1245" s="389"/>
      <c r="O1245" s="389"/>
      <c r="P1245" s="389"/>
      <c r="Q1245" s="212"/>
      <c r="R1245" s="212"/>
      <c r="S1245" s="212"/>
      <c r="T1245" s="212"/>
      <c r="U1245" s="212"/>
      <c r="V1245" s="212"/>
      <c r="W1245" s="212"/>
      <c r="X1245" s="212"/>
      <c r="Y1245" s="212"/>
      <c r="Z1245" s="212"/>
      <c r="AA1245" s="212"/>
      <c r="AB1245" s="212"/>
      <c r="AC1245" s="213">
        <f t="shared" ref="AC1245:AC1248" si="541">SUM(Q1245:AB1245)</f>
        <v>0</v>
      </c>
      <c r="AD1245" s="548"/>
      <c r="AE1245" s="241"/>
      <c r="AF1245" s="194"/>
      <c r="AG1245" s="194"/>
      <c r="AH1245" s="194"/>
      <c r="AI1245" s="194"/>
    </row>
    <row r="1246" hidden="1">
      <c r="A1246" s="391"/>
      <c r="B1246" s="893"/>
      <c r="C1246" s="222"/>
      <c r="D1246" s="250" t="s">
        <v>1299</v>
      </c>
      <c r="E1246" s="233"/>
      <c r="F1246" s="224"/>
      <c r="G1246" s="233"/>
      <c r="H1246" s="222"/>
      <c r="I1246" s="222"/>
      <c r="J1246" s="222"/>
      <c r="K1246" s="222" t="s">
        <v>1297</v>
      </c>
      <c r="L1246" s="225"/>
      <c r="M1246" s="236"/>
      <c r="N1246" s="285"/>
      <c r="O1246" s="285"/>
      <c r="P1246" s="285"/>
      <c r="Q1246" s="230"/>
      <c r="R1246" s="230"/>
      <c r="S1246" s="230"/>
      <c r="T1246" s="230"/>
      <c r="U1246" s="230"/>
      <c r="V1246" s="230"/>
      <c r="W1246" s="230"/>
      <c r="X1246" s="230"/>
      <c r="Y1246" s="230"/>
      <c r="Z1246" s="230"/>
      <c r="AA1246" s="230"/>
      <c r="AB1246" s="230"/>
      <c r="AC1246" s="231">
        <f t="shared" si="541"/>
        <v>0</v>
      </c>
      <c r="AD1246" s="273"/>
      <c r="AE1246" s="192"/>
      <c r="AF1246" s="194"/>
      <c r="AG1246" s="194"/>
      <c r="AH1246" s="194"/>
      <c r="AI1246" s="194"/>
    </row>
    <row r="1247" hidden="1">
      <c r="A1247" s="391"/>
      <c r="B1247" s="893"/>
      <c r="C1247" s="196"/>
      <c r="D1247" s="286" t="s">
        <v>194</v>
      </c>
      <c r="E1247" s="233"/>
      <c r="F1247" s="233"/>
      <c r="G1247" s="233"/>
      <c r="H1247" s="234"/>
      <c r="I1247" s="234"/>
      <c r="J1247" s="222"/>
      <c r="K1247" s="222" t="s">
        <v>1297</v>
      </c>
      <c r="L1247" s="225"/>
      <c r="M1247" s="236"/>
      <c r="N1247" s="285"/>
      <c r="O1247" s="285"/>
      <c r="P1247" s="285"/>
      <c r="Q1247" s="718"/>
      <c r="R1247" s="718"/>
      <c r="S1247" s="718"/>
      <c r="T1247" s="718"/>
      <c r="U1247" s="718"/>
      <c r="V1247" s="718"/>
      <c r="W1247" s="718"/>
      <c r="X1247" s="718"/>
      <c r="Y1247" s="718"/>
      <c r="Z1247" s="718"/>
      <c r="AA1247" s="718"/>
      <c r="AB1247" s="718"/>
      <c r="AC1247" s="378">
        <f t="shared" si="541"/>
        <v>0</v>
      </c>
      <c r="AD1247" s="273"/>
      <c r="AE1247" s="192"/>
      <c r="AF1247" s="194"/>
      <c r="AG1247" s="194"/>
      <c r="AH1247" s="194"/>
      <c r="AI1247" s="194"/>
    </row>
    <row r="1248" hidden="1">
      <c r="A1248" s="391"/>
      <c r="B1248" s="893"/>
      <c r="C1248" s="196"/>
      <c r="D1248" s="286" t="s">
        <v>1300</v>
      </c>
      <c r="E1248" s="233"/>
      <c r="F1248" s="233"/>
      <c r="G1248" s="233"/>
      <c r="H1248" s="234"/>
      <c r="I1248" s="234"/>
      <c r="J1248" s="222"/>
      <c r="K1248" s="222" t="s">
        <v>1297</v>
      </c>
      <c r="L1248" s="225"/>
      <c r="M1248" s="236"/>
      <c r="N1248" s="285"/>
      <c r="O1248" s="285"/>
      <c r="P1248" s="285"/>
      <c r="Q1248" s="718"/>
      <c r="R1248" s="718"/>
      <c r="S1248" s="718"/>
      <c r="T1248" s="718"/>
      <c r="U1248" s="718"/>
      <c r="V1248" s="718"/>
      <c r="W1248" s="718"/>
      <c r="X1248" s="718"/>
      <c r="Y1248" s="718"/>
      <c r="Z1248" s="718"/>
      <c r="AA1248" s="718"/>
      <c r="AB1248" s="718"/>
      <c r="AC1248" s="378">
        <f t="shared" si="541"/>
        <v>0</v>
      </c>
      <c r="AD1248" s="273"/>
      <c r="AE1248" s="192"/>
      <c r="AF1248" s="194"/>
      <c r="AG1248" s="194"/>
      <c r="AH1248" s="194"/>
      <c r="AI1248" s="194"/>
    </row>
    <row r="1249">
      <c r="A1249" s="391"/>
      <c r="B1249" s="893"/>
      <c r="C1249" s="196">
        <v>2.0</v>
      </c>
      <c r="D1249" s="925" t="s">
        <v>1301</v>
      </c>
      <c r="E1249" s="198" t="s">
        <v>186</v>
      </c>
      <c r="F1249" s="198" t="s">
        <v>103</v>
      </c>
      <c r="G1249" s="198" t="s">
        <v>86</v>
      </c>
      <c r="H1249" s="198" t="s">
        <v>86</v>
      </c>
      <c r="I1249" s="198" t="s">
        <v>187</v>
      </c>
      <c r="J1249" s="198" t="s">
        <v>188</v>
      </c>
      <c r="K1249" s="606" t="s">
        <v>1297</v>
      </c>
      <c r="L1249" s="895"/>
      <c r="M1249" s="240"/>
      <c r="N1249" s="388"/>
      <c r="O1249" s="388"/>
      <c r="P1249" s="388"/>
      <c r="Q1249" s="896"/>
      <c r="R1249" s="896"/>
      <c r="S1249" s="896"/>
      <c r="T1249" s="896"/>
      <c r="U1249" s="896">
        <v>3.559325E7</v>
      </c>
      <c r="V1249" s="896">
        <v>3.559325E7</v>
      </c>
      <c r="W1249" s="896">
        <v>3.559325E7</v>
      </c>
      <c r="X1249" s="896">
        <v>3.559325E7</v>
      </c>
      <c r="Y1249" s="896">
        <v>3.559325E7</v>
      </c>
      <c r="Z1249" s="896">
        <v>3.559325E7</v>
      </c>
      <c r="AA1249" s="896">
        <v>3.559325E7</v>
      </c>
      <c r="AB1249" s="896">
        <v>3.559325E7</v>
      </c>
      <c r="AC1249" s="897">
        <v>2.84746E8</v>
      </c>
      <c r="AD1249" s="273">
        <f>SUM(Q1249:AB1249)-AC1249</f>
        <v>0</v>
      </c>
      <c r="AE1249" s="241"/>
      <c r="AF1249" s="194"/>
      <c r="AG1249" s="194"/>
      <c r="AH1249" s="194"/>
      <c r="AI1249" s="194"/>
    </row>
    <row r="1250" hidden="1">
      <c r="A1250" s="126"/>
      <c r="B1250" s="893"/>
      <c r="C1250" s="206"/>
      <c r="D1250" s="207"/>
      <c r="E1250" s="260"/>
      <c r="F1250" s="207"/>
      <c r="G1250" s="260"/>
      <c r="H1250" s="206"/>
      <c r="I1250" s="206"/>
      <c r="J1250" s="206"/>
      <c r="K1250" s="206" t="s">
        <v>1297</v>
      </c>
      <c r="L1250" s="277"/>
      <c r="M1250" s="244"/>
      <c r="N1250" s="389"/>
      <c r="O1250" s="389"/>
      <c r="P1250" s="389"/>
      <c r="Q1250" s="212"/>
      <c r="R1250" s="212"/>
      <c r="S1250" s="212"/>
      <c r="T1250" s="212"/>
      <c r="U1250" s="212"/>
      <c r="V1250" s="212"/>
      <c r="W1250" s="212"/>
      <c r="X1250" s="212"/>
      <c r="Y1250" s="212"/>
      <c r="Z1250" s="212"/>
      <c r="AA1250" s="212"/>
      <c r="AB1250" s="212"/>
      <c r="AC1250" s="213">
        <f t="shared" ref="AC1250:AC1253" si="542">SUM(Q1250:AB1250)</f>
        <v>0</v>
      </c>
      <c r="AD1250" s="178"/>
      <c r="AE1250" s="241"/>
      <c r="AF1250" s="194"/>
      <c r="AG1250" s="194"/>
      <c r="AH1250" s="194"/>
      <c r="AI1250" s="194"/>
    </row>
    <row r="1251" hidden="1">
      <c r="A1251" s="391"/>
      <c r="B1251" s="893"/>
      <c r="C1251" s="222"/>
      <c r="D1251" s="250" t="s">
        <v>1302</v>
      </c>
      <c r="E1251" s="233"/>
      <c r="F1251" s="224"/>
      <c r="G1251" s="233"/>
      <c r="H1251" s="222"/>
      <c r="I1251" s="222"/>
      <c r="J1251" s="222"/>
      <c r="K1251" s="222" t="s">
        <v>1297</v>
      </c>
      <c r="L1251" s="225"/>
      <c r="M1251" s="236"/>
      <c r="N1251" s="285"/>
      <c r="O1251" s="285"/>
      <c r="P1251" s="285"/>
      <c r="Q1251" s="230"/>
      <c r="R1251" s="230"/>
      <c r="S1251" s="230"/>
      <c r="T1251" s="230"/>
      <c r="U1251" s="230"/>
      <c r="V1251" s="230"/>
      <c r="W1251" s="230"/>
      <c r="X1251" s="230"/>
      <c r="Y1251" s="230"/>
      <c r="Z1251" s="230"/>
      <c r="AA1251" s="230"/>
      <c r="AB1251" s="230"/>
      <c r="AC1251" s="231">
        <f t="shared" si="542"/>
        <v>0</v>
      </c>
      <c r="AD1251" s="178"/>
      <c r="AE1251" s="241"/>
      <c r="AF1251" s="194"/>
      <c r="AG1251" s="194"/>
      <c r="AH1251" s="194"/>
      <c r="AI1251" s="194"/>
    </row>
    <row r="1252" hidden="1">
      <c r="A1252" s="391"/>
      <c r="B1252" s="893"/>
      <c r="C1252" s="196"/>
      <c r="D1252" s="286" t="s">
        <v>194</v>
      </c>
      <c r="E1252" s="233"/>
      <c r="F1252" s="233"/>
      <c r="G1252" s="233"/>
      <c r="H1252" s="234"/>
      <c r="I1252" s="234"/>
      <c r="J1252" s="222"/>
      <c r="K1252" s="222" t="s">
        <v>1297</v>
      </c>
      <c r="L1252" s="225"/>
      <c r="M1252" s="236"/>
      <c r="N1252" s="285"/>
      <c r="O1252" s="285"/>
      <c r="P1252" s="285"/>
      <c r="Q1252" s="718"/>
      <c r="R1252" s="718"/>
      <c r="S1252" s="718"/>
      <c r="T1252" s="718"/>
      <c r="U1252" s="718"/>
      <c r="V1252" s="718"/>
      <c r="W1252" s="718"/>
      <c r="X1252" s="718"/>
      <c r="Y1252" s="718"/>
      <c r="Z1252" s="718"/>
      <c r="AA1252" s="718"/>
      <c r="AB1252" s="718"/>
      <c r="AC1252" s="378">
        <f t="shared" si="542"/>
        <v>0</v>
      </c>
      <c r="AD1252" s="273"/>
      <c r="AE1252" s="241"/>
      <c r="AF1252" s="194"/>
      <c r="AG1252" s="194"/>
      <c r="AH1252" s="194"/>
      <c r="AI1252" s="194"/>
    </row>
    <row r="1253" hidden="1">
      <c r="A1253" s="391"/>
      <c r="B1253" s="893"/>
      <c r="C1253" s="196"/>
      <c r="D1253" s="286" t="s">
        <v>1303</v>
      </c>
      <c r="E1253" s="233"/>
      <c r="F1253" s="233"/>
      <c r="G1253" s="233"/>
      <c r="H1253" s="234"/>
      <c r="I1253" s="234"/>
      <c r="J1253" s="222"/>
      <c r="K1253" s="222" t="s">
        <v>1297</v>
      </c>
      <c r="L1253" s="225"/>
      <c r="M1253" s="236"/>
      <c r="N1253" s="285"/>
      <c r="O1253" s="285"/>
      <c r="P1253" s="285"/>
      <c r="Q1253" s="718"/>
      <c r="R1253" s="718"/>
      <c r="S1253" s="718"/>
      <c r="T1253" s="718"/>
      <c r="U1253" s="718"/>
      <c r="V1253" s="718"/>
      <c r="W1253" s="718"/>
      <c r="X1253" s="718"/>
      <c r="Y1253" s="718"/>
      <c r="Z1253" s="718"/>
      <c r="AA1253" s="718"/>
      <c r="AB1253" s="718"/>
      <c r="AC1253" s="378">
        <f t="shared" si="542"/>
        <v>0</v>
      </c>
      <c r="AD1253" s="273"/>
      <c r="AE1253" s="241"/>
      <c r="AF1253" s="194"/>
      <c r="AG1253" s="194"/>
      <c r="AH1253" s="194"/>
      <c r="AI1253" s="194"/>
    </row>
    <row r="1254">
      <c r="A1254" s="391"/>
      <c r="B1254" s="893"/>
      <c r="C1254" s="196">
        <v>3.0</v>
      </c>
      <c r="D1254" s="925" t="s">
        <v>1304</v>
      </c>
      <c r="E1254" s="198" t="s">
        <v>186</v>
      </c>
      <c r="F1254" s="198" t="s">
        <v>103</v>
      </c>
      <c r="G1254" s="198" t="s">
        <v>86</v>
      </c>
      <c r="H1254" s="198" t="s">
        <v>86</v>
      </c>
      <c r="I1254" s="198" t="s">
        <v>187</v>
      </c>
      <c r="J1254" s="198" t="s">
        <v>188</v>
      </c>
      <c r="K1254" s="606" t="s">
        <v>1297</v>
      </c>
      <c r="L1254" s="895"/>
      <c r="M1254" s="240"/>
      <c r="N1254" s="388"/>
      <c r="O1254" s="388"/>
      <c r="P1254" s="388"/>
      <c r="Q1254" s="896"/>
      <c r="R1254" s="896"/>
      <c r="S1254" s="896"/>
      <c r="T1254" s="896">
        <v>3.2415417E7</v>
      </c>
      <c r="U1254" s="896">
        <v>3.2415417E7</v>
      </c>
      <c r="V1254" s="896">
        <v>3.2415417E7</v>
      </c>
      <c r="W1254" s="896">
        <v>3.2415417E7</v>
      </c>
      <c r="X1254" s="896">
        <v>3.2415417E7</v>
      </c>
      <c r="Y1254" s="896">
        <v>3.2415417E7</v>
      </c>
      <c r="Z1254" s="896">
        <v>3.2415417E7</v>
      </c>
      <c r="AA1254" s="896">
        <v>3.2415417E7</v>
      </c>
      <c r="AB1254" s="896">
        <v>3.2415417E7</v>
      </c>
      <c r="AC1254" s="897">
        <v>2.91738753E8</v>
      </c>
      <c r="AD1254" s="273">
        <f>SUM(Q1254:AB1254)-AC1254</f>
        <v>0</v>
      </c>
      <c r="AE1254" s="241"/>
      <c r="AF1254" s="194"/>
      <c r="AG1254" s="194"/>
      <c r="AH1254" s="194"/>
      <c r="AI1254" s="194"/>
    </row>
    <row r="1255" hidden="1">
      <c r="A1255" s="126"/>
      <c r="B1255" s="893"/>
      <c r="C1255" s="206"/>
      <c r="D1255" s="207"/>
      <c r="E1255" s="260"/>
      <c r="F1255" s="207"/>
      <c r="G1255" s="260"/>
      <c r="H1255" s="206"/>
      <c r="I1255" s="206"/>
      <c r="J1255" s="206"/>
      <c r="K1255" s="206" t="s">
        <v>1297</v>
      </c>
      <c r="L1255" s="277"/>
      <c r="M1255" s="244"/>
      <c r="N1255" s="389"/>
      <c r="O1255" s="389"/>
      <c r="P1255" s="389"/>
      <c r="Q1255" s="212"/>
      <c r="R1255" s="212"/>
      <c r="S1255" s="212"/>
      <c r="T1255" s="212"/>
      <c r="U1255" s="212"/>
      <c r="V1255" s="212"/>
      <c r="W1255" s="212"/>
      <c r="X1255" s="212"/>
      <c r="Y1255" s="212"/>
      <c r="Z1255" s="212"/>
      <c r="AA1255" s="212"/>
      <c r="AB1255" s="212"/>
      <c r="AC1255" s="213">
        <f t="shared" ref="AC1255:AC1262" si="543">SUM(Q1255:AB1255)</f>
        <v>0</v>
      </c>
      <c r="AD1255" s="264"/>
      <c r="AE1255" s="241"/>
      <c r="AF1255" s="194"/>
      <c r="AG1255" s="194"/>
      <c r="AH1255" s="194"/>
      <c r="AI1255" s="194"/>
    </row>
    <row r="1256" hidden="1">
      <c r="A1256" s="391"/>
      <c r="B1256" s="893"/>
      <c r="C1256" s="222"/>
      <c r="D1256" s="250" t="s">
        <v>1305</v>
      </c>
      <c r="E1256" s="233"/>
      <c r="F1256" s="224"/>
      <c r="G1256" s="233"/>
      <c r="H1256" s="222"/>
      <c r="I1256" s="222"/>
      <c r="J1256" s="222"/>
      <c r="K1256" s="222" t="s">
        <v>1297</v>
      </c>
      <c r="L1256" s="225"/>
      <c r="M1256" s="236"/>
      <c r="N1256" s="285"/>
      <c r="O1256" s="285"/>
      <c r="P1256" s="285"/>
      <c r="Q1256" s="230"/>
      <c r="R1256" s="230"/>
      <c r="S1256" s="230"/>
      <c r="T1256" s="230"/>
      <c r="U1256" s="230"/>
      <c r="V1256" s="230"/>
      <c r="W1256" s="230"/>
      <c r="X1256" s="230"/>
      <c r="Y1256" s="230"/>
      <c r="Z1256" s="230"/>
      <c r="AA1256" s="230"/>
      <c r="AB1256" s="230"/>
      <c r="AC1256" s="231">
        <f t="shared" si="543"/>
        <v>0</v>
      </c>
      <c r="AD1256" s="214"/>
      <c r="AE1256" s="192"/>
      <c r="AF1256" s="194"/>
      <c r="AG1256" s="194"/>
      <c r="AH1256" s="194"/>
      <c r="AI1256" s="194"/>
    </row>
    <row r="1257" ht="15.75" hidden="1" customHeight="1">
      <c r="A1257" s="391"/>
      <c r="B1257" s="902"/>
      <c r="C1257" s="222"/>
      <c r="D1257" s="286" t="s">
        <v>194</v>
      </c>
      <c r="E1257" s="233"/>
      <c r="F1257" s="233"/>
      <c r="G1257" s="233"/>
      <c r="H1257" s="234"/>
      <c r="I1257" s="234"/>
      <c r="J1257" s="222"/>
      <c r="K1257" s="222" t="s">
        <v>1297</v>
      </c>
      <c r="L1257" s="287"/>
      <c r="M1257" s="236"/>
      <c r="N1257" s="285"/>
      <c r="O1257" s="285"/>
      <c r="P1257" s="285"/>
      <c r="Q1257" s="288"/>
      <c r="R1257" s="288"/>
      <c r="S1257" s="288"/>
      <c r="T1257" s="288"/>
      <c r="U1257" s="288"/>
      <c r="V1257" s="288"/>
      <c r="W1257" s="288"/>
      <c r="X1257" s="288"/>
      <c r="Y1257" s="288"/>
      <c r="Z1257" s="288"/>
      <c r="AA1257" s="288"/>
      <c r="AB1257" s="288"/>
      <c r="AC1257" s="378">
        <f t="shared" si="543"/>
        <v>0</v>
      </c>
      <c r="AD1257" s="214"/>
      <c r="AE1257" s="192"/>
      <c r="AF1257" s="194"/>
      <c r="AG1257" s="194"/>
      <c r="AH1257" s="194"/>
      <c r="AI1257" s="194"/>
    </row>
    <row r="1258" ht="15.75" hidden="1" customHeight="1">
      <c r="A1258" s="391"/>
      <c r="B1258" s="902"/>
      <c r="C1258" s="222"/>
      <c r="D1258" s="286" t="s">
        <v>1306</v>
      </c>
      <c r="E1258" s="233"/>
      <c r="F1258" s="233"/>
      <c r="G1258" s="233"/>
      <c r="H1258" s="234"/>
      <c r="I1258" s="234"/>
      <c r="J1258" s="222"/>
      <c r="K1258" s="222" t="s">
        <v>1297</v>
      </c>
      <c r="L1258" s="287"/>
      <c r="M1258" s="236"/>
      <c r="N1258" s="285"/>
      <c r="O1258" s="285"/>
      <c r="P1258" s="285"/>
      <c r="Q1258" s="288"/>
      <c r="R1258" s="288"/>
      <c r="S1258" s="288"/>
      <c r="T1258" s="288"/>
      <c r="U1258" s="288"/>
      <c r="V1258" s="288"/>
      <c r="W1258" s="288"/>
      <c r="X1258" s="288"/>
      <c r="Y1258" s="288"/>
      <c r="Z1258" s="288"/>
      <c r="AA1258" s="288"/>
      <c r="AB1258" s="288"/>
      <c r="AC1258" s="378">
        <f t="shared" si="543"/>
        <v>0</v>
      </c>
      <c r="AD1258" s="214"/>
      <c r="AE1258" s="192"/>
      <c r="AF1258" s="194"/>
      <c r="AG1258" s="194"/>
      <c r="AH1258" s="194"/>
      <c r="AI1258" s="194"/>
    </row>
    <row r="1259" ht="15.75" hidden="1" customHeight="1">
      <c r="A1259" s="126"/>
      <c r="B1259" s="181"/>
      <c r="C1259" s="289"/>
      <c r="D1259" s="290" t="s">
        <v>1307</v>
      </c>
      <c r="E1259" s="487"/>
      <c r="F1259" s="487"/>
      <c r="G1259" s="487"/>
      <c r="H1259" s="291"/>
      <c r="I1259" s="291"/>
      <c r="J1259" s="292"/>
      <c r="K1259" s="292" t="s">
        <v>1297</v>
      </c>
      <c r="L1259" s="293"/>
      <c r="M1259" s="294"/>
      <c r="N1259" s="295"/>
      <c r="O1259" s="295"/>
      <c r="P1259" s="295"/>
      <c r="Q1259" s="296">
        <f t="shared" ref="Q1259:AB1259" si="544">Q1245+Q1250+Q1255</f>
        <v>0</v>
      </c>
      <c r="R1259" s="296">
        <f t="shared" si="544"/>
        <v>0</v>
      </c>
      <c r="S1259" s="296">
        <f t="shared" si="544"/>
        <v>0</v>
      </c>
      <c r="T1259" s="296">
        <f t="shared" si="544"/>
        <v>0</v>
      </c>
      <c r="U1259" s="296">
        <f t="shared" si="544"/>
        <v>0</v>
      </c>
      <c r="V1259" s="296">
        <f t="shared" si="544"/>
        <v>0</v>
      </c>
      <c r="W1259" s="296">
        <f t="shared" si="544"/>
        <v>0</v>
      </c>
      <c r="X1259" s="296">
        <f t="shared" si="544"/>
        <v>0</v>
      </c>
      <c r="Y1259" s="296">
        <f t="shared" si="544"/>
        <v>0</v>
      </c>
      <c r="Z1259" s="296">
        <f t="shared" si="544"/>
        <v>0</v>
      </c>
      <c r="AA1259" s="296">
        <f t="shared" si="544"/>
        <v>0</v>
      </c>
      <c r="AB1259" s="296">
        <f t="shared" si="544"/>
        <v>0</v>
      </c>
      <c r="AC1259" s="547">
        <f t="shared" si="543"/>
        <v>0</v>
      </c>
      <c r="AD1259" s="214"/>
      <c r="AE1259" s="192"/>
      <c r="AF1259" s="194"/>
      <c r="AG1259" s="194"/>
      <c r="AH1259" s="194"/>
      <c r="AI1259" s="194"/>
    </row>
    <row r="1260" hidden="1">
      <c r="A1260" s="391"/>
      <c r="B1260" s="298"/>
      <c r="C1260" s="299"/>
      <c r="D1260" s="300" t="s">
        <v>1308</v>
      </c>
      <c r="E1260" s="488"/>
      <c r="F1260" s="488"/>
      <c r="G1260" s="488"/>
      <c r="H1260" s="301"/>
      <c r="I1260" s="301"/>
      <c r="J1260" s="489"/>
      <c r="K1260" s="932" t="s">
        <v>1297</v>
      </c>
      <c r="L1260" s="304"/>
      <c r="M1260" s="305"/>
      <c r="N1260" s="306"/>
      <c r="O1260" s="306"/>
      <c r="P1260" s="306"/>
      <c r="Q1260" s="307">
        <f t="shared" ref="Q1260:AB1260" si="545">Q1246+Q1251+Q1256</f>
        <v>0</v>
      </c>
      <c r="R1260" s="307">
        <f t="shared" si="545"/>
        <v>0</v>
      </c>
      <c r="S1260" s="307">
        <f t="shared" si="545"/>
        <v>0</v>
      </c>
      <c r="T1260" s="307">
        <f t="shared" si="545"/>
        <v>0</v>
      </c>
      <c r="U1260" s="307">
        <f t="shared" si="545"/>
        <v>0</v>
      </c>
      <c r="V1260" s="307">
        <f t="shared" si="545"/>
        <v>0</v>
      </c>
      <c r="W1260" s="307">
        <f t="shared" si="545"/>
        <v>0</v>
      </c>
      <c r="X1260" s="307">
        <f t="shared" si="545"/>
        <v>0</v>
      </c>
      <c r="Y1260" s="307">
        <f t="shared" si="545"/>
        <v>0</v>
      </c>
      <c r="Z1260" s="307">
        <f t="shared" si="545"/>
        <v>0</v>
      </c>
      <c r="AA1260" s="307">
        <f t="shared" si="545"/>
        <v>0</v>
      </c>
      <c r="AB1260" s="307">
        <f t="shared" si="545"/>
        <v>0</v>
      </c>
      <c r="AC1260" s="309">
        <f t="shared" si="543"/>
        <v>0</v>
      </c>
      <c r="AD1260" s="214"/>
      <c r="AE1260" s="241"/>
      <c r="AF1260" s="310">
        <f t="shared" ref="AF1260:AF1261" si="547">AC1260-AC1261</f>
        <v>0</v>
      </c>
      <c r="AG1260" s="311" t="s">
        <v>226</v>
      </c>
      <c r="AH1260" s="194"/>
      <c r="AI1260" s="194"/>
    </row>
    <row r="1261" hidden="1">
      <c r="A1261" s="391"/>
      <c r="B1261" s="923"/>
      <c r="C1261" s="312"/>
      <c r="D1261" s="313" t="s">
        <v>1309</v>
      </c>
      <c r="E1261" s="331"/>
      <c r="F1261" s="331"/>
      <c r="G1261" s="331"/>
      <c r="H1261" s="199"/>
      <c r="I1261" s="199"/>
      <c r="J1261" s="222"/>
      <c r="K1261" s="933" t="s">
        <v>1297</v>
      </c>
      <c r="L1261" s="287"/>
      <c r="M1261" s="236"/>
      <c r="N1261" s="285"/>
      <c r="O1261" s="285"/>
      <c r="P1261" s="285"/>
      <c r="Q1261" s="288">
        <f t="shared" ref="Q1261:AB1261" si="546">Q1247+Q1252+Q1257</f>
        <v>0</v>
      </c>
      <c r="R1261" s="288">
        <f t="shared" si="546"/>
        <v>0</v>
      </c>
      <c r="S1261" s="288">
        <f t="shared" si="546"/>
        <v>0</v>
      </c>
      <c r="T1261" s="288">
        <f t="shared" si="546"/>
        <v>0</v>
      </c>
      <c r="U1261" s="288">
        <f t="shared" si="546"/>
        <v>0</v>
      </c>
      <c r="V1261" s="288">
        <f t="shared" si="546"/>
        <v>0</v>
      </c>
      <c r="W1261" s="288">
        <f t="shared" si="546"/>
        <v>0</v>
      </c>
      <c r="X1261" s="288">
        <f t="shared" si="546"/>
        <v>0</v>
      </c>
      <c r="Y1261" s="288">
        <f t="shared" si="546"/>
        <v>0</v>
      </c>
      <c r="Z1261" s="288">
        <f t="shared" si="546"/>
        <v>0</v>
      </c>
      <c r="AA1261" s="288">
        <f t="shared" si="546"/>
        <v>0</v>
      </c>
      <c r="AB1261" s="288">
        <f t="shared" si="546"/>
        <v>0</v>
      </c>
      <c r="AC1261" s="378">
        <f t="shared" si="543"/>
        <v>0</v>
      </c>
      <c r="AD1261" s="214"/>
      <c r="AE1261" s="192"/>
      <c r="AF1261" s="316">
        <f t="shared" si="547"/>
        <v>0</v>
      </c>
      <c r="AG1261" s="311" t="s">
        <v>228</v>
      </c>
      <c r="AH1261" s="194"/>
      <c r="AI1261" s="194"/>
    </row>
    <row r="1262" hidden="1">
      <c r="A1262" s="391"/>
      <c r="B1262" s="923"/>
      <c r="C1262" s="317"/>
      <c r="D1262" s="318" t="s">
        <v>1310</v>
      </c>
      <c r="E1262" s="493"/>
      <c r="F1262" s="493"/>
      <c r="G1262" s="493"/>
      <c r="H1262" s="494"/>
      <c r="I1262" s="494"/>
      <c r="J1262" s="320"/>
      <c r="K1262" s="934" t="s">
        <v>1297</v>
      </c>
      <c r="L1262" s="321"/>
      <c r="M1262" s="322"/>
      <c r="N1262" s="323"/>
      <c r="O1262" s="323"/>
      <c r="P1262" s="323"/>
      <c r="Q1262" s="324">
        <f t="shared" ref="Q1262:AB1262" si="548">Q1248+Q1253+Q1258</f>
        <v>0</v>
      </c>
      <c r="R1262" s="324">
        <f t="shared" si="548"/>
        <v>0</v>
      </c>
      <c r="S1262" s="324">
        <f t="shared" si="548"/>
        <v>0</v>
      </c>
      <c r="T1262" s="324">
        <f t="shared" si="548"/>
        <v>0</v>
      </c>
      <c r="U1262" s="324">
        <f t="shared" si="548"/>
        <v>0</v>
      </c>
      <c r="V1262" s="324">
        <f t="shared" si="548"/>
        <v>0</v>
      </c>
      <c r="W1262" s="324">
        <f t="shared" si="548"/>
        <v>0</v>
      </c>
      <c r="X1262" s="324">
        <f t="shared" si="548"/>
        <v>0</v>
      </c>
      <c r="Y1262" s="324">
        <f t="shared" si="548"/>
        <v>0</v>
      </c>
      <c r="Z1262" s="324">
        <f t="shared" si="548"/>
        <v>0</v>
      </c>
      <c r="AA1262" s="324">
        <f t="shared" si="548"/>
        <v>0</v>
      </c>
      <c r="AB1262" s="324">
        <f t="shared" si="548"/>
        <v>0</v>
      </c>
      <c r="AC1262" s="539">
        <f t="shared" si="543"/>
        <v>0</v>
      </c>
      <c r="AD1262" s="214"/>
      <c r="AE1262" s="192"/>
      <c r="AF1262" s="328">
        <f>AC1262</f>
        <v>0</v>
      </c>
      <c r="AG1262" s="311" t="s">
        <v>148</v>
      </c>
      <c r="AH1262" s="194"/>
      <c r="AI1262" s="194"/>
    </row>
    <row r="1263">
      <c r="A1263" s="391"/>
      <c r="B1263" s="924">
        <v>17.0</v>
      </c>
      <c r="C1263" s="329" t="s">
        <v>46</v>
      </c>
      <c r="D1263" s="724"/>
      <c r="E1263" s="496"/>
      <c r="F1263" s="496"/>
      <c r="G1263" s="496"/>
      <c r="H1263" s="332"/>
      <c r="I1263" s="332"/>
      <c r="J1263" s="333"/>
      <c r="K1263" s="928" t="s">
        <v>1311</v>
      </c>
      <c r="L1263" s="929">
        <f>L1264+L1275+L1289+L1295+L1302+L1309</f>
        <v>643131645</v>
      </c>
      <c r="M1263" s="930"/>
      <c r="N1263" s="931"/>
      <c r="O1263" s="931"/>
      <c r="P1263" s="931"/>
      <c r="Q1263" s="337">
        <f t="shared" ref="Q1263:AC1263" si="549">Q1264+Q1274+Q1287+Q1294+Q1301+Q1308+Q1316</f>
        <v>502191491</v>
      </c>
      <c r="R1263" s="337">
        <f t="shared" si="549"/>
        <v>502191491</v>
      </c>
      <c r="S1263" s="337">
        <f t="shared" si="549"/>
        <v>502191491</v>
      </c>
      <c r="T1263" s="337">
        <f t="shared" si="549"/>
        <v>502191491</v>
      </c>
      <c r="U1263" s="337">
        <f t="shared" si="549"/>
        <v>502191491</v>
      </c>
      <c r="V1263" s="337">
        <f t="shared" si="549"/>
        <v>502191491</v>
      </c>
      <c r="W1263" s="337">
        <f t="shared" si="549"/>
        <v>502191491</v>
      </c>
      <c r="X1263" s="337">
        <f t="shared" si="549"/>
        <v>502191491</v>
      </c>
      <c r="Y1263" s="337">
        <f t="shared" si="549"/>
        <v>672627401</v>
      </c>
      <c r="Z1263" s="337">
        <f t="shared" si="549"/>
        <v>672627401</v>
      </c>
      <c r="AA1263" s="337">
        <f t="shared" si="549"/>
        <v>672627401</v>
      </c>
      <c r="AB1263" s="337">
        <f t="shared" si="549"/>
        <v>672627401</v>
      </c>
      <c r="AC1263" s="338">
        <f t="shared" si="549"/>
        <v>6708041532</v>
      </c>
      <c r="AD1263" s="178">
        <f>AC1263-AE1263</f>
        <v>0</v>
      </c>
      <c r="AE1263" s="192">
        <f>'Proker New'!Y219</f>
        <v>6708041532</v>
      </c>
      <c r="AF1263" s="193" t="str">
        <f>C1263</f>
        <v>Jawa Timur - Surabaya (SUB)</v>
      </c>
      <c r="AG1263" s="194"/>
      <c r="AH1263" s="194"/>
      <c r="AI1263" s="194"/>
    </row>
    <row r="1264" ht="35.25" customHeight="1">
      <c r="A1264" s="391"/>
      <c r="B1264" s="893"/>
      <c r="C1264" s="196">
        <v>1.0</v>
      </c>
      <c r="D1264" s="925" t="s">
        <v>1312</v>
      </c>
      <c r="E1264" s="198" t="s">
        <v>186</v>
      </c>
      <c r="F1264" s="198" t="s">
        <v>103</v>
      </c>
      <c r="G1264" s="198" t="s">
        <v>86</v>
      </c>
      <c r="H1264" s="198" t="s">
        <v>86</v>
      </c>
      <c r="I1264" s="198" t="s">
        <v>187</v>
      </c>
      <c r="J1264" s="198" t="s">
        <v>188</v>
      </c>
      <c r="K1264" s="606" t="s">
        <v>1313</v>
      </c>
      <c r="L1264" s="895"/>
      <c r="M1264" s="240"/>
      <c r="N1264" s="388"/>
      <c r="O1264" s="388"/>
      <c r="P1264" s="388"/>
      <c r="Q1264" s="896"/>
      <c r="R1264" s="896"/>
      <c r="S1264" s="896"/>
      <c r="T1264" s="896"/>
      <c r="U1264" s="896"/>
      <c r="V1264" s="896"/>
      <c r="W1264" s="896"/>
      <c r="X1264" s="896"/>
      <c r="Y1264" s="896">
        <v>1.7043591E8</v>
      </c>
      <c r="Z1264" s="896">
        <v>1.7043591E8</v>
      </c>
      <c r="AA1264" s="896">
        <v>1.7043591E8</v>
      </c>
      <c r="AB1264" s="896">
        <v>1.7043591E8</v>
      </c>
      <c r="AC1264" s="897">
        <v>6.8174364E8</v>
      </c>
      <c r="AD1264" s="273">
        <f>SUM(Q1264:AB1264)-AC1264</f>
        <v>0</v>
      </c>
      <c r="AE1264" s="192"/>
      <c r="AF1264" s="194"/>
      <c r="AG1264" s="194"/>
      <c r="AH1264" s="194"/>
      <c r="AI1264" s="194"/>
    </row>
    <row r="1265" hidden="1">
      <c r="A1265" s="126"/>
      <c r="B1265" s="893"/>
      <c r="C1265" s="206"/>
      <c r="D1265" s="207"/>
      <c r="E1265" s="260"/>
      <c r="F1265" s="207"/>
      <c r="G1265" s="260"/>
      <c r="H1265" s="206"/>
      <c r="I1265" s="206"/>
      <c r="J1265" s="206"/>
      <c r="K1265" s="206" t="s">
        <v>1313</v>
      </c>
      <c r="L1265" s="277"/>
      <c r="M1265" s="244"/>
      <c r="N1265" s="389"/>
      <c r="O1265" s="389"/>
      <c r="P1265" s="389"/>
      <c r="Q1265" s="212"/>
      <c r="R1265" s="212"/>
      <c r="S1265" s="212"/>
      <c r="T1265" s="212"/>
      <c r="U1265" s="212"/>
      <c r="V1265" s="212"/>
      <c r="W1265" s="212"/>
      <c r="X1265" s="212"/>
      <c r="Y1265" s="212"/>
      <c r="Z1265" s="212"/>
      <c r="AA1265" s="212"/>
      <c r="AB1265" s="212"/>
      <c r="AC1265" s="213">
        <f t="shared" ref="AC1265:AC1269" si="550">SUM(Q1265:AB1265)</f>
        <v>0</v>
      </c>
      <c r="AD1265" s="273"/>
      <c r="AE1265" s="241"/>
      <c r="AF1265" s="194"/>
      <c r="AG1265" s="194"/>
      <c r="AH1265" s="194"/>
      <c r="AI1265" s="194"/>
    </row>
    <row r="1266" hidden="1">
      <c r="A1266" s="391"/>
      <c r="B1266" s="893"/>
      <c r="C1266" s="222"/>
      <c r="D1266" s="250" t="s">
        <v>1314</v>
      </c>
      <c r="E1266" s="233"/>
      <c r="F1266" s="224"/>
      <c r="G1266" s="233"/>
      <c r="H1266" s="222"/>
      <c r="I1266" s="222"/>
      <c r="J1266" s="222"/>
      <c r="K1266" s="222" t="s">
        <v>1313</v>
      </c>
      <c r="L1266" s="225"/>
      <c r="M1266" s="236"/>
      <c r="N1266" s="285"/>
      <c r="O1266" s="285"/>
      <c r="P1266" s="285"/>
      <c r="Q1266" s="230"/>
      <c r="R1266" s="230"/>
      <c r="S1266" s="230"/>
      <c r="T1266" s="230"/>
      <c r="U1266" s="230"/>
      <c r="V1266" s="230"/>
      <c r="W1266" s="230"/>
      <c r="X1266" s="230"/>
      <c r="Y1266" s="230"/>
      <c r="Z1266" s="230"/>
      <c r="AA1266" s="230"/>
      <c r="AB1266" s="230"/>
      <c r="AC1266" s="231">
        <f t="shared" si="550"/>
        <v>0</v>
      </c>
      <c r="AD1266" s="264"/>
      <c r="AE1266" s="241"/>
      <c r="AF1266" s="194"/>
      <c r="AG1266" s="194"/>
      <c r="AH1266" s="194"/>
      <c r="AI1266" s="194"/>
    </row>
    <row r="1267" hidden="1">
      <c r="A1267" s="391"/>
      <c r="B1267" s="893"/>
      <c r="C1267" s="196"/>
      <c r="D1267" s="286" t="s">
        <v>194</v>
      </c>
      <c r="E1267" s="509"/>
      <c r="F1267" s="509"/>
      <c r="G1267" s="509"/>
      <c r="H1267" s="510"/>
      <c r="I1267" s="510"/>
      <c r="J1267" s="511"/>
      <c r="K1267" s="222" t="s">
        <v>1313</v>
      </c>
      <c r="L1267" s="803"/>
      <c r="M1267" s="513"/>
      <c r="N1267" s="514"/>
      <c r="O1267" s="514"/>
      <c r="P1267" s="514"/>
      <c r="Q1267" s="600"/>
      <c r="R1267" s="600"/>
      <c r="S1267" s="600"/>
      <c r="T1267" s="600"/>
      <c r="U1267" s="600"/>
      <c r="V1267" s="600"/>
      <c r="W1267" s="600"/>
      <c r="X1267" s="600"/>
      <c r="Y1267" s="600"/>
      <c r="Z1267" s="600"/>
      <c r="AA1267" s="600"/>
      <c r="AB1267" s="600"/>
      <c r="AC1267" s="378">
        <f t="shared" si="550"/>
        <v>0</v>
      </c>
      <c r="AD1267" s="214"/>
      <c r="AE1267" s="192"/>
      <c r="AF1267" s="194"/>
      <c r="AG1267" s="194"/>
      <c r="AH1267" s="194"/>
      <c r="AI1267" s="194"/>
    </row>
    <row r="1268" hidden="1">
      <c r="A1268" s="391"/>
      <c r="B1268" s="893"/>
      <c r="C1268" s="196"/>
      <c r="D1268" s="286" t="s">
        <v>1315</v>
      </c>
      <c r="E1268" s="509"/>
      <c r="F1268" s="509"/>
      <c r="G1268" s="509"/>
      <c r="H1268" s="510"/>
      <c r="I1268" s="510"/>
      <c r="J1268" s="511"/>
      <c r="K1268" s="222" t="s">
        <v>1313</v>
      </c>
      <c r="L1268" s="803"/>
      <c r="M1268" s="513"/>
      <c r="N1268" s="514"/>
      <c r="O1268" s="514"/>
      <c r="P1268" s="514"/>
      <c r="Q1268" s="600"/>
      <c r="R1268" s="600"/>
      <c r="S1268" s="600"/>
      <c r="T1268" s="600"/>
      <c r="U1268" s="600"/>
      <c r="V1268" s="600"/>
      <c r="W1268" s="600"/>
      <c r="X1268" s="600"/>
      <c r="Y1268" s="600"/>
      <c r="Z1268" s="600"/>
      <c r="AA1268" s="600"/>
      <c r="AB1268" s="600"/>
      <c r="AC1268" s="378">
        <f t="shared" si="550"/>
        <v>0</v>
      </c>
      <c r="AD1268" s="214"/>
      <c r="AE1268" s="192"/>
      <c r="AF1268" s="194"/>
      <c r="AG1268" s="194"/>
      <c r="AH1268" s="194"/>
      <c r="AI1268" s="194"/>
    </row>
    <row r="1269">
      <c r="A1269" s="391"/>
      <c r="B1269" s="555"/>
      <c r="C1269" s="196">
        <v>2.0</v>
      </c>
      <c r="D1269" s="935" t="s">
        <v>1316</v>
      </c>
      <c r="E1269" s="198" t="s">
        <v>326</v>
      </c>
      <c r="F1269" s="198" t="s">
        <v>103</v>
      </c>
      <c r="G1269" s="198" t="s">
        <v>84</v>
      </c>
      <c r="H1269" s="198" t="s">
        <v>84</v>
      </c>
      <c r="I1269" s="198" t="s">
        <v>253</v>
      </c>
      <c r="J1269" s="198" t="s">
        <v>254</v>
      </c>
      <c r="K1269" s="529" t="s">
        <v>1317</v>
      </c>
      <c r="L1269" s="709">
        <v>1.35276576576577E9</v>
      </c>
      <c r="M1269" s="531" t="s">
        <v>1318</v>
      </c>
      <c r="N1269" s="532"/>
      <c r="O1269" s="532">
        <v>45562.0</v>
      </c>
      <c r="P1269" s="532">
        <v>45686.0</v>
      </c>
      <c r="Q1269" s="710"/>
      <c r="R1269" s="710"/>
      <c r="S1269" s="710"/>
      <c r="T1269" s="710"/>
      <c r="U1269" s="710"/>
      <c r="V1269" s="710"/>
      <c r="W1269" s="710"/>
      <c r="X1269" s="710"/>
      <c r="Y1269" s="710"/>
      <c r="Z1269" s="710"/>
      <c r="AA1269" s="710"/>
      <c r="AB1269" s="710"/>
      <c r="AC1269" s="440">
        <f t="shared" si="550"/>
        <v>0</v>
      </c>
      <c r="AD1269" s="214"/>
      <c r="AE1269" s="353"/>
      <c r="AF1269" s="273"/>
      <c r="AG1269" s="273"/>
      <c r="AH1269" s="273"/>
      <c r="AI1269" s="273"/>
    </row>
    <row r="1270" hidden="1">
      <c r="A1270" s="126"/>
      <c r="B1270" s="555"/>
      <c r="C1270" s="242"/>
      <c r="D1270" s="460"/>
      <c r="E1270" s="461"/>
      <c r="F1270" s="461"/>
      <c r="G1270" s="461"/>
      <c r="H1270" s="462"/>
      <c r="I1270" s="462"/>
      <c r="J1270" s="596"/>
      <c r="K1270" s="596" t="s">
        <v>1317</v>
      </c>
      <c r="L1270" s="444"/>
      <c r="M1270" s="485" t="s">
        <v>1319</v>
      </c>
      <c r="N1270" s="464"/>
      <c r="O1270" s="464"/>
      <c r="P1270" s="464"/>
      <c r="Q1270" s="448"/>
      <c r="R1270" s="448"/>
      <c r="S1270" s="448"/>
      <c r="T1270" s="448"/>
      <c r="U1270" s="448"/>
      <c r="V1270" s="448"/>
      <c r="W1270" s="448"/>
      <c r="X1270" s="448"/>
      <c r="Y1270" s="448"/>
      <c r="Z1270" s="448"/>
      <c r="AA1270" s="448"/>
      <c r="AB1270" s="448"/>
      <c r="AC1270" s="449">
        <f t="shared" ref="AC1270:AC1271" si="551">sum(Q1270:AB1270)</f>
        <v>0</v>
      </c>
      <c r="AD1270" s="214"/>
      <c r="AE1270" s="353"/>
      <c r="AF1270" s="273"/>
      <c r="AG1270" s="273"/>
      <c r="AH1270" s="273"/>
      <c r="AI1270" s="273"/>
    </row>
    <row r="1271" hidden="1">
      <c r="A1271" s="391"/>
      <c r="B1271" s="555"/>
      <c r="C1271" s="475"/>
      <c r="D1271" s="250" t="s">
        <v>1320</v>
      </c>
      <c r="E1271" s="936"/>
      <c r="F1271" s="936"/>
      <c r="G1271" s="936"/>
      <c r="H1271" s="467"/>
      <c r="I1271" s="467"/>
      <c r="J1271" s="471"/>
      <c r="K1271" s="719" t="s">
        <v>1317</v>
      </c>
      <c r="L1271" s="346"/>
      <c r="M1271" s="468"/>
      <c r="N1271" s="285"/>
      <c r="O1271" s="285"/>
      <c r="P1271" s="285"/>
      <c r="Q1271" s="600">
        <v>0.0</v>
      </c>
      <c r="R1271" s="600">
        <v>0.0</v>
      </c>
      <c r="S1271" s="600">
        <v>0.0</v>
      </c>
      <c r="T1271" s="452"/>
      <c r="U1271" s="452"/>
      <c r="V1271" s="452"/>
      <c r="W1271" s="452"/>
      <c r="X1271" s="452"/>
      <c r="Y1271" s="452"/>
      <c r="Z1271" s="452"/>
      <c r="AA1271" s="452"/>
      <c r="AB1271" s="452"/>
      <c r="AC1271" s="538">
        <f t="shared" si="551"/>
        <v>0</v>
      </c>
      <c r="AD1271" s="214"/>
      <c r="AE1271" s="692"/>
      <c r="AF1271" s="273"/>
      <c r="AG1271" s="273"/>
      <c r="AH1271" s="273"/>
      <c r="AI1271" s="273"/>
    </row>
    <row r="1272" hidden="1">
      <c r="A1272" s="391"/>
      <c r="B1272" s="555"/>
      <c r="C1272" s="196"/>
      <c r="D1272" s="286" t="s">
        <v>194</v>
      </c>
      <c r="E1272" s="233"/>
      <c r="F1272" s="233"/>
      <c r="G1272" s="233"/>
      <c r="H1272" s="234"/>
      <c r="I1272" s="234"/>
      <c r="J1272" s="471"/>
      <c r="K1272" s="471" t="s">
        <v>1317</v>
      </c>
      <c r="L1272" s="225"/>
      <c r="M1272" s="358"/>
      <c r="N1272" s="285"/>
      <c r="O1272" s="285"/>
      <c r="P1272" s="285"/>
      <c r="Q1272" s="238"/>
      <c r="R1272" s="238"/>
      <c r="S1272" s="238"/>
      <c r="T1272" s="238"/>
      <c r="U1272" s="238"/>
      <c r="V1272" s="238"/>
      <c r="W1272" s="238"/>
      <c r="X1272" s="238"/>
      <c r="Y1272" s="238"/>
      <c r="Z1272" s="238"/>
      <c r="AA1272" s="238"/>
      <c r="AB1272" s="238"/>
      <c r="AC1272" s="378">
        <f t="shared" ref="AC1272:AC1273" si="552">SUM(Q1272:AB1272)</f>
        <v>0</v>
      </c>
      <c r="AD1272" s="214"/>
      <c r="AE1272" s="692"/>
      <c r="AF1272" s="273"/>
      <c r="AG1272" s="273"/>
      <c r="AH1272" s="273"/>
      <c r="AI1272" s="273"/>
    </row>
    <row r="1273" hidden="1">
      <c r="A1273" s="391"/>
      <c r="B1273" s="555"/>
      <c r="C1273" s="196"/>
      <c r="D1273" s="286" t="s">
        <v>1321</v>
      </c>
      <c r="E1273" s="233"/>
      <c r="F1273" s="233"/>
      <c r="G1273" s="233"/>
      <c r="H1273" s="234"/>
      <c r="I1273" s="234"/>
      <c r="J1273" s="471"/>
      <c r="K1273" s="471" t="s">
        <v>1317</v>
      </c>
      <c r="L1273" s="225"/>
      <c r="M1273" s="358"/>
      <c r="N1273" s="285"/>
      <c r="O1273" s="285"/>
      <c r="P1273" s="285"/>
      <c r="Q1273" s="238"/>
      <c r="R1273" s="238"/>
      <c r="S1273" s="238"/>
      <c r="T1273" s="238"/>
      <c r="U1273" s="238"/>
      <c r="V1273" s="238"/>
      <c r="W1273" s="238"/>
      <c r="X1273" s="238"/>
      <c r="Y1273" s="238"/>
      <c r="Z1273" s="238"/>
      <c r="AA1273" s="238"/>
      <c r="AB1273" s="238"/>
      <c r="AC1273" s="378">
        <f t="shared" si="552"/>
        <v>0</v>
      </c>
      <c r="AD1273" s="214"/>
      <c r="AE1273" s="692"/>
      <c r="AF1273" s="273"/>
      <c r="AG1273" s="273"/>
      <c r="AH1273" s="273"/>
      <c r="AI1273" s="273"/>
    </row>
    <row r="1274">
      <c r="A1274" s="391"/>
      <c r="B1274" s="195"/>
      <c r="C1274" s="196">
        <v>3.0</v>
      </c>
      <c r="D1274" s="197" t="s">
        <v>1322</v>
      </c>
      <c r="E1274" s="198" t="s">
        <v>186</v>
      </c>
      <c r="F1274" s="198" t="s">
        <v>103</v>
      </c>
      <c r="G1274" s="198" t="s">
        <v>86</v>
      </c>
      <c r="H1274" s="198" t="s">
        <v>86</v>
      </c>
      <c r="I1274" s="198" t="s">
        <v>187</v>
      </c>
      <c r="J1274" s="198" t="s">
        <v>188</v>
      </c>
      <c r="K1274" s="937" t="s">
        <v>782</v>
      </c>
      <c r="L1274" s="895"/>
      <c r="M1274" s="479" t="s">
        <v>1323</v>
      </c>
      <c r="N1274" s="388"/>
      <c r="O1274" s="388"/>
      <c r="P1274" s="388"/>
      <c r="Q1274" s="204">
        <v>8.4136039E7</v>
      </c>
      <c r="R1274" s="204">
        <v>8.4136039E7</v>
      </c>
      <c r="S1274" s="204">
        <v>8.4136039E7</v>
      </c>
      <c r="T1274" s="204">
        <v>8.4136039E7</v>
      </c>
      <c r="U1274" s="204">
        <v>8.4136039E7</v>
      </c>
      <c r="V1274" s="204">
        <v>8.4136039E7</v>
      </c>
      <c r="W1274" s="204">
        <v>8.4136039E7</v>
      </c>
      <c r="X1274" s="204">
        <v>8.4136039E7</v>
      </c>
      <c r="Y1274" s="204">
        <v>8.4136039E7</v>
      </c>
      <c r="Z1274" s="204">
        <v>8.4136039E7</v>
      </c>
      <c r="AA1274" s="204">
        <v>8.4136039E7</v>
      </c>
      <c r="AB1274" s="204">
        <v>8.4136039E7</v>
      </c>
      <c r="AC1274" s="205">
        <v>1.009632468E9</v>
      </c>
      <c r="AD1274" s="178">
        <f>SUM(Q1274:AB1274)-AC1274</f>
        <v>0</v>
      </c>
      <c r="AE1274" s="241"/>
      <c r="AF1274" s="194"/>
      <c r="AG1274" s="194"/>
      <c r="AH1274" s="194"/>
      <c r="AI1274" s="194"/>
    </row>
    <row r="1275" hidden="1">
      <c r="A1275" s="126"/>
      <c r="B1275" s="195"/>
      <c r="C1275" s="206"/>
      <c r="D1275" s="688" t="s">
        <v>1324</v>
      </c>
      <c r="E1275" s="260"/>
      <c r="F1275" s="260" t="s">
        <v>103</v>
      </c>
      <c r="G1275" s="260" t="s">
        <v>86</v>
      </c>
      <c r="H1275" s="242"/>
      <c r="I1275" s="242" t="s">
        <v>1325</v>
      </c>
      <c r="J1275" s="206"/>
      <c r="K1275" s="206" t="s">
        <v>782</v>
      </c>
      <c r="L1275" s="245">
        <v>1.95698209E8</v>
      </c>
      <c r="M1275" s="209" t="s">
        <v>1326</v>
      </c>
      <c r="N1275" s="367"/>
      <c r="O1275" s="367">
        <v>45658.0</v>
      </c>
      <c r="P1275" s="367">
        <v>45747.0</v>
      </c>
      <c r="Q1275" s="249">
        <f>L1275/3</f>
        <v>65232736.33</v>
      </c>
      <c r="R1275" s="249">
        <f t="shared" ref="R1275:S1275" si="553">Q1275</f>
        <v>65232736.33</v>
      </c>
      <c r="S1275" s="249">
        <f t="shared" si="553"/>
        <v>65232736.33</v>
      </c>
      <c r="T1275" s="212"/>
      <c r="U1275" s="212"/>
      <c r="V1275" s="212"/>
      <c r="W1275" s="212"/>
      <c r="X1275" s="212"/>
      <c r="Y1275" s="212"/>
      <c r="Z1275" s="212"/>
      <c r="AA1275" s="212"/>
      <c r="AB1275" s="212"/>
      <c r="AC1275" s="213">
        <f t="shared" ref="AC1275:AC1286" si="555">SUM(Q1275:AB1275)</f>
        <v>195698209</v>
      </c>
      <c r="AD1275" s="214"/>
      <c r="AE1275" s="192"/>
      <c r="AF1275" s="194"/>
      <c r="AG1275" s="194"/>
      <c r="AH1275" s="194"/>
      <c r="AI1275" s="194"/>
    </row>
    <row r="1276" hidden="1">
      <c r="A1276" s="126"/>
      <c r="B1276" s="195"/>
      <c r="C1276" s="206"/>
      <c r="D1276" s="215"/>
      <c r="E1276" s="260"/>
      <c r="F1276" s="207"/>
      <c r="G1276" s="260"/>
      <c r="H1276" s="242"/>
      <c r="I1276" s="242"/>
      <c r="J1276" s="206"/>
      <c r="K1276" s="206" t="s">
        <v>782</v>
      </c>
      <c r="L1276" s="245">
        <f t="shared" ref="L1276:L1277" si="556">L1275</f>
        <v>195698209</v>
      </c>
      <c r="M1276" s="246" t="s">
        <v>1327</v>
      </c>
      <c r="N1276" s="367"/>
      <c r="O1276" s="367">
        <v>45748.0</v>
      </c>
      <c r="P1276" s="367">
        <v>45838.0</v>
      </c>
      <c r="Q1276" s="249"/>
      <c r="R1276" s="249"/>
      <c r="S1276" s="249"/>
      <c r="T1276" s="249">
        <f>L1276/3</f>
        <v>65232736.33</v>
      </c>
      <c r="U1276" s="249">
        <f t="shared" ref="U1276:V1276" si="554">T1276</f>
        <v>65232736.33</v>
      </c>
      <c r="V1276" s="249">
        <f t="shared" si="554"/>
        <v>65232736.33</v>
      </c>
      <c r="W1276" s="212"/>
      <c r="X1276" s="212"/>
      <c r="Y1276" s="212"/>
      <c r="Z1276" s="212"/>
      <c r="AA1276" s="212"/>
      <c r="AB1276" s="212"/>
      <c r="AC1276" s="213">
        <f t="shared" si="555"/>
        <v>195698209</v>
      </c>
      <c r="AD1276" s="214"/>
      <c r="AE1276" s="192"/>
      <c r="AF1276" s="194"/>
      <c r="AG1276" s="194"/>
      <c r="AH1276" s="194"/>
      <c r="AI1276" s="194"/>
    </row>
    <row r="1277" hidden="1">
      <c r="A1277" s="126"/>
      <c r="B1277" s="195"/>
      <c r="C1277" s="206"/>
      <c r="D1277" s="220" t="s">
        <v>1328</v>
      </c>
      <c r="E1277" s="260"/>
      <c r="F1277" s="260"/>
      <c r="G1277" s="260"/>
      <c r="H1277" s="242"/>
      <c r="I1277" s="242"/>
      <c r="J1277" s="206"/>
      <c r="K1277" s="206" t="s">
        <v>782</v>
      </c>
      <c r="L1277" s="245">
        <f t="shared" si="556"/>
        <v>195698209</v>
      </c>
      <c r="M1277" s="265" t="s">
        <v>297</v>
      </c>
      <c r="N1277" s="367"/>
      <c r="O1277" s="367">
        <f>P1276+1</f>
        <v>45839</v>
      </c>
      <c r="P1277" s="367">
        <v>45930.0</v>
      </c>
      <c r="Q1277" s="249"/>
      <c r="R1277" s="249"/>
      <c r="S1277" s="249"/>
      <c r="T1277" s="249"/>
      <c r="U1277" s="249"/>
      <c r="V1277" s="212"/>
      <c r="W1277" s="249">
        <v>6.5232736333333336E7</v>
      </c>
      <c r="X1277" s="249">
        <v>6.5232736333333336E7</v>
      </c>
      <c r="Y1277" s="249">
        <v>6.5232736333333336E7</v>
      </c>
      <c r="Z1277" s="212"/>
      <c r="AA1277" s="212"/>
      <c r="AB1277" s="212"/>
      <c r="AC1277" s="213">
        <f t="shared" si="555"/>
        <v>195698209</v>
      </c>
      <c r="AD1277" s="273"/>
      <c r="AE1277" s="192"/>
      <c r="AF1277" s="194"/>
      <c r="AG1277" s="194"/>
      <c r="AH1277" s="194"/>
      <c r="AI1277" s="194"/>
    </row>
    <row r="1278" hidden="1">
      <c r="A1278" s="391"/>
      <c r="B1278" s="195"/>
      <c r="C1278" s="196"/>
      <c r="D1278" s="250" t="s">
        <v>1329</v>
      </c>
      <c r="E1278" s="233"/>
      <c r="F1278" s="233" t="s">
        <v>103</v>
      </c>
      <c r="G1278" s="233" t="s">
        <v>86</v>
      </c>
      <c r="H1278" s="196"/>
      <c r="I1278" s="196" t="s">
        <v>1325</v>
      </c>
      <c r="J1278" s="222"/>
      <c r="K1278" s="222" t="s">
        <v>782</v>
      </c>
      <c r="L1278" s="346"/>
      <c r="M1278" s="255"/>
      <c r="N1278" s="365"/>
      <c r="O1278" s="365"/>
      <c r="P1278" s="365"/>
      <c r="Q1278" s="228">
        <f t="shared" ref="Q1278:Q1280" si="558">58243515*1.11</f>
        <v>64650301.65</v>
      </c>
      <c r="R1278" s="228">
        <f t="shared" ref="R1278:V1278" si="557">Q1278</f>
        <v>64650301.65</v>
      </c>
      <c r="S1278" s="228">
        <f t="shared" si="557"/>
        <v>64650301.65</v>
      </c>
      <c r="T1278" s="228">
        <f t="shared" si="557"/>
        <v>64650301.65</v>
      </c>
      <c r="U1278" s="228">
        <f t="shared" si="557"/>
        <v>64650301.65</v>
      </c>
      <c r="V1278" s="229">
        <f t="shared" si="557"/>
        <v>64650301.65</v>
      </c>
      <c r="W1278" s="228"/>
      <c r="X1278" s="230"/>
      <c r="Y1278" s="230"/>
      <c r="Z1278" s="230"/>
      <c r="AA1278" s="230"/>
      <c r="AB1278" s="230"/>
      <c r="AC1278" s="231">
        <f t="shared" si="555"/>
        <v>387901809.9</v>
      </c>
      <c r="AD1278" s="273"/>
      <c r="AE1278" s="241"/>
      <c r="AF1278" s="194"/>
      <c r="AG1278" s="194"/>
      <c r="AH1278" s="194"/>
      <c r="AI1278" s="194"/>
    </row>
    <row r="1279" hidden="1">
      <c r="A1279" s="391"/>
      <c r="B1279" s="195"/>
      <c r="C1279" s="222"/>
      <c r="D1279" s="286" t="s">
        <v>194</v>
      </c>
      <c r="E1279" s="233"/>
      <c r="F1279" s="233"/>
      <c r="G1279" s="233"/>
      <c r="H1279" s="196"/>
      <c r="I1279" s="196"/>
      <c r="J1279" s="222"/>
      <c r="K1279" s="222" t="s">
        <v>782</v>
      </c>
      <c r="L1279" s="346"/>
      <c r="M1279" s="255"/>
      <c r="N1279" s="365"/>
      <c r="O1279" s="365"/>
      <c r="P1279" s="365"/>
      <c r="Q1279" s="228">
        <f t="shared" si="558"/>
        <v>64650301.65</v>
      </c>
      <c r="R1279" s="228">
        <f t="shared" ref="R1279:U1279" si="559">Q1279</f>
        <v>64650301.65</v>
      </c>
      <c r="S1279" s="228">
        <f t="shared" si="559"/>
        <v>64650301.65</v>
      </c>
      <c r="T1279" s="228">
        <f t="shared" si="559"/>
        <v>64650301.65</v>
      </c>
      <c r="U1279" s="228">
        <f t="shared" si="559"/>
        <v>64650301.65</v>
      </c>
      <c r="V1279" s="230"/>
      <c r="W1279" s="230"/>
      <c r="X1279" s="230"/>
      <c r="Y1279" s="230"/>
      <c r="Z1279" s="230"/>
      <c r="AA1279" s="230"/>
      <c r="AB1279" s="230"/>
      <c r="AC1279" s="378">
        <f t="shared" si="555"/>
        <v>323251508.3</v>
      </c>
      <c r="AD1279" s="271"/>
      <c r="AE1279" s="241"/>
      <c r="AF1279" s="194"/>
      <c r="AG1279" s="194"/>
      <c r="AH1279" s="194"/>
      <c r="AI1279" s="194"/>
    </row>
    <row r="1280" hidden="1">
      <c r="A1280" s="391"/>
      <c r="B1280" s="195"/>
      <c r="C1280" s="222"/>
      <c r="D1280" s="286" t="s">
        <v>1330</v>
      </c>
      <c r="E1280" s="233"/>
      <c r="F1280" s="233"/>
      <c r="G1280" s="233"/>
      <c r="H1280" s="196"/>
      <c r="I1280" s="196"/>
      <c r="J1280" s="222"/>
      <c r="K1280" s="222" t="s">
        <v>782</v>
      </c>
      <c r="L1280" s="346"/>
      <c r="M1280" s="255"/>
      <c r="N1280" s="365"/>
      <c r="O1280" s="365"/>
      <c r="P1280" s="365"/>
      <c r="Q1280" s="228">
        <f t="shared" si="558"/>
        <v>64650301.65</v>
      </c>
      <c r="R1280" s="228">
        <f t="shared" ref="R1280:U1280" si="560">Q1280</f>
        <v>64650301.65</v>
      </c>
      <c r="S1280" s="228">
        <f t="shared" si="560"/>
        <v>64650301.65</v>
      </c>
      <c r="T1280" s="228">
        <f t="shared" si="560"/>
        <v>64650301.65</v>
      </c>
      <c r="U1280" s="228">
        <f t="shared" si="560"/>
        <v>64650301.65</v>
      </c>
      <c r="V1280" s="230"/>
      <c r="W1280" s="230"/>
      <c r="X1280" s="230"/>
      <c r="Y1280" s="230"/>
      <c r="Z1280" s="230"/>
      <c r="AA1280" s="230"/>
      <c r="AB1280" s="230"/>
      <c r="AC1280" s="378">
        <f t="shared" si="555"/>
        <v>323251508.3</v>
      </c>
      <c r="AD1280" s="271"/>
      <c r="AE1280" s="241"/>
      <c r="AF1280" s="194"/>
      <c r="AG1280" s="194"/>
      <c r="AH1280" s="194"/>
      <c r="AI1280" s="194"/>
    </row>
    <row r="1281" hidden="1">
      <c r="A1281" s="126"/>
      <c r="B1281" s="195"/>
      <c r="C1281" s="206"/>
      <c r="D1281" s="688" t="s">
        <v>1331</v>
      </c>
      <c r="E1281" s="260"/>
      <c r="F1281" s="260" t="s">
        <v>103</v>
      </c>
      <c r="G1281" s="260" t="s">
        <v>86</v>
      </c>
      <c r="H1281" s="242"/>
      <c r="I1281" s="242" t="s">
        <v>1325</v>
      </c>
      <c r="J1281" s="206"/>
      <c r="K1281" s="206" t="s">
        <v>782</v>
      </c>
      <c r="L1281" s="245">
        <v>1.19500151E8</v>
      </c>
      <c r="M1281" s="209" t="s">
        <v>1332</v>
      </c>
      <c r="N1281" s="367"/>
      <c r="O1281" s="367">
        <v>45658.0</v>
      </c>
      <c r="P1281" s="367">
        <v>45747.0</v>
      </c>
      <c r="Q1281" s="249">
        <f>L1281/3</f>
        <v>39833383.67</v>
      </c>
      <c r="R1281" s="249">
        <f t="shared" ref="R1281:S1281" si="561">Q1281</f>
        <v>39833383.67</v>
      </c>
      <c r="S1281" s="249">
        <f t="shared" si="561"/>
        <v>39833383.67</v>
      </c>
      <c r="T1281" s="212"/>
      <c r="U1281" s="212"/>
      <c r="V1281" s="212"/>
      <c r="W1281" s="212"/>
      <c r="X1281" s="212"/>
      <c r="Y1281" s="212"/>
      <c r="Z1281" s="212"/>
      <c r="AA1281" s="212"/>
      <c r="AB1281" s="212"/>
      <c r="AC1281" s="213">
        <f t="shared" si="555"/>
        <v>119500151</v>
      </c>
      <c r="AD1281" s="264"/>
      <c r="AE1281" s="241"/>
      <c r="AF1281" s="194"/>
      <c r="AG1281" s="194"/>
      <c r="AH1281" s="194"/>
      <c r="AI1281" s="194"/>
    </row>
    <row r="1282" hidden="1">
      <c r="A1282" s="126"/>
      <c r="B1282" s="195"/>
      <c r="C1282" s="206"/>
      <c r="D1282" s="207"/>
      <c r="E1282" s="260"/>
      <c r="F1282" s="207"/>
      <c r="G1282" s="260"/>
      <c r="H1282" s="206"/>
      <c r="I1282" s="206"/>
      <c r="J1282" s="206"/>
      <c r="K1282" s="206" t="s">
        <v>782</v>
      </c>
      <c r="L1282" s="245">
        <f t="shared" ref="L1282:L1283" si="563">L1281</f>
        <v>119500151</v>
      </c>
      <c r="M1282" s="938" t="s">
        <v>1333</v>
      </c>
      <c r="N1282" s="367"/>
      <c r="O1282" s="367">
        <v>45748.0</v>
      </c>
      <c r="P1282" s="367">
        <v>45838.0</v>
      </c>
      <c r="Q1282" s="249"/>
      <c r="R1282" s="249" t="str">
        <f>Q1282</f>
        <v/>
      </c>
      <c r="S1282" s="249"/>
      <c r="T1282" s="249">
        <f>L1282/3</f>
        <v>39833383.67</v>
      </c>
      <c r="U1282" s="249">
        <f t="shared" ref="U1282:V1282" si="562">T1282</f>
        <v>39833383.67</v>
      </c>
      <c r="V1282" s="249">
        <f t="shared" si="562"/>
        <v>39833383.67</v>
      </c>
      <c r="W1282" s="212"/>
      <c r="X1282" s="212"/>
      <c r="Y1282" s="212"/>
      <c r="Z1282" s="212"/>
      <c r="AA1282" s="212"/>
      <c r="AB1282" s="212"/>
      <c r="AC1282" s="213">
        <f t="shared" si="555"/>
        <v>119500151</v>
      </c>
      <c r="AD1282" s="214"/>
      <c r="AE1282" s="192"/>
      <c r="AF1282" s="194"/>
      <c r="AG1282" s="194"/>
      <c r="AH1282" s="194"/>
      <c r="AI1282" s="194"/>
    </row>
    <row r="1283" hidden="1">
      <c r="A1283" s="126"/>
      <c r="B1283" s="195"/>
      <c r="C1283" s="206"/>
      <c r="D1283" s="220" t="s">
        <v>1328</v>
      </c>
      <c r="E1283" s="260"/>
      <c r="F1283" s="207"/>
      <c r="G1283" s="260"/>
      <c r="H1283" s="206"/>
      <c r="I1283" s="206"/>
      <c r="J1283" s="206"/>
      <c r="K1283" s="206" t="s">
        <v>782</v>
      </c>
      <c r="L1283" s="245">
        <f t="shared" si="563"/>
        <v>119500151</v>
      </c>
      <c r="M1283" s="500" t="s">
        <v>297</v>
      </c>
      <c r="N1283" s="367"/>
      <c r="O1283" s="367">
        <f>P1282+1</f>
        <v>45839</v>
      </c>
      <c r="P1283" s="367">
        <v>45930.0</v>
      </c>
      <c r="Q1283" s="249"/>
      <c r="R1283" s="249"/>
      <c r="S1283" s="249"/>
      <c r="T1283" s="249"/>
      <c r="U1283" s="249" t="str">
        <f>T1283</f>
        <v/>
      </c>
      <c r="V1283" s="212"/>
      <c r="W1283" s="249">
        <v>3.9833383666666664E7</v>
      </c>
      <c r="X1283" s="249">
        <v>3.9833383666666664E7</v>
      </c>
      <c r="Y1283" s="249">
        <v>3.9833383666666664E7</v>
      </c>
      <c r="Z1283" s="212"/>
      <c r="AA1283" s="212"/>
      <c r="AB1283" s="212"/>
      <c r="AC1283" s="213">
        <f t="shared" si="555"/>
        <v>119500151</v>
      </c>
      <c r="AD1283" s="273"/>
      <c r="AE1283" s="192"/>
      <c r="AF1283" s="194"/>
      <c r="AG1283" s="194"/>
      <c r="AH1283" s="194"/>
      <c r="AI1283" s="194"/>
    </row>
    <row r="1284" hidden="1">
      <c r="A1284" s="391"/>
      <c r="B1284" s="195"/>
      <c r="C1284" s="222"/>
      <c r="D1284" s="250" t="s">
        <v>1334</v>
      </c>
      <c r="E1284" s="233"/>
      <c r="F1284" s="224"/>
      <c r="G1284" s="233"/>
      <c r="H1284" s="222"/>
      <c r="I1284" s="222"/>
      <c r="J1284" s="222"/>
      <c r="K1284" s="222" t="s">
        <v>782</v>
      </c>
      <c r="L1284" s="346"/>
      <c r="M1284" s="939"/>
      <c r="N1284" s="365"/>
      <c r="O1284" s="365"/>
      <c r="P1284" s="365"/>
      <c r="Q1284" s="228">
        <f t="shared" ref="Q1284:Q1286" si="565">35885931*1.11</f>
        <v>39833383.41</v>
      </c>
      <c r="R1284" s="228">
        <f t="shared" ref="R1284:U1284" si="564">Q1284</f>
        <v>39833383.41</v>
      </c>
      <c r="S1284" s="228">
        <f t="shared" si="564"/>
        <v>39833383.41</v>
      </c>
      <c r="T1284" s="228">
        <f t="shared" si="564"/>
        <v>39833383.41</v>
      </c>
      <c r="U1284" s="228">
        <f t="shared" si="564"/>
        <v>39833383.41</v>
      </c>
      <c r="V1284" s="229">
        <v>3.5885931E7</v>
      </c>
      <c r="W1284" s="228"/>
      <c r="X1284" s="230"/>
      <c r="Y1284" s="230"/>
      <c r="Z1284" s="230"/>
      <c r="AA1284" s="230"/>
      <c r="AB1284" s="230"/>
      <c r="AC1284" s="231">
        <f t="shared" si="555"/>
        <v>235052848.1</v>
      </c>
      <c r="AD1284" s="273"/>
      <c r="AE1284" s="192"/>
      <c r="AF1284" s="194"/>
      <c r="AG1284" s="194"/>
      <c r="AH1284" s="194"/>
      <c r="AI1284" s="194"/>
    </row>
    <row r="1285" hidden="1">
      <c r="A1285" s="391"/>
      <c r="B1285" s="195"/>
      <c r="C1285" s="196"/>
      <c r="D1285" s="286" t="s">
        <v>194</v>
      </c>
      <c r="E1285" s="233"/>
      <c r="F1285" s="233"/>
      <c r="G1285" s="233"/>
      <c r="H1285" s="234"/>
      <c r="I1285" s="234"/>
      <c r="J1285" s="222"/>
      <c r="K1285" s="222" t="s">
        <v>782</v>
      </c>
      <c r="L1285" s="346"/>
      <c r="M1285" s="358"/>
      <c r="N1285" s="365"/>
      <c r="O1285" s="365"/>
      <c r="P1285" s="365"/>
      <c r="Q1285" s="228">
        <f t="shared" si="565"/>
        <v>39833383.41</v>
      </c>
      <c r="R1285" s="228">
        <f t="shared" ref="R1285:U1285" si="566">Q1285</f>
        <v>39833383.41</v>
      </c>
      <c r="S1285" s="228">
        <f t="shared" si="566"/>
        <v>39833383.41</v>
      </c>
      <c r="T1285" s="228">
        <f t="shared" si="566"/>
        <v>39833383.41</v>
      </c>
      <c r="U1285" s="228">
        <f t="shared" si="566"/>
        <v>39833383.41</v>
      </c>
      <c r="V1285" s="238"/>
      <c r="W1285" s="238"/>
      <c r="X1285" s="238"/>
      <c r="Y1285" s="238"/>
      <c r="Z1285" s="238"/>
      <c r="AA1285" s="238"/>
      <c r="AB1285" s="238"/>
      <c r="AC1285" s="378">
        <f t="shared" si="555"/>
        <v>199166917.1</v>
      </c>
      <c r="AD1285" s="214"/>
      <c r="AE1285" s="192"/>
      <c r="AF1285" s="194"/>
      <c r="AG1285" s="194"/>
      <c r="AH1285" s="194"/>
      <c r="AI1285" s="194"/>
    </row>
    <row r="1286" hidden="1">
      <c r="A1286" s="391"/>
      <c r="B1286" s="195"/>
      <c r="C1286" s="196"/>
      <c r="D1286" s="286" t="s">
        <v>1335</v>
      </c>
      <c r="E1286" s="233"/>
      <c r="F1286" s="233"/>
      <c r="G1286" s="233"/>
      <c r="H1286" s="234"/>
      <c r="I1286" s="234"/>
      <c r="J1286" s="222"/>
      <c r="K1286" s="222" t="s">
        <v>782</v>
      </c>
      <c r="L1286" s="346"/>
      <c r="M1286" s="358"/>
      <c r="N1286" s="365"/>
      <c r="O1286" s="365"/>
      <c r="P1286" s="365"/>
      <c r="Q1286" s="228">
        <f t="shared" si="565"/>
        <v>39833383.41</v>
      </c>
      <c r="R1286" s="228">
        <f t="shared" ref="R1286:U1286" si="567">Q1286</f>
        <v>39833383.41</v>
      </c>
      <c r="S1286" s="228">
        <f t="shared" si="567"/>
        <v>39833383.41</v>
      </c>
      <c r="T1286" s="228">
        <f t="shared" si="567"/>
        <v>39833383.41</v>
      </c>
      <c r="U1286" s="228">
        <f t="shared" si="567"/>
        <v>39833383.41</v>
      </c>
      <c r="V1286" s="238"/>
      <c r="W1286" s="238"/>
      <c r="X1286" s="238"/>
      <c r="Y1286" s="238"/>
      <c r="Z1286" s="238"/>
      <c r="AA1286" s="238"/>
      <c r="AB1286" s="238"/>
      <c r="AC1286" s="378">
        <f t="shared" si="555"/>
        <v>199166917.1</v>
      </c>
      <c r="AD1286" s="214"/>
      <c r="AE1286" s="192"/>
      <c r="AF1286" s="194"/>
      <c r="AG1286" s="194"/>
      <c r="AH1286" s="194"/>
      <c r="AI1286" s="194"/>
    </row>
    <row r="1287">
      <c r="A1287" s="391"/>
      <c r="B1287" s="195"/>
      <c r="C1287" s="196">
        <v>4.0</v>
      </c>
      <c r="D1287" s="354" t="s">
        <v>1336</v>
      </c>
      <c r="E1287" s="198" t="s">
        <v>186</v>
      </c>
      <c r="F1287" s="198" t="s">
        <v>103</v>
      </c>
      <c r="G1287" s="198" t="s">
        <v>86</v>
      </c>
      <c r="H1287" s="198" t="s">
        <v>86</v>
      </c>
      <c r="I1287" s="198" t="s">
        <v>253</v>
      </c>
      <c r="J1287" s="198" t="s">
        <v>254</v>
      </c>
      <c r="K1287" s="937" t="s">
        <v>782</v>
      </c>
      <c r="L1287" s="540"/>
      <c r="M1287" s="479"/>
      <c r="N1287" s="541"/>
      <c r="O1287" s="541"/>
      <c r="P1287" s="541"/>
      <c r="Q1287" s="204">
        <v>2.27278525E8</v>
      </c>
      <c r="R1287" s="204">
        <v>2.27278525E8</v>
      </c>
      <c r="S1287" s="204">
        <v>2.27278525E8</v>
      </c>
      <c r="T1287" s="204">
        <v>2.27278525E8</v>
      </c>
      <c r="U1287" s="204">
        <v>2.27278525E8</v>
      </c>
      <c r="V1287" s="204">
        <v>2.27278525E8</v>
      </c>
      <c r="W1287" s="204">
        <v>2.27278525E8</v>
      </c>
      <c r="X1287" s="204">
        <v>2.27278525E8</v>
      </c>
      <c r="Y1287" s="204">
        <v>2.27278525E8</v>
      </c>
      <c r="Z1287" s="204">
        <v>2.27278525E8</v>
      </c>
      <c r="AA1287" s="204">
        <v>2.27278525E8</v>
      </c>
      <c r="AB1287" s="204">
        <v>2.27278525E8</v>
      </c>
      <c r="AC1287" s="205">
        <v>2.7273423E9</v>
      </c>
      <c r="AD1287" s="178">
        <f>SUM(Q1287:AB1287)-AC1287</f>
        <v>0</v>
      </c>
      <c r="AE1287" s="241"/>
      <c r="AF1287" s="194"/>
      <c r="AG1287" s="194"/>
      <c r="AH1287" s="194"/>
      <c r="AI1287" s="194"/>
    </row>
    <row r="1288" hidden="1">
      <c r="A1288" s="126"/>
      <c r="B1288" s="195"/>
      <c r="C1288" s="206"/>
      <c r="D1288" s="215" t="s">
        <v>1337</v>
      </c>
      <c r="E1288" s="260"/>
      <c r="F1288" s="260" t="s">
        <v>103</v>
      </c>
      <c r="G1288" s="260" t="s">
        <v>86</v>
      </c>
      <c r="H1288" s="221"/>
      <c r="I1288" s="221" t="s">
        <v>253</v>
      </c>
      <c r="J1288" s="216"/>
      <c r="K1288" s="216" t="s">
        <v>782</v>
      </c>
      <c r="L1288" s="245">
        <f>137756762</f>
        <v>137756762</v>
      </c>
      <c r="M1288" s="246" t="s">
        <v>1338</v>
      </c>
      <c r="N1288" s="367"/>
      <c r="O1288" s="367">
        <v>45658.0</v>
      </c>
      <c r="P1288" s="367">
        <v>45688.0</v>
      </c>
      <c r="Q1288" s="249">
        <f>L1288</f>
        <v>137756762</v>
      </c>
      <c r="R1288" s="249"/>
      <c r="S1288" s="249"/>
      <c r="T1288" s="249"/>
      <c r="U1288" s="249"/>
      <c r="V1288" s="249"/>
      <c r="W1288" s="249"/>
      <c r="X1288" s="249"/>
      <c r="Y1288" s="249"/>
      <c r="Z1288" s="249"/>
      <c r="AA1288" s="249"/>
      <c r="AB1288" s="249"/>
      <c r="AC1288" s="213"/>
      <c r="AD1288" s="271"/>
      <c r="AE1288" s="241"/>
      <c r="AF1288" s="194"/>
      <c r="AG1288" s="194"/>
      <c r="AH1288" s="194"/>
      <c r="AI1288" s="194"/>
    </row>
    <row r="1289" hidden="1">
      <c r="A1289" s="126"/>
      <c r="B1289" s="195"/>
      <c r="C1289" s="206"/>
      <c r="D1289" s="215" t="s">
        <v>1339</v>
      </c>
      <c r="E1289" s="260"/>
      <c r="F1289" s="207"/>
      <c r="G1289" s="260"/>
      <c r="H1289" s="206"/>
      <c r="I1289" s="206"/>
      <c r="J1289" s="206"/>
      <c r="K1289" s="206" t="s">
        <v>782</v>
      </c>
      <c r="L1289" s="245">
        <f>138625291</f>
        <v>138625291</v>
      </c>
      <c r="M1289" s="246" t="s">
        <v>1340</v>
      </c>
      <c r="N1289" s="367"/>
      <c r="O1289" s="367">
        <v>45658.0</v>
      </c>
      <c r="P1289" s="367">
        <v>45688.0</v>
      </c>
      <c r="Q1289" s="249">
        <f>L1287+L1289</f>
        <v>138625291</v>
      </c>
      <c r="R1289" s="249"/>
      <c r="S1289" s="249"/>
      <c r="T1289" s="249"/>
      <c r="U1289" s="249"/>
      <c r="V1289" s="249"/>
      <c r="W1289" s="249"/>
      <c r="X1289" s="249"/>
      <c r="Y1289" s="249"/>
      <c r="Z1289" s="249"/>
      <c r="AA1289" s="249"/>
      <c r="AB1289" s="249"/>
      <c r="AC1289" s="213">
        <f t="shared" ref="AC1289:AC1293" si="569">SUM(Q1289:AB1289)</f>
        <v>138625291</v>
      </c>
      <c r="AD1289" s="264"/>
      <c r="AE1289" s="241"/>
      <c r="AF1289" s="194"/>
      <c r="AG1289" s="194"/>
      <c r="AH1289" s="194"/>
      <c r="AI1289" s="194"/>
    </row>
    <row r="1290" hidden="1">
      <c r="A1290" s="126"/>
      <c r="B1290" s="195"/>
      <c r="C1290" s="206"/>
      <c r="D1290" s="215" t="s">
        <v>1336</v>
      </c>
      <c r="E1290" s="260"/>
      <c r="F1290" s="207"/>
      <c r="G1290" s="260"/>
      <c r="H1290" s="206"/>
      <c r="I1290" s="206"/>
      <c r="J1290" s="206"/>
      <c r="K1290" s="206" t="s">
        <v>782</v>
      </c>
      <c r="L1290" s="245">
        <f>3040202583/1.11</f>
        <v>2738921246</v>
      </c>
      <c r="M1290" s="209" t="s">
        <v>1341</v>
      </c>
      <c r="N1290" s="367"/>
      <c r="O1290" s="367">
        <v>45689.0</v>
      </c>
      <c r="P1290" s="367">
        <v>46022.0</v>
      </c>
      <c r="Q1290" s="249"/>
      <c r="R1290" s="249">
        <f>L1290/11</f>
        <v>248992840.5</v>
      </c>
      <c r="S1290" s="249">
        <f t="shared" ref="S1290:AB1290" si="568">R1290</f>
        <v>248992840.5</v>
      </c>
      <c r="T1290" s="249">
        <f t="shared" si="568"/>
        <v>248992840.5</v>
      </c>
      <c r="U1290" s="249">
        <f t="shared" si="568"/>
        <v>248992840.5</v>
      </c>
      <c r="V1290" s="249">
        <f t="shared" si="568"/>
        <v>248992840.5</v>
      </c>
      <c r="W1290" s="249">
        <f t="shared" si="568"/>
        <v>248992840.5</v>
      </c>
      <c r="X1290" s="249">
        <f t="shared" si="568"/>
        <v>248992840.5</v>
      </c>
      <c r="Y1290" s="249">
        <f t="shared" si="568"/>
        <v>248992840.5</v>
      </c>
      <c r="Z1290" s="249">
        <f t="shared" si="568"/>
        <v>248992840.5</v>
      </c>
      <c r="AA1290" s="249">
        <f t="shared" si="568"/>
        <v>248992840.5</v>
      </c>
      <c r="AB1290" s="249">
        <f t="shared" si="568"/>
        <v>248992840.5</v>
      </c>
      <c r="AC1290" s="213">
        <f t="shared" si="569"/>
        <v>2738921246</v>
      </c>
      <c r="AD1290" s="273"/>
      <c r="AE1290" s="192"/>
      <c r="AF1290" s="194"/>
      <c r="AG1290" s="194"/>
      <c r="AH1290" s="194"/>
      <c r="AI1290" s="194"/>
    </row>
    <row r="1291" hidden="1">
      <c r="A1291" s="391"/>
      <c r="B1291" s="195"/>
      <c r="C1291" s="196"/>
      <c r="D1291" s="250" t="s">
        <v>1342</v>
      </c>
      <c r="E1291" s="233"/>
      <c r="F1291" s="233"/>
      <c r="G1291" s="233"/>
      <c r="H1291" s="377"/>
      <c r="I1291" s="377"/>
      <c r="J1291" s="222"/>
      <c r="K1291" s="222" t="s">
        <v>782</v>
      </c>
      <c r="L1291" s="225"/>
      <c r="M1291" s="236"/>
      <c r="N1291" s="285"/>
      <c r="O1291" s="285"/>
      <c r="P1291" s="285"/>
      <c r="Q1291" s="228">
        <f t="shared" ref="Q1291:Q1293" si="571">248992841*1.11</f>
        <v>276382053.5</v>
      </c>
      <c r="R1291" s="270">
        <f t="shared" ref="R1291:S1291" si="570">Q1291</f>
        <v>276382053.5</v>
      </c>
      <c r="S1291" s="270">
        <f t="shared" si="570"/>
        <v>276382053.5</v>
      </c>
      <c r="T1291" s="270">
        <f t="shared" ref="T1291:T1292" si="573">248992841*1.11</f>
        <v>276382053.5</v>
      </c>
      <c r="U1291" s="270">
        <f t="shared" ref="U1291:U1292" si="574">T1291</f>
        <v>276382053.5</v>
      </c>
      <c r="V1291" s="229">
        <f>248992841*1.11</f>
        <v>276382053.5</v>
      </c>
      <c r="W1291" s="238"/>
      <c r="X1291" s="238"/>
      <c r="Y1291" s="238"/>
      <c r="Z1291" s="238"/>
      <c r="AA1291" s="238"/>
      <c r="AB1291" s="238"/>
      <c r="AC1291" s="378">
        <f t="shared" si="569"/>
        <v>1658292321</v>
      </c>
      <c r="AD1291" s="214"/>
      <c r="AE1291" s="192"/>
      <c r="AF1291" s="194"/>
      <c r="AG1291" s="194"/>
      <c r="AH1291" s="194"/>
      <c r="AI1291" s="194"/>
    </row>
    <row r="1292" hidden="1">
      <c r="A1292" s="391"/>
      <c r="B1292" s="195"/>
      <c r="C1292" s="196"/>
      <c r="D1292" s="286" t="s">
        <v>194</v>
      </c>
      <c r="E1292" s="233"/>
      <c r="F1292" s="233"/>
      <c r="G1292" s="233"/>
      <c r="H1292" s="377"/>
      <c r="I1292" s="377"/>
      <c r="J1292" s="222"/>
      <c r="K1292" s="222" t="s">
        <v>782</v>
      </c>
      <c r="L1292" s="225"/>
      <c r="M1292" s="236"/>
      <c r="N1292" s="285"/>
      <c r="O1292" s="285"/>
      <c r="P1292" s="285"/>
      <c r="Q1292" s="228">
        <f t="shared" si="571"/>
        <v>276382053.5</v>
      </c>
      <c r="R1292" s="270">
        <f t="shared" ref="R1292:S1292" si="572">Q1292</f>
        <v>276382053.5</v>
      </c>
      <c r="S1292" s="270">
        <f t="shared" si="572"/>
        <v>276382053.5</v>
      </c>
      <c r="T1292" s="229">
        <f t="shared" si="573"/>
        <v>276382053.5</v>
      </c>
      <c r="U1292" s="229">
        <f t="shared" si="574"/>
        <v>276382053.5</v>
      </c>
      <c r="V1292" s="238"/>
      <c r="W1292" s="238"/>
      <c r="X1292" s="238"/>
      <c r="Y1292" s="238"/>
      <c r="Z1292" s="238"/>
      <c r="AA1292" s="238"/>
      <c r="AB1292" s="238"/>
      <c r="AC1292" s="378">
        <f t="shared" si="569"/>
        <v>1381910268</v>
      </c>
      <c r="AD1292" s="214"/>
      <c r="AE1292" s="192"/>
      <c r="AF1292" s="194"/>
      <c r="AG1292" s="194"/>
      <c r="AH1292" s="194"/>
      <c r="AI1292" s="194"/>
    </row>
    <row r="1293" hidden="1">
      <c r="A1293" s="391"/>
      <c r="B1293" s="195"/>
      <c r="C1293" s="196"/>
      <c r="D1293" s="286" t="s">
        <v>1343</v>
      </c>
      <c r="E1293" s="233"/>
      <c r="F1293" s="233"/>
      <c r="G1293" s="233"/>
      <c r="H1293" s="377"/>
      <c r="I1293" s="377"/>
      <c r="J1293" s="222"/>
      <c r="K1293" s="222" t="s">
        <v>782</v>
      </c>
      <c r="L1293" s="225"/>
      <c r="M1293" s="236"/>
      <c r="N1293" s="285"/>
      <c r="O1293" s="285"/>
      <c r="P1293" s="285"/>
      <c r="Q1293" s="228">
        <f t="shared" si="571"/>
        <v>276382053.5</v>
      </c>
      <c r="R1293" s="270">
        <f t="shared" ref="R1293:S1293" si="575">Q1293</f>
        <v>276382053.5</v>
      </c>
      <c r="S1293" s="270">
        <f t="shared" si="575"/>
        <v>276382053.5</v>
      </c>
      <c r="T1293" s="238"/>
      <c r="U1293" s="238"/>
      <c r="V1293" s="238"/>
      <c r="W1293" s="238"/>
      <c r="X1293" s="238"/>
      <c r="Y1293" s="238"/>
      <c r="Z1293" s="238"/>
      <c r="AA1293" s="238"/>
      <c r="AB1293" s="238"/>
      <c r="AC1293" s="378">
        <f t="shared" si="569"/>
        <v>829146160.5</v>
      </c>
      <c r="AD1293" s="214"/>
      <c r="AE1293" s="192"/>
      <c r="AF1293" s="194"/>
      <c r="AG1293" s="194"/>
      <c r="AH1293" s="194"/>
      <c r="AI1293" s="194"/>
    </row>
    <row r="1294">
      <c r="A1294" s="391"/>
      <c r="B1294" s="195"/>
      <c r="C1294" s="196">
        <v>5.0</v>
      </c>
      <c r="D1294" s="354" t="s">
        <v>1344</v>
      </c>
      <c r="E1294" s="198" t="s">
        <v>186</v>
      </c>
      <c r="F1294" s="198" t="s">
        <v>88</v>
      </c>
      <c r="G1294" s="198" t="s">
        <v>88</v>
      </c>
      <c r="H1294" s="198" t="s">
        <v>218</v>
      </c>
      <c r="I1294" s="198" t="s">
        <v>187</v>
      </c>
      <c r="J1294" s="198" t="s">
        <v>188</v>
      </c>
      <c r="K1294" s="937" t="s">
        <v>782</v>
      </c>
      <c r="L1294" s="895"/>
      <c r="M1294" s="240"/>
      <c r="N1294" s="388"/>
      <c r="O1294" s="388"/>
      <c r="P1294" s="388"/>
      <c r="Q1294" s="204">
        <v>2.527479E7</v>
      </c>
      <c r="R1294" s="204">
        <v>2.527479E7</v>
      </c>
      <c r="S1294" s="204">
        <v>2.527479E7</v>
      </c>
      <c r="T1294" s="204">
        <v>2.527479E7</v>
      </c>
      <c r="U1294" s="204">
        <v>2.527479E7</v>
      </c>
      <c r="V1294" s="204">
        <v>2.527479E7</v>
      </c>
      <c r="W1294" s="204">
        <v>2.527479E7</v>
      </c>
      <c r="X1294" s="204">
        <v>2.527479E7</v>
      </c>
      <c r="Y1294" s="204">
        <v>2.527479E7</v>
      </c>
      <c r="Z1294" s="204">
        <v>2.527479E7</v>
      </c>
      <c r="AA1294" s="204">
        <v>2.527479E7</v>
      </c>
      <c r="AB1294" s="204">
        <v>2.527479E7</v>
      </c>
      <c r="AC1294" s="205">
        <v>3.0329748E8</v>
      </c>
      <c r="AD1294" s="178">
        <f>SUM(Q1294:AB1294)-AC1294</f>
        <v>0</v>
      </c>
      <c r="AE1294" s="192"/>
      <c r="AF1294" s="194"/>
      <c r="AG1294" s="194"/>
      <c r="AH1294" s="194"/>
      <c r="AI1294" s="194"/>
    </row>
    <row r="1295" hidden="1">
      <c r="A1295" s="126"/>
      <c r="B1295" s="195"/>
      <c r="C1295" s="206"/>
      <c r="D1295" s="215"/>
      <c r="E1295" s="260"/>
      <c r="F1295" s="207"/>
      <c r="G1295" s="260"/>
      <c r="H1295" s="206"/>
      <c r="I1295" s="206"/>
      <c r="J1295" s="206"/>
      <c r="K1295" s="206" t="s">
        <v>782</v>
      </c>
      <c r="L1295" s="245">
        <v>7.8226935E7</v>
      </c>
      <c r="M1295" s="209" t="s">
        <v>1345</v>
      </c>
      <c r="N1295" s="367"/>
      <c r="O1295" s="367">
        <v>45658.0</v>
      </c>
      <c r="P1295" s="367">
        <v>45747.0</v>
      </c>
      <c r="Q1295" s="249">
        <f>L1295/3</f>
        <v>26075645</v>
      </c>
      <c r="R1295" s="249">
        <v>2.6075645E7</v>
      </c>
      <c r="S1295" s="249">
        <v>2.6075645E7</v>
      </c>
      <c r="T1295" s="212"/>
      <c r="U1295" s="212"/>
      <c r="V1295" s="212"/>
      <c r="W1295" s="212"/>
      <c r="X1295" s="212"/>
      <c r="Y1295" s="212"/>
      <c r="Z1295" s="212"/>
      <c r="AA1295" s="212"/>
      <c r="AB1295" s="212"/>
      <c r="AC1295" s="213">
        <f t="shared" ref="AC1295:AC1300" si="576">SUM(Q1295:AB1295)</f>
        <v>78226935</v>
      </c>
      <c r="AD1295" s="273"/>
      <c r="AE1295" s="192"/>
      <c r="AF1295" s="194"/>
      <c r="AG1295" s="194"/>
      <c r="AH1295" s="194"/>
      <c r="AI1295" s="194"/>
    </row>
    <row r="1296" hidden="1">
      <c r="A1296" s="126"/>
      <c r="B1296" s="195"/>
      <c r="C1296" s="206"/>
      <c r="D1296" s="207"/>
      <c r="E1296" s="260"/>
      <c r="F1296" s="207"/>
      <c r="G1296" s="260"/>
      <c r="H1296" s="206"/>
      <c r="I1296" s="206"/>
      <c r="J1296" s="206"/>
      <c r="K1296" s="206" t="s">
        <v>782</v>
      </c>
      <c r="L1296" s="245">
        <v>1.57146871E8</v>
      </c>
      <c r="M1296" s="261" t="s">
        <v>1346</v>
      </c>
      <c r="N1296" s="382"/>
      <c r="O1296" s="382">
        <f t="shared" ref="O1296:O1297" si="577">P1295+1</f>
        <v>45748</v>
      </c>
      <c r="P1296" s="367">
        <v>45838.0</v>
      </c>
      <c r="Q1296" s="249"/>
      <c r="R1296" s="249"/>
      <c r="S1296" s="249"/>
      <c r="T1296" s="249">
        <f>L1296/3</f>
        <v>52382290.33</v>
      </c>
      <c r="U1296" s="212">
        <f>T1296</f>
        <v>52382290.33</v>
      </c>
      <c r="V1296" s="212">
        <f>T1296</f>
        <v>52382290.33</v>
      </c>
      <c r="W1296" s="212"/>
      <c r="X1296" s="212"/>
      <c r="Y1296" s="212"/>
      <c r="Z1296" s="212"/>
      <c r="AA1296" s="212"/>
      <c r="AB1296" s="212"/>
      <c r="AC1296" s="213">
        <f t="shared" si="576"/>
        <v>157146871</v>
      </c>
      <c r="AD1296" s="273"/>
      <c r="AE1296" s="241"/>
      <c r="AF1296" s="194"/>
      <c r="AG1296" s="194"/>
      <c r="AH1296" s="194"/>
      <c r="AI1296" s="194"/>
    </row>
    <row r="1297" hidden="1">
      <c r="A1297" s="126"/>
      <c r="B1297" s="195"/>
      <c r="C1297" s="206"/>
      <c r="D1297" s="281" t="s">
        <v>1328</v>
      </c>
      <c r="E1297" s="260"/>
      <c r="F1297" s="207"/>
      <c r="G1297" s="260"/>
      <c r="H1297" s="206"/>
      <c r="I1297" s="206"/>
      <c r="J1297" s="206"/>
      <c r="K1297" s="206" t="s">
        <v>782</v>
      </c>
      <c r="L1297" s="245">
        <v>1.16817269E8</v>
      </c>
      <c r="M1297" s="281" t="s">
        <v>235</v>
      </c>
      <c r="N1297" s="367"/>
      <c r="O1297" s="367">
        <f t="shared" si="577"/>
        <v>45839</v>
      </c>
      <c r="P1297" s="367">
        <v>45900.0</v>
      </c>
      <c r="Q1297" s="249"/>
      <c r="R1297" s="249"/>
      <c r="S1297" s="249"/>
      <c r="T1297" s="249"/>
      <c r="U1297" s="249"/>
      <c r="V1297" s="212"/>
      <c r="W1297" s="212">
        <f>L1297/2</f>
        <v>58408634.5</v>
      </c>
      <c r="X1297" s="212">
        <f>W1297</f>
        <v>58408634.5</v>
      </c>
      <c r="Y1297" s="212"/>
      <c r="Z1297" s="212"/>
      <c r="AA1297" s="212"/>
      <c r="AB1297" s="212"/>
      <c r="AC1297" s="213">
        <f t="shared" si="576"/>
        <v>116817269</v>
      </c>
      <c r="AD1297" s="420"/>
      <c r="AE1297" s="241"/>
      <c r="AF1297" s="194"/>
      <c r="AG1297" s="194"/>
      <c r="AH1297" s="194"/>
      <c r="AI1297" s="194"/>
    </row>
    <row r="1298" hidden="1">
      <c r="A1298" s="391"/>
      <c r="B1298" s="195"/>
      <c r="C1298" s="222"/>
      <c r="D1298" s="250" t="s">
        <v>1347</v>
      </c>
      <c r="E1298" s="233"/>
      <c r="F1298" s="224"/>
      <c r="G1298" s="233"/>
      <c r="H1298" s="222"/>
      <c r="I1298" s="222"/>
      <c r="J1298" s="222"/>
      <c r="K1298" s="222" t="s">
        <v>782</v>
      </c>
      <c r="L1298" s="346"/>
      <c r="M1298" s="940"/>
      <c r="N1298" s="365"/>
      <c r="O1298" s="365"/>
      <c r="P1298" s="365"/>
      <c r="Q1298" s="228">
        <v>2.6075645E7</v>
      </c>
      <c r="R1298" s="228">
        <v>2.6075645E7</v>
      </c>
      <c r="S1298" s="228">
        <v>2.6075645E7</v>
      </c>
      <c r="T1298" s="228">
        <v>2.6075645E7</v>
      </c>
      <c r="U1298" s="228">
        <v>3.8506484E7</v>
      </c>
      <c r="V1298" s="229">
        <v>5.3234877E7</v>
      </c>
      <c r="W1298" s="228"/>
      <c r="X1298" s="230"/>
      <c r="Y1298" s="230"/>
      <c r="Z1298" s="230"/>
      <c r="AA1298" s="230"/>
      <c r="AB1298" s="230"/>
      <c r="AC1298" s="231">
        <f t="shared" si="576"/>
        <v>196043941</v>
      </c>
      <c r="AD1298" s="420"/>
      <c r="AE1298" s="241"/>
      <c r="AF1298" s="194"/>
      <c r="AG1298" s="194"/>
      <c r="AH1298" s="194"/>
      <c r="AI1298" s="194"/>
    </row>
    <row r="1299" hidden="1">
      <c r="A1299" s="391"/>
      <c r="B1299" s="195"/>
      <c r="C1299" s="196"/>
      <c r="D1299" s="286" t="s">
        <v>194</v>
      </c>
      <c r="E1299" s="233"/>
      <c r="F1299" s="233"/>
      <c r="G1299" s="233"/>
      <c r="H1299" s="377"/>
      <c r="I1299" s="377"/>
      <c r="J1299" s="222"/>
      <c r="K1299" s="222" t="s">
        <v>782</v>
      </c>
      <c r="L1299" s="225"/>
      <c r="M1299" s="236"/>
      <c r="N1299" s="285"/>
      <c r="O1299" s="285"/>
      <c r="P1299" s="285"/>
      <c r="Q1299" s="228">
        <v>2.6075645E7</v>
      </c>
      <c r="R1299" s="228">
        <v>2.6075645E7</v>
      </c>
      <c r="S1299" s="228">
        <v>2.6075645E7</v>
      </c>
      <c r="T1299" s="228">
        <v>2.6075645E7</v>
      </c>
      <c r="U1299" s="228">
        <v>3.8506484E7</v>
      </c>
      <c r="V1299" s="238"/>
      <c r="W1299" s="238"/>
      <c r="X1299" s="238"/>
      <c r="Y1299" s="238"/>
      <c r="Z1299" s="238"/>
      <c r="AA1299" s="238"/>
      <c r="AB1299" s="238"/>
      <c r="AC1299" s="378">
        <f t="shared" si="576"/>
        <v>142809064</v>
      </c>
      <c r="AD1299" s="214"/>
      <c r="AE1299" s="430"/>
      <c r="AF1299" s="431"/>
      <c r="AG1299" s="431"/>
      <c r="AH1299" s="431"/>
      <c r="AI1299" s="431"/>
    </row>
    <row r="1300" hidden="1">
      <c r="A1300" s="391"/>
      <c r="B1300" s="195"/>
      <c r="C1300" s="196"/>
      <c r="D1300" s="286" t="s">
        <v>1348</v>
      </c>
      <c r="E1300" s="233"/>
      <c r="F1300" s="233"/>
      <c r="G1300" s="233"/>
      <c r="H1300" s="377"/>
      <c r="I1300" s="377"/>
      <c r="J1300" s="222"/>
      <c r="K1300" s="222" t="s">
        <v>782</v>
      </c>
      <c r="L1300" s="225"/>
      <c r="M1300" s="236"/>
      <c r="N1300" s="285"/>
      <c r="O1300" s="285"/>
      <c r="P1300" s="285"/>
      <c r="Q1300" s="228">
        <v>2.6075645E7</v>
      </c>
      <c r="R1300" s="228">
        <v>2.6075645E7</v>
      </c>
      <c r="S1300" s="228">
        <v>2.6075645E7</v>
      </c>
      <c r="T1300" s="228">
        <v>2.6075645E7</v>
      </c>
      <c r="U1300" s="228">
        <v>3.8506484E7</v>
      </c>
      <c r="V1300" s="238"/>
      <c r="W1300" s="238"/>
      <c r="X1300" s="238"/>
      <c r="Y1300" s="238"/>
      <c r="Z1300" s="238"/>
      <c r="AA1300" s="238"/>
      <c r="AB1300" s="238"/>
      <c r="AC1300" s="378">
        <f t="shared" si="576"/>
        <v>142809064</v>
      </c>
      <c r="AD1300" s="214"/>
      <c r="AE1300" s="430"/>
      <c r="AF1300" s="431"/>
      <c r="AG1300" s="431"/>
      <c r="AH1300" s="431"/>
      <c r="AI1300" s="431"/>
    </row>
    <row r="1301">
      <c r="A1301" s="391"/>
      <c r="B1301" s="195"/>
      <c r="C1301" s="196">
        <v>6.0</v>
      </c>
      <c r="D1301" s="354" t="s">
        <v>1349</v>
      </c>
      <c r="E1301" s="198" t="s">
        <v>186</v>
      </c>
      <c r="F1301" s="198" t="s">
        <v>135</v>
      </c>
      <c r="G1301" s="198" t="s">
        <v>135</v>
      </c>
      <c r="H1301" s="198" t="s">
        <v>203</v>
      </c>
      <c r="I1301" s="198" t="s">
        <v>187</v>
      </c>
      <c r="J1301" s="198" t="s">
        <v>188</v>
      </c>
      <c r="K1301" s="937" t="s">
        <v>782</v>
      </c>
      <c r="L1301" s="895"/>
      <c r="M1301" s="240"/>
      <c r="N1301" s="388"/>
      <c r="O1301" s="388"/>
      <c r="P1301" s="388"/>
      <c r="Q1301" s="204">
        <v>1.2311978E7</v>
      </c>
      <c r="R1301" s="204">
        <v>1.2311978E7</v>
      </c>
      <c r="S1301" s="204">
        <v>1.2311978E7</v>
      </c>
      <c r="T1301" s="204">
        <v>1.2311978E7</v>
      </c>
      <c r="U1301" s="204">
        <v>1.2311978E7</v>
      </c>
      <c r="V1301" s="204">
        <v>1.2311978E7</v>
      </c>
      <c r="W1301" s="204">
        <v>1.2311978E7</v>
      </c>
      <c r="X1301" s="204">
        <v>1.2311978E7</v>
      </c>
      <c r="Y1301" s="204">
        <v>1.2311978E7</v>
      </c>
      <c r="Z1301" s="204">
        <v>1.2311978E7</v>
      </c>
      <c r="AA1301" s="204">
        <v>1.2311978E7</v>
      </c>
      <c r="AB1301" s="204">
        <v>1.2311978E7</v>
      </c>
      <c r="AC1301" s="205">
        <v>1.47743736E8</v>
      </c>
      <c r="AD1301" s="178">
        <f>SUM(Q1301:AB1301)-AC1301</f>
        <v>0</v>
      </c>
      <c r="AE1301" s="430"/>
      <c r="AF1301" s="431"/>
      <c r="AG1301" s="431"/>
      <c r="AH1301" s="431"/>
      <c r="AI1301" s="431"/>
    </row>
    <row r="1302" hidden="1">
      <c r="A1302" s="126"/>
      <c r="B1302" s="195"/>
      <c r="C1302" s="206"/>
      <c r="D1302" s="215"/>
      <c r="E1302" s="260"/>
      <c r="F1302" s="207"/>
      <c r="G1302" s="260"/>
      <c r="H1302" s="206"/>
      <c r="I1302" s="206"/>
      <c r="J1302" s="206"/>
      <c r="K1302" s="206" t="s">
        <v>782</v>
      </c>
      <c r="L1302" s="245">
        <v>4.1591775E7</v>
      </c>
      <c r="M1302" s="209" t="s">
        <v>1350</v>
      </c>
      <c r="N1302" s="367"/>
      <c r="O1302" s="367">
        <v>45658.0</v>
      </c>
      <c r="P1302" s="367">
        <v>45747.0</v>
      </c>
      <c r="Q1302" s="249">
        <f>L1302/3</f>
        <v>13863925</v>
      </c>
      <c r="R1302" s="249">
        <f t="shared" ref="R1302:S1302" si="578">Q1302</f>
        <v>13863925</v>
      </c>
      <c r="S1302" s="249">
        <f t="shared" si="578"/>
        <v>13863925</v>
      </c>
      <c r="T1302" s="212"/>
      <c r="U1302" s="212"/>
      <c r="V1302" s="212"/>
      <c r="W1302" s="212"/>
      <c r="X1302" s="212"/>
      <c r="Y1302" s="212"/>
      <c r="Z1302" s="212"/>
      <c r="AA1302" s="212"/>
      <c r="AB1302" s="212"/>
      <c r="AC1302" s="213">
        <f t="shared" ref="AC1302:AC1307" si="579">SUM(Q1302:AB1302)</f>
        <v>41591775</v>
      </c>
      <c r="AD1302" s="420"/>
      <c r="AE1302" s="430"/>
      <c r="AF1302" s="431"/>
      <c r="AG1302" s="431"/>
      <c r="AH1302" s="431"/>
      <c r="AI1302" s="431"/>
    </row>
    <row r="1303" hidden="1">
      <c r="A1303" s="126"/>
      <c r="B1303" s="195"/>
      <c r="C1303" s="206"/>
      <c r="D1303" s="207"/>
      <c r="E1303" s="260"/>
      <c r="F1303" s="207"/>
      <c r="G1303" s="260"/>
      <c r="H1303" s="206"/>
      <c r="I1303" s="206"/>
      <c r="J1303" s="206"/>
      <c r="K1303" s="206" t="s">
        <v>782</v>
      </c>
      <c r="L1303" s="245">
        <f>L1302</f>
        <v>41591775</v>
      </c>
      <c r="M1303" s="261" t="s">
        <v>1351</v>
      </c>
      <c r="N1303" s="367"/>
      <c r="O1303" s="367">
        <v>45748.0</v>
      </c>
      <c r="P1303" s="367">
        <v>45838.0</v>
      </c>
      <c r="Q1303" s="249"/>
      <c r="R1303" s="249"/>
      <c r="S1303" s="249"/>
      <c r="T1303" s="249">
        <f>S1302</f>
        <v>13863925</v>
      </c>
      <c r="U1303" s="212">
        <f>T1303</f>
        <v>13863925</v>
      </c>
      <c r="V1303" s="212">
        <f>T1303</f>
        <v>13863925</v>
      </c>
      <c r="W1303" s="212"/>
      <c r="X1303" s="212"/>
      <c r="Y1303" s="212"/>
      <c r="Z1303" s="212"/>
      <c r="AA1303" s="212"/>
      <c r="AB1303" s="212"/>
      <c r="AC1303" s="213">
        <f t="shared" si="579"/>
        <v>41591775</v>
      </c>
      <c r="AD1303" s="420"/>
      <c r="AE1303" s="241"/>
      <c r="AF1303" s="194"/>
      <c r="AG1303" s="194"/>
      <c r="AH1303" s="194"/>
      <c r="AI1303" s="194"/>
    </row>
    <row r="1304" hidden="1">
      <c r="A1304" s="126"/>
      <c r="B1304" s="195"/>
      <c r="C1304" s="206"/>
      <c r="D1304" s="281" t="s">
        <v>1328</v>
      </c>
      <c r="E1304" s="260"/>
      <c r="F1304" s="207"/>
      <c r="G1304" s="260"/>
      <c r="H1304" s="206"/>
      <c r="I1304" s="206"/>
      <c r="J1304" s="206"/>
      <c r="K1304" s="206" t="s">
        <v>782</v>
      </c>
      <c r="L1304" s="245">
        <v>2.772785E7</v>
      </c>
      <c r="M1304" s="281" t="s">
        <v>297</v>
      </c>
      <c r="N1304" s="367"/>
      <c r="O1304" s="367">
        <f>P1303+1</f>
        <v>45839</v>
      </c>
      <c r="P1304" s="367">
        <v>45900.0</v>
      </c>
      <c r="Q1304" s="249"/>
      <c r="R1304" s="249"/>
      <c r="S1304" s="249"/>
      <c r="T1304" s="249"/>
      <c r="U1304" s="249"/>
      <c r="V1304" s="212"/>
      <c r="W1304" s="212">
        <f>L1304/2</f>
        <v>13863925</v>
      </c>
      <c r="X1304" s="212">
        <f>W1304</f>
        <v>13863925</v>
      </c>
      <c r="Y1304" s="212"/>
      <c r="Z1304" s="212"/>
      <c r="AA1304" s="212"/>
      <c r="AB1304" s="212"/>
      <c r="AC1304" s="213">
        <f t="shared" si="579"/>
        <v>27727850</v>
      </c>
      <c r="AD1304" s="420"/>
      <c r="AE1304" s="241"/>
      <c r="AF1304" s="194"/>
      <c r="AG1304" s="194"/>
      <c r="AH1304" s="194"/>
      <c r="AI1304" s="194"/>
    </row>
    <row r="1305" hidden="1">
      <c r="A1305" s="391"/>
      <c r="B1305" s="195"/>
      <c r="C1305" s="222"/>
      <c r="D1305" s="250" t="s">
        <v>1352</v>
      </c>
      <c r="E1305" s="233"/>
      <c r="F1305" s="224"/>
      <c r="G1305" s="233"/>
      <c r="H1305" s="222"/>
      <c r="I1305" s="222"/>
      <c r="J1305" s="222"/>
      <c r="K1305" s="222" t="s">
        <v>782</v>
      </c>
      <c r="L1305" s="346"/>
      <c r="M1305" s="940"/>
      <c r="N1305" s="365"/>
      <c r="O1305" s="365"/>
      <c r="P1305" s="365"/>
      <c r="Q1305" s="228">
        <f t="shared" ref="Q1305:Q1307" si="581">12490023*1.11</f>
        <v>13863925.53</v>
      </c>
      <c r="R1305" s="228">
        <f t="shared" ref="R1305:V1305" si="580">Q1305</f>
        <v>13863925.53</v>
      </c>
      <c r="S1305" s="228">
        <f t="shared" si="580"/>
        <v>13863925.53</v>
      </c>
      <c r="T1305" s="228">
        <f t="shared" si="580"/>
        <v>13863925.53</v>
      </c>
      <c r="U1305" s="228">
        <f t="shared" si="580"/>
        <v>13863925.53</v>
      </c>
      <c r="V1305" s="229">
        <f t="shared" si="580"/>
        <v>13863925.53</v>
      </c>
      <c r="W1305" s="228"/>
      <c r="X1305" s="230"/>
      <c r="Y1305" s="230"/>
      <c r="Z1305" s="230"/>
      <c r="AA1305" s="230"/>
      <c r="AB1305" s="230"/>
      <c r="AC1305" s="231">
        <f t="shared" si="579"/>
        <v>83183553.18</v>
      </c>
      <c r="AD1305" s="420"/>
      <c r="AE1305" s="241"/>
      <c r="AF1305" s="194"/>
      <c r="AG1305" s="194"/>
      <c r="AH1305" s="194"/>
      <c r="AI1305" s="194"/>
    </row>
    <row r="1306" hidden="1">
      <c r="A1306" s="391"/>
      <c r="B1306" s="195"/>
      <c r="C1306" s="196"/>
      <c r="D1306" s="286" t="s">
        <v>194</v>
      </c>
      <c r="E1306" s="233"/>
      <c r="F1306" s="233"/>
      <c r="G1306" s="233"/>
      <c r="H1306" s="377"/>
      <c r="I1306" s="377"/>
      <c r="J1306" s="222"/>
      <c r="K1306" s="222" t="s">
        <v>782</v>
      </c>
      <c r="L1306" s="225"/>
      <c r="M1306" s="236"/>
      <c r="N1306" s="285"/>
      <c r="O1306" s="285"/>
      <c r="P1306" s="285"/>
      <c r="Q1306" s="228">
        <f t="shared" si="581"/>
        <v>13863925.53</v>
      </c>
      <c r="R1306" s="228">
        <f t="shared" ref="R1306:U1306" si="582">Q1306</f>
        <v>13863925.53</v>
      </c>
      <c r="S1306" s="228">
        <f t="shared" si="582"/>
        <v>13863925.53</v>
      </c>
      <c r="T1306" s="228">
        <f t="shared" si="582"/>
        <v>13863925.53</v>
      </c>
      <c r="U1306" s="228">
        <f t="shared" si="582"/>
        <v>13863925.53</v>
      </c>
      <c r="V1306" s="238"/>
      <c r="W1306" s="238"/>
      <c r="X1306" s="238"/>
      <c r="Y1306" s="238"/>
      <c r="Z1306" s="238"/>
      <c r="AA1306" s="238"/>
      <c r="AB1306" s="238"/>
      <c r="AC1306" s="378">
        <f t="shared" si="579"/>
        <v>69319627.65</v>
      </c>
      <c r="AD1306" s="214"/>
      <c r="AE1306" s="241"/>
      <c r="AF1306" s="194"/>
      <c r="AG1306" s="194"/>
      <c r="AH1306" s="194"/>
      <c r="AI1306" s="194"/>
    </row>
    <row r="1307" hidden="1">
      <c r="A1307" s="391"/>
      <c r="B1307" s="195"/>
      <c r="C1307" s="196"/>
      <c r="D1307" s="286" t="s">
        <v>1353</v>
      </c>
      <c r="E1307" s="233"/>
      <c r="F1307" s="233"/>
      <c r="G1307" s="233"/>
      <c r="H1307" s="377"/>
      <c r="I1307" s="377"/>
      <c r="J1307" s="222"/>
      <c r="K1307" s="222" t="s">
        <v>782</v>
      </c>
      <c r="L1307" s="225"/>
      <c r="M1307" s="236"/>
      <c r="N1307" s="285"/>
      <c r="O1307" s="285"/>
      <c r="P1307" s="285"/>
      <c r="Q1307" s="228">
        <f t="shared" si="581"/>
        <v>13863925.53</v>
      </c>
      <c r="R1307" s="228">
        <f t="shared" ref="R1307:U1307" si="583">Q1307</f>
        <v>13863925.53</v>
      </c>
      <c r="S1307" s="228">
        <f t="shared" si="583"/>
        <v>13863925.53</v>
      </c>
      <c r="T1307" s="228">
        <f t="shared" si="583"/>
        <v>13863925.53</v>
      </c>
      <c r="U1307" s="228">
        <f t="shared" si="583"/>
        <v>13863925.53</v>
      </c>
      <c r="V1307" s="238"/>
      <c r="W1307" s="238"/>
      <c r="X1307" s="238"/>
      <c r="Y1307" s="238"/>
      <c r="Z1307" s="238"/>
      <c r="AA1307" s="238"/>
      <c r="AB1307" s="238"/>
      <c r="AC1307" s="378">
        <f t="shared" si="579"/>
        <v>69319627.65</v>
      </c>
      <c r="AD1307" s="214"/>
      <c r="AE1307" s="241"/>
      <c r="AF1307" s="194"/>
      <c r="AG1307" s="194"/>
      <c r="AH1307" s="194"/>
      <c r="AI1307" s="194"/>
    </row>
    <row r="1308" ht="31.5" customHeight="1">
      <c r="A1308" s="391"/>
      <c r="B1308" s="195"/>
      <c r="C1308" s="196">
        <v>7.0</v>
      </c>
      <c r="D1308" s="197" t="s">
        <v>1354</v>
      </c>
      <c r="E1308" s="198" t="s">
        <v>186</v>
      </c>
      <c r="F1308" s="198" t="s">
        <v>88</v>
      </c>
      <c r="G1308" s="198" t="s">
        <v>88</v>
      </c>
      <c r="H1308" s="198" t="s">
        <v>218</v>
      </c>
      <c r="I1308" s="198" t="s">
        <v>187</v>
      </c>
      <c r="J1308" s="198" t="s">
        <v>188</v>
      </c>
      <c r="K1308" s="937" t="s">
        <v>782</v>
      </c>
      <c r="L1308" s="895"/>
      <c r="M1308" s="240"/>
      <c r="N1308" s="388"/>
      <c r="O1308" s="388"/>
      <c r="P1308" s="388"/>
      <c r="Q1308" s="204">
        <v>9.561966E7</v>
      </c>
      <c r="R1308" s="204">
        <v>9.561966E7</v>
      </c>
      <c r="S1308" s="204">
        <v>9.561966E7</v>
      </c>
      <c r="T1308" s="204">
        <v>9.561966E7</v>
      </c>
      <c r="U1308" s="204">
        <v>9.561966E7</v>
      </c>
      <c r="V1308" s="204">
        <v>9.561966E7</v>
      </c>
      <c r="W1308" s="204">
        <v>9.561966E7</v>
      </c>
      <c r="X1308" s="204">
        <v>9.561966E7</v>
      </c>
      <c r="Y1308" s="204">
        <v>9.561966E7</v>
      </c>
      <c r="Z1308" s="204">
        <v>9.561966E7</v>
      </c>
      <c r="AA1308" s="204">
        <v>9.561966E7</v>
      </c>
      <c r="AB1308" s="204">
        <v>9.561966E7</v>
      </c>
      <c r="AC1308" s="205">
        <v>1.14743592E9</v>
      </c>
      <c r="AD1308" s="178">
        <f>SUM(Q1308:AB1308)-AC1308</f>
        <v>0</v>
      </c>
      <c r="AE1308" s="241"/>
      <c r="AF1308" s="194"/>
      <c r="AG1308" s="194"/>
      <c r="AH1308" s="194"/>
      <c r="AI1308" s="194"/>
    </row>
    <row r="1309" ht="31.5" hidden="1" customHeight="1">
      <c r="A1309" s="126"/>
      <c r="B1309" s="195"/>
      <c r="C1309" s="206"/>
      <c r="D1309" s="207" t="s">
        <v>1355</v>
      </c>
      <c r="E1309" s="260"/>
      <c r="F1309" s="207"/>
      <c r="G1309" s="260"/>
      <c r="H1309" s="206"/>
      <c r="I1309" s="206"/>
      <c r="J1309" s="206"/>
      <c r="K1309" s="206" t="s">
        <v>782</v>
      </c>
      <c r="L1309" s="245">
        <v>1.88989435E8</v>
      </c>
      <c r="M1309" s="209" t="s">
        <v>1356</v>
      </c>
      <c r="N1309" s="367"/>
      <c r="O1309" s="367">
        <v>45658.0</v>
      </c>
      <c r="P1309" s="367">
        <v>45716.0</v>
      </c>
      <c r="Q1309" s="249">
        <f>L1309/2</f>
        <v>94494717.5</v>
      </c>
      <c r="R1309" s="249">
        <f>Q1309</f>
        <v>94494717.5</v>
      </c>
      <c r="S1309" s="212"/>
      <c r="T1309" s="212"/>
      <c r="U1309" s="212"/>
      <c r="V1309" s="212"/>
      <c r="W1309" s="212"/>
      <c r="X1309" s="212"/>
      <c r="Y1309" s="212"/>
      <c r="Z1309" s="212"/>
      <c r="AA1309" s="212"/>
      <c r="AB1309" s="212"/>
      <c r="AC1309" s="213">
        <f t="shared" ref="AC1309:AC1315" si="584">SUM(Q1309:AB1309)</f>
        <v>188989435</v>
      </c>
      <c r="AD1309" s="420"/>
      <c r="AE1309" s="241"/>
      <c r="AF1309" s="194"/>
      <c r="AG1309" s="194"/>
      <c r="AH1309" s="194"/>
      <c r="AI1309" s="194"/>
    </row>
    <row r="1310" ht="31.5" hidden="1" customHeight="1">
      <c r="A1310" s="126"/>
      <c r="B1310" s="195"/>
      <c r="C1310" s="206"/>
      <c r="D1310" s="207"/>
      <c r="E1310" s="260"/>
      <c r="F1310" s="207"/>
      <c r="G1310" s="260"/>
      <c r="H1310" s="206"/>
      <c r="I1310" s="206"/>
      <c r="J1310" s="206"/>
      <c r="K1310" s="206" t="s">
        <v>782</v>
      </c>
      <c r="L1310" s="245">
        <v>1.88989435E8</v>
      </c>
      <c r="M1310" s="261" t="s">
        <v>1357</v>
      </c>
      <c r="N1310" s="367"/>
      <c r="O1310" s="367">
        <v>45717.0</v>
      </c>
      <c r="P1310" s="367">
        <v>45777.0</v>
      </c>
      <c r="Q1310" s="249"/>
      <c r="R1310" s="249"/>
      <c r="S1310" s="249">
        <f>R1309</f>
        <v>94494717.5</v>
      </c>
      <c r="T1310" s="212">
        <f>S1310</f>
        <v>94494717.5</v>
      </c>
      <c r="U1310" s="212"/>
      <c r="V1310" s="212"/>
      <c r="W1310" s="212"/>
      <c r="X1310" s="212"/>
      <c r="Y1310" s="212"/>
      <c r="Z1310" s="212"/>
      <c r="AA1310" s="212"/>
      <c r="AB1310" s="212"/>
      <c r="AC1310" s="213">
        <f t="shared" si="584"/>
        <v>188989435</v>
      </c>
      <c r="AD1310" s="420"/>
      <c r="AE1310" s="241"/>
      <c r="AF1310" s="194"/>
      <c r="AG1310" s="194"/>
      <c r="AH1310" s="194"/>
      <c r="AI1310" s="194"/>
    </row>
    <row r="1311" ht="31.5" hidden="1" customHeight="1">
      <c r="A1311" s="126"/>
      <c r="B1311" s="195"/>
      <c r="C1311" s="206"/>
      <c r="D1311" s="207"/>
      <c r="E1311" s="260"/>
      <c r="F1311" s="207"/>
      <c r="G1311" s="260"/>
      <c r="H1311" s="206"/>
      <c r="I1311" s="206"/>
      <c r="J1311" s="206"/>
      <c r="K1311" s="206" t="s">
        <v>782</v>
      </c>
      <c r="L1311" s="245">
        <v>1.88989435E8</v>
      </c>
      <c r="M1311" s="261" t="s">
        <v>1358</v>
      </c>
      <c r="N1311" s="367"/>
      <c r="O1311" s="367">
        <v>45778.0</v>
      </c>
      <c r="P1311" s="367">
        <v>45838.0</v>
      </c>
      <c r="Q1311" s="249"/>
      <c r="R1311" s="249"/>
      <c r="S1311" s="249"/>
      <c r="T1311" s="212"/>
      <c r="U1311" s="212">
        <f>T1310</f>
        <v>94494717.5</v>
      </c>
      <c r="V1311" s="212">
        <f>U1311</f>
        <v>94494717.5</v>
      </c>
      <c r="W1311" s="212"/>
      <c r="X1311" s="212"/>
      <c r="Y1311" s="212"/>
      <c r="Z1311" s="212"/>
      <c r="AA1311" s="212"/>
      <c r="AB1311" s="212"/>
      <c r="AC1311" s="213">
        <f t="shared" si="584"/>
        <v>188989435</v>
      </c>
      <c r="AD1311" s="420"/>
      <c r="AE1311" s="241"/>
      <c r="AF1311" s="194"/>
      <c r="AG1311" s="194"/>
      <c r="AH1311" s="194"/>
      <c r="AI1311" s="194"/>
    </row>
    <row r="1312" ht="31.5" hidden="1" customHeight="1">
      <c r="A1312" s="126"/>
      <c r="B1312" s="195"/>
      <c r="C1312" s="206"/>
      <c r="D1312" s="281" t="s">
        <v>1328</v>
      </c>
      <c r="E1312" s="260"/>
      <c r="F1312" s="207"/>
      <c r="G1312" s="260"/>
      <c r="H1312" s="206"/>
      <c r="I1312" s="206"/>
      <c r="J1312" s="206"/>
      <c r="K1312" s="206" t="s">
        <v>782</v>
      </c>
      <c r="L1312" s="245">
        <f>L1311</f>
        <v>188989435</v>
      </c>
      <c r="M1312" s="281" t="s">
        <v>237</v>
      </c>
      <c r="N1312" s="367"/>
      <c r="O1312" s="367">
        <f>P1311+1</f>
        <v>45839</v>
      </c>
      <c r="P1312" s="367">
        <v>45900.0</v>
      </c>
      <c r="Q1312" s="249"/>
      <c r="R1312" s="249"/>
      <c r="S1312" s="249"/>
      <c r="T1312" s="212"/>
      <c r="U1312" s="212"/>
      <c r="V1312" s="212"/>
      <c r="W1312" s="212">
        <f>L1312/2</f>
        <v>94494717.5</v>
      </c>
      <c r="X1312" s="212">
        <f>W1312</f>
        <v>94494717.5</v>
      </c>
      <c r="Y1312" s="212"/>
      <c r="Z1312" s="212"/>
      <c r="AA1312" s="212"/>
      <c r="AB1312" s="212"/>
      <c r="AC1312" s="213">
        <f t="shared" si="584"/>
        <v>188989435</v>
      </c>
      <c r="AD1312" s="420"/>
      <c r="AE1312" s="241"/>
      <c r="AF1312" s="194"/>
      <c r="AG1312" s="194"/>
      <c r="AH1312" s="194"/>
      <c r="AI1312" s="194"/>
    </row>
    <row r="1313" hidden="1">
      <c r="A1313" s="391"/>
      <c r="B1313" s="195"/>
      <c r="C1313" s="222"/>
      <c r="D1313" s="250" t="s">
        <v>1359</v>
      </c>
      <c r="E1313" s="233"/>
      <c r="F1313" s="224"/>
      <c r="G1313" s="233"/>
      <c r="H1313" s="222"/>
      <c r="I1313" s="222"/>
      <c r="J1313" s="222"/>
      <c r="K1313" s="222" t="s">
        <v>782</v>
      </c>
      <c r="L1313" s="346"/>
      <c r="M1313" s="940"/>
      <c r="N1313" s="365"/>
      <c r="O1313" s="365"/>
      <c r="P1313" s="365"/>
      <c r="Q1313" s="228">
        <f t="shared" ref="Q1313:Q1315" si="587">84910377*1.11</f>
        <v>94250518.47</v>
      </c>
      <c r="R1313" s="228">
        <f t="shared" ref="R1313:S1313" si="585">Q1313</f>
        <v>94250518.47</v>
      </c>
      <c r="S1313" s="228">
        <f t="shared" si="585"/>
        <v>94250518.47</v>
      </c>
      <c r="T1313" s="228">
        <v>9.4372617E7</v>
      </c>
      <c r="U1313" s="228">
        <f t="shared" ref="U1313:V1313" si="586">T1313</f>
        <v>94372617</v>
      </c>
      <c r="V1313" s="229">
        <f t="shared" si="586"/>
        <v>94372617</v>
      </c>
      <c r="W1313" s="228"/>
      <c r="X1313" s="230"/>
      <c r="Y1313" s="230"/>
      <c r="Z1313" s="230"/>
      <c r="AA1313" s="230"/>
      <c r="AB1313" s="230"/>
      <c r="AC1313" s="231">
        <f t="shared" si="584"/>
        <v>565869406.4</v>
      </c>
      <c r="AD1313" s="420"/>
      <c r="AE1313" s="241"/>
      <c r="AF1313" s="194"/>
      <c r="AG1313" s="194"/>
      <c r="AH1313" s="194"/>
      <c r="AI1313" s="194"/>
    </row>
    <row r="1314" hidden="1">
      <c r="A1314" s="391"/>
      <c r="B1314" s="941"/>
      <c r="C1314" s="433"/>
      <c r="D1314" s="286" t="s">
        <v>194</v>
      </c>
      <c r="E1314" s="509"/>
      <c r="F1314" s="527"/>
      <c r="G1314" s="509"/>
      <c r="H1314" s="510"/>
      <c r="I1314" s="510"/>
      <c r="J1314" s="511"/>
      <c r="K1314" s="222" t="s">
        <v>782</v>
      </c>
      <c r="L1314" s="457"/>
      <c r="M1314" s="552"/>
      <c r="N1314" s="553"/>
      <c r="O1314" s="553"/>
      <c r="P1314" s="553"/>
      <c r="Q1314" s="228">
        <f t="shared" si="587"/>
        <v>94250518.47</v>
      </c>
      <c r="R1314" s="228">
        <f t="shared" ref="R1314:S1314" si="588">Q1314</f>
        <v>94250518.47</v>
      </c>
      <c r="S1314" s="228">
        <f t="shared" si="588"/>
        <v>94250518.47</v>
      </c>
      <c r="T1314" s="228">
        <v>9.4372617E7</v>
      </c>
      <c r="U1314" s="228">
        <f t="shared" ref="U1314:U1315" si="590">T1314</f>
        <v>94372617</v>
      </c>
      <c r="V1314" s="942"/>
      <c r="W1314" s="942"/>
      <c r="X1314" s="942"/>
      <c r="Y1314" s="942"/>
      <c r="Z1314" s="942"/>
      <c r="AA1314" s="942"/>
      <c r="AB1314" s="942"/>
      <c r="AC1314" s="378">
        <f t="shared" si="584"/>
        <v>471496789.4</v>
      </c>
      <c r="AD1314" s="420"/>
      <c r="AE1314" s="241"/>
      <c r="AF1314" s="194"/>
      <c r="AG1314" s="194"/>
      <c r="AH1314" s="194"/>
      <c r="AI1314" s="194"/>
    </row>
    <row r="1315" hidden="1">
      <c r="A1315" s="391"/>
      <c r="B1315" s="941"/>
      <c r="C1315" s="433"/>
      <c r="D1315" s="286" t="s">
        <v>1360</v>
      </c>
      <c r="E1315" s="509"/>
      <c r="F1315" s="527"/>
      <c r="G1315" s="509"/>
      <c r="H1315" s="510"/>
      <c r="I1315" s="510"/>
      <c r="J1315" s="511"/>
      <c r="K1315" s="222" t="s">
        <v>782</v>
      </c>
      <c r="L1315" s="457"/>
      <c r="M1315" s="552"/>
      <c r="N1315" s="553"/>
      <c r="O1315" s="553"/>
      <c r="P1315" s="553"/>
      <c r="Q1315" s="228">
        <f t="shared" si="587"/>
        <v>94250518.47</v>
      </c>
      <c r="R1315" s="228">
        <f t="shared" ref="R1315:S1315" si="589">Q1315</f>
        <v>94250518.47</v>
      </c>
      <c r="S1315" s="228">
        <f t="shared" si="589"/>
        <v>94250518.47</v>
      </c>
      <c r="T1315" s="228">
        <v>9.4372617E7</v>
      </c>
      <c r="U1315" s="228">
        <f t="shared" si="590"/>
        <v>94372617</v>
      </c>
      <c r="V1315" s="942"/>
      <c r="W1315" s="942"/>
      <c r="X1315" s="942"/>
      <c r="Y1315" s="942"/>
      <c r="Z1315" s="942"/>
      <c r="AA1315" s="942"/>
      <c r="AB1315" s="942"/>
      <c r="AC1315" s="378">
        <f t="shared" si="584"/>
        <v>471496789.4</v>
      </c>
      <c r="AD1315" s="420"/>
      <c r="AE1315" s="241"/>
      <c r="AF1315" s="194"/>
      <c r="AG1315" s="194"/>
      <c r="AH1315" s="194"/>
      <c r="AI1315" s="194"/>
    </row>
    <row r="1316">
      <c r="A1316" s="391"/>
      <c r="B1316" s="941"/>
      <c r="C1316" s="433">
        <v>8.0</v>
      </c>
      <c r="D1316" s="516" t="s">
        <v>1361</v>
      </c>
      <c r="E1316" s="198" t="s">
        <v>326</v>
      </c>
      <c r="F1316" s="198" t="s">
        <v>103</v>
      </c>
      <c r="G1316" s="198" t="s">
        <v>84</v>
      </c>
      <c r="H1316" s="198" t="s">
        <v>84</v>
      </c>
      <c r="I1316" s="198" t="s">
        <v>187</v>
      </c>
      <c r="J1316" s="198" t="s">
        <v>188</v>
      </c>
      <c r="K1316" s="943" t="s">
        <v>782</v>
      </c>
      <c r="L1316" s="944">
        <v>1.79484628E8</v>
      </c>
      <c r="M1316" s="945" t="s">
        <v>1362</v>
      </c>
      <c r="N1316" s="946"/>
      <c r="O1316" s="946">
        <v>45658.0</v>
      </c>
      <c r="P1316" s="946">
        <v>45747.0</v>
      </c>
      <c r="Q1316" s="793">
        <v>5.7570499E7</v>
      </c>
      <c r="R1316" s="793">
        <v>5.7570499E7</v>
      </c>
      <c r="S1316" s="793">
        <v>5.7570499E7</v>
      </c>
      <c r="T1316" s="793">
        <v>5.7570499E7</v>
      </c>
      <c r="U1316" s="793">
        <v>5.7570499E7</v>
      </c>
      <c r="V1316" s="793">
        <v>5.7570499E7</v>
      </c>
      <c r="W1316" s="793">
        <v>5.7570499E7</v>
      </c>
      <c r="X1316" s="793">
        <v>5.7570499E7</v>
      </c>
      <c r="Y1316" s="793">
        <v>5.7570499E7</v>
      </c>
      <c r="Z1316" s="793">
        <v>5.7570499E7</v>
      </c>
      <c r="AA1316" s="793">
        <v>5.7570499E7</v>
      </c>
      <c r="AB1316" s="793">
        <v>5.7570499E7</v>
      </c>
      <c r="AC1316" s="794">
        <v>6.90845988E8</v>
      </c>
      <c r="AD1316" s="420"/>
      <c r="AE1316" s="241"/>
      <c r="AF1316" s="194"/>
      <c r="AG1316" s="194"/>
      <c r="AH1316" s="194"/>
      <c r="AI1316" s="194"/>
    </row>
    <row r="1317" ht="31.5" hidden="1" customHeight="1">
      <c r="A1317" s="126"/>
      <c r="B1317" s="947"/>
      <c r="C1317" s="658"/>
      <c r="D1317" s="948"/>
      <c r="E1317" s="949"/>
      <c r="F1317" s="593"/>
      <c r="G1317" s="949"/>
      <c r="H1317" s="594"/>
      <c r="I1317" s="594"/>
      <c r="J1317" s="950"/>
      <c r="K1317" s="761" t="s">
        <v>782</v>
      </c>
      <c r="L1317" s="444">
        <v>1.79484628E8</v>
      </c>
      <c r="M1317" s="951" t="s">
        <v>1362</v>
      </c>
      <c r="N1317" s="699"/>
      <c r="O1317" s="699">
        <v>45658.0</v>
      </c>
      <c r="P1317" s="699">
        <v>45747.0</v>
      </c>
      <c r="Q1317" s="448">
        <f>L1317/3</f>
        <v>59828209.33</v>
      </c>
      <c r="R1317" s="448">
        <f t="shared" ref="R1317:S1317" si="591">Q1317</f>
        <v>59828209.33</v>
      </c>
      <c r="S1317" s="448">
        <f t="shared" si="591"/>
        <v>59828209.33</v>
      </c>
      <c r="T1317" s="952"/>
      <c r="U1317" s="952"/>
      <c r="V1317" s="952"/>
      <c r="W1317" s="952"/>
      <c r="X1317" s="952"/>
      <c r="Y1317" s="952"/>
      <c r="Z1317" s="952"/>
      <c r="AA1317" s="952"/>
      <c r="AB1317" s="952"/>
      <c r="AC1317" s="449">
        <f>sum(Q1317:AB1317)</f>
        <v>179484628</v>
      </c>
      <c r="AD1317" s="420"/>
      <c r="AE1317" s="692"/>
      <c r="AF1317" s="273"/>
      <c r="AG1317" s="273"/>
      <c r="AH1317" s="273"/>
      <c r="AI1317" s="273"/>
    </row>
    <row r="1318" ht="31.5" hidden="1" customHeight="1">
      <c r="A1318" s="126"/>
      <c r="B1318" s="947"/>
      <c r="C1318" s="658"/>
      <c r="D1318" s="215"/>
      <c r="E1318" s="953"/>
      <c r="F1318" s="534"/>
      <c r="G1318" s="953"/>
      <c r="H1318" s="523"/>
      <c r="I1318" s="523"/>
      <c r="J1318" s="523"/>
      <c r="K1318" s="523" t="s">
        <v>782</v>
      </c>
      <c r="L1318" s="444">
        <v>1.79484628E8</v>
      </c>
      <c r="M1318" s="954" t="s">
        <v>1363</v>
      </c>
      <c r="N1318" s="446"/>
      <c r="O1318" s="446">
        <v>45748.0</v>
      </c>
      <c r="P1318" s="446">
        <v>45838.0</v>
      </c>
      <c r="Q1318" s="448"/>
      <c r="R1318" s="448"/>
      <c r="S1318" s="448"/>
      <c r="T1318" s="448">
        <v>5.98282093333333E7</v>
      </c>
      <c r="U1318" s="448">
        <v>5.98282093333333E7</v>
      </c>
      <c r="V1318" s="448">
        <v>5.98282093333333E7</v>
      </c>
      <c r="W1318" s="952"/>
      <c r="X1318" s="952"/>
      <c r="Y1318" s="952"/>
      <c r="Z1318" s="952"/>
      <c r="AA1318" s="952"/>
      <c r="AB1318" s="952"/>
      <c r="AC1318" s="449">
        <f t="shared" ref="AC1318:AC1342" si="592">SUM(Q1318:AB1318)</f>
        <v>179484628</v>
      </c>
      <c r="AD1318" s="420"/>
      <c r="AE1318" s="692"/>
      <c r="AF1318" s="273"/>
      <c r="AG1318" s="273"/>
      <c r="AH1318" s="273"/>
      <c r="AI1318" s="273"/>
    </row>
    <row r="1319" hidden="1">
      <c r="A1319" s="126"/>
      <c r="B1319" s="947"/>
      <c r="C1319" s="658"/>
      <c r="D1319" s="955" t="s">
        <v>1364</v>
      </c>
      <c r="E1319" s="949"/>
      <c r="F1319" s="534"/>
      <c r="G1319" s="953"/>
      <c r="H1319" s="523"/>
      <c r="I1319" s="523"/>
      <c r="J1319" s="523"/>
      <c r="K1319" s="523" t="s">
        <v>782</v>
      </c>
      <c r="L1319" s="444">
        <v>1.99227937E8</v>
      </c>
      <c r="M1319" s="956" t="s">
        <v>297</v>
      </c>
      <c r="N1319" s="446"/>
      <c r="O1319" s="446">
        <v>45839.0</v>
      </c>
      <c r="P1319" s="446">
        <v>45900.0</v>
      </c>
      <c r="Q1319" s="448"/>
      <c r="R1319" s="448"/>
      <c r="S1319" s="448"/>
      <c r="T1319" s="447" t="str">
        <f>S1318</f>
        <v/>
      </c>
      <c r="U1319" s="447" t="str">
        <f>T1319</f>
        <v/>
      </c>
      <c r="V1319" s="447" t="str">
        <f>T1319</f>
        <v/>
      </c>
      <c r="W1319" s="448">
        <f>L1319/2</f>
        <v>99613968.5</v>
      </c>
      <c r="X1319" s="448">
        <f>W1319</f>
        <v>99613968.5</v>
      </c>
      <c r="Y1319" s="952"/>
      <c r="Z1319" s="952"/>
      <c r="AA1319" s="952"/>
      <c r="AB1319" s="952"/>
      <c r="AC1319" s="449">
        <f t="shared" si="592"/>
        <v>199227937</v>
      </c>
      <c r="AD1319" s="420"/>
      <c r="AE1319" s="849"/>
      <c r="AF1319" s="420"/>
      <c r="AG1319" s="420"/>
      <c r="AH1319" s="420"/>
      <c r="AI1319" s="420"/>
    </row>
    <row r="1320" hidden="1">
      <c r="A1320" s="391"/>
      <c r="B1320" s="947"/>
      <c r="C1320" s="222"/>
      <c r="D1320" s="250" t="s">
        <v>1365</v>
      </c>
      <c r="E1320" s="470"/>
      <c r="F1320" s="470"/>
      <c r="G1320" s="470"/>
      <c r="H1320" s="456"/>
      <c r="I1320" s="456"/>
      <c r="J1320" s="222"/>
      <c r="K1320" s="222" t="s">
        <v>782</v>
      </c>
      <c r="L1320" s="457"/>
      <c r="M1320" s="957"/>
      <c r="N1320" s="459"/>
      <c r="O1320" s="459"/>
      <c r="P1320" s="459"/>
      <c r="Q1320" s="600">
        <v>5.9828209E7</v>
      </c>
      <c r="R1320" s="600">
        <v>5.9828209E7</v>
      </c>
      <c r="S1320" s="600">
        <v>5.9828209E7</v>
      </c>
      <c r="T1320" s="600">
        <v>5.9828209E7</v>
      </c>
      <c r="U1320" s="600">
        <v>5.9828209E7</v>
      </c>
      <c r="V1320" s="958">
        <v>60.0</v>
      </c>
      <c r="W1320" s="552"/>
      <c r="X1320" s="942"/>
      <c r="Y1320" s="942"/>
      <c r="Z1320" s="942"/>
      <c r="AA1320" s="942"/>
      <c r="AB1320" s="942"/>
      <c r="AC1320" s="538">
        <f t="shared" si="592"/>
        <v>299141105</v>
      </c>
      <c r="AD1320" s="420"/>
      <c r="AE1320" s="692"/>
      <c r="AF1320" s="273"/>
      <c r="AG1320" s="273"/>
      <c r="AH1320" s="273"/>
      <c r="AI1320" s="273"/>
    </row>
    <row r="1321" hidden="1">
      <c r="A1321" s="569"/>
      <c r="B1321" s="959"/>
      <c r="C1321" s="960"/>
      <c r="D1321" s="286" t="s">
        <v>194</v>
      </c>
      <c r="E1321" s="573"/>
      <c r="F1321" s="961"/>
      <c r="G1321" s="573"/>
      <c r="H1321" s="574"/>
      <c r="I1321" s="574"/>
      <c r="J1321" s="511"/>
      <c r="K1321" s="222" t="s">
        <v>782</v>
      </c>
      <c r="L1321" s="962"/>
      <c r="M1321" s="963"/>
      <c r="N1321" s="577"/>
      <c r="O1321" s="577"/>
      <c r="P1321" s="964"/>
      <c r="Q1321" s="600">
        <v>5.9828209E7</v>
      </c>
      <c r="R1321" s="600">
        <v>5.9828209E7</v>
      </c>
      <c r="S1321" s="600">
        <v>5.9828209E7</v>
      </c>
      <c r="T1321" s="600">
        <v>5.9828209E7</v>
      </c>
      <c r="U1321" s="600">
        <v>5.9828209E7</v>
      </c>
      <c r="V1321" s="578"/>
      <c r="W1321" s="578"/>
      <c r="X1321" s="578"/>
      <c r="Y1321" s="578"/>
      <c r="Z1321" s="578"/>
      <c r="AA1321" s="578"/>
      <c r="AB1321" s="578"/>
      <c r="AC1321" s="378">
        <f t="shared" si="592"/>
        <v>299141045</v>
      </c>
      <c r="AD1321" s="965"/>
      <c r="AE1321" s="966"/>
      <c r="AF1321" s="579"/>
      <c r="AG1321" s="579"/>
      <c r="AH1321" s="579"/>
      <c r="AI1321" s="579"/>
    </row>
    <row r="1322" hidden="1">
      <c r="A1322" s="569"/>
      <c r="B1322" s="959"/>
      <c r="C1322" s="960"/>
      <c r="D1322" s="286" t="s">
        <v>1366</v>
      </c>
      <c r="E1322" s="573"/>
      <c r="F1322" s="961"/>
      <c r="G1322" s="573"/>
      <c r="H1322" s="574"/>
      <c r="I1322" s="574"/>
      <c r="J1322" s="511"/>
      <c r="K1322" s="222" t="s">
        <v>782</v>
      </c>
      <c r="L1322" s="962"/>
      <c r="M1322" s="963"/>
      <c r="N1322" s="577"/>
      <c r="O1322" s="577"/>
      <c r="P1322" s="964"/>
      <c r="Q1322" s="600">
        <v>5.9828209E7</v>
      </c>
      <c r="R1322" s="600">
        <v>5.9828209E7</v>
      </c>
      <c r="S1322" s="600">
        <v>5.9828209E7</v>
      </c>
      <c r="T1322" s="600">
        <v>5.9828209E7</v>
      </c>
      <c r="U1322" s="600">
        <v>5.9828209E7</v>
      </c>
      <c r="V1322" s="578"/>
      <c r="W1322" s="578"/>
      <c r="X1322" s="578"/>
      <c r="Y1322" s="578"/>
      <c r="Z1322" s="578"/>
      <c r="AA1322" s="578"/>
      <c r="AB1322" s="578"/>
      <c r="AC1322" s="378">
        <f t="shared" si="592"/>
        <v>299141045</v>
      </c>
      <c r="AD1322" s="965"/>
      <c r="AE1322" s="966"/>
      <c r="AF1322" s="579"/>
      <c r="AG1322" s="579"/>
      <c r="AH1322" s="579"/>
      <c r="AI1322" s="579"/>
    </row>
    <row r="1323">
      <c r="A1323" s="569"/>
      <c r="B1323" s="959"/>
      <c r="C1323" s="960">
        <v>9.0</v>
      </c>
      <c r="D1323" s="967" t="s">
        <v>1367</v>
      </c>
      <c r="E1323" s="198" t="s">
        <v>326</v>
      </c>
      <c r="F1323" s="198" t="s">
        <v>305</v>
      </c>
      <c r="G1323" s="198" t="s">
        <v>327</v>
      </c>
      <c r="H1323" s="198" t="s">
        <v>328</v>
      </c>
      <c r="I1323" s="198" t="s">
        <v>187</v>
      </c>
      <c r="J1323" s="198" t="s">
        <v>188</v>
      </c>
      <c r="K1323" s="586" t="s">
        <v>782</v>
      </c>
      <c r="L1323" s="968">
        <f>450187000*1.11</f>
        <v>499707570</v>
      </c>
      <c r="M1323" s="588" t="s">
        <v>1368</v>
      </c>
      <c r="N1323" s="589"/>
      <c r="O1323" s="589">
        <v>45756.0</v>
      </c>
      <c r="P1323" s="969">
        <f>O1323+180-1</f>
        <v>45935</v>
      </c>
      <c r="Q1323" s="590"/>
      <c r="R1323" s="590"/>
      <c r="S1323" s="590"/>
      <c r="T1323" s="590"/>
      <c r="U1323" s="590"/>
      <c r="V1323" s="590"/>
      <c r="W1323" s="590"/>
      <c r="X1323" s="590"/>
      <c r="Y1323" s="590"/>
      <c r="Z1323" s="590"/>
      <c r="AA1323" s="590"/>
      <c r="AB1323" s="590"/>
      <c r="AC1323" s="440">
        <f t="shared" si="592"/>
        <v>0</v>
      </c>
      <c r="AD1323" s="965"/>
      <c r="AE1323" s="966"/>
      <c r="AF1323" s="579"/>
      <c r="AG1323" s="579"/>
      <c r="AH1323" s="579"/>
      <c r="AI1323" s="579"/>
    </row>
    <row r="1324" hidden="1">
      <c r="A1324" s="126"/>
      <c r="B1324" s="947"/>
      <c r="C1324" s="970"/>
      <c r="D1324" s="207"/>
      <c r="E1324" s="207"/>
      <c r="F1324" s="442"/>
      <c r="G1324" s="207"/>
      <c r="H1324" s="206"/>
      <c r="I1324" s="206"/>
      <c r="J1324" s="523"/>
      <c r="K1324" s="523" t="s">
        <v>782</v>
      </c>
      <c r="L1324" s="444"/>
      <c r="M1324" s="485"/>
      <c r="N1324" s="446"/>
      <c r="O1324" s="446"/>
      <c r="P1324" s="446"/>
      <c r="Q1324" s="447"/>
      <c r="R1324" s="447"/>
      <c r="S1324" s="447"/>
      <c r="T1324" s="447"/>
      <c r="U1324" s="447"/>
      <c r="V1324" s="447"/>
      <c r="W1324" s="447"/>
      <c r="X1324" s="447"/>
      <c r="Y1324" s="447">
        <f>L1323*95%</f>
        <v>474722191.5</v>
      </c>
      <c r="Z1324" s="447"/>
      <c r="AA1324" s="447">
        <f>L1323*5%</f>
        <v>24985378.5</v>
      </c>
      <c r="AB1324" s="447"/>
      <c r="AC1324" s="449">
        <f t="shared" si="592"/>
        <v>499707570</v>
      </c>
      <c r="AD1324" s="420"/>
      <c r="AE1324" s="692"/>
      <c r="AF1324" s="273"/>
      <c r="AG1324" s="273"/>
      <c r="AH1324" s="273"/>
      <c r="AI1324" s="273"/>
    </row>
    <row r="1325" hidden="1">
      <c r="A1325" s="391"/>
      <c r="B1325" s="947"/>
      <c r="C1325" s="222"/>
      <c r="D1325" s="250" t="s">
        <v>1369</v>
      </c>
      <c r="E1325" s="224"/>
      <c r="F1325" s="450"/>
      <c r="G1325" s="224"/>
      <c r="H1325" s="222"/>
      <c r="I1325" s="222"/>
      <c r="J1325" s="222"/>
      <c r="K1325" s="222" t="s">
        <v>782</v>
      </c>
      <c r="L1325" s="346"/>
      <c r="M1325" s="451"/>
      <c r="N1325" s="365"/>
      <c r="O1325" s="365"/>
      <c r="P1325" s="365"/>
      <c r="Q1325" s="452"/>
      <c r="R1325" s="452"/>
      <c r="S1325" s="452"/>
      <c r="T1325" s="452"/>
      <c r="U1325" s="452"/>
      <c r="V1325" s="452"/>
      <c r="W1325" s="452"/>
      <c r="X1325" s="452"/>
      <c r="Y1325" s="452"/>
      <c r="Z1325" s="452"/>
      <c r="AA1325" s="452"/>
      <c r="AB1325" s="452"/>
      <c r="AC1325" s="231">
        <f t="shared" si="592"/>
        <v>0</v>
      </c>
      <c r="AD1325" s="420"/>
      <c r="AE1325" s="849"/>
      <c r="AF1325" s="420"/>
      <c r="AG1325" s="420"/>
      <c r="AH1325" s="420"/>
      <c r="AI1325" s="420"/>
    </row>
    <row r="1326" hidden="1">
      <c r="A1326" s="391"/>
      <c r="B1326" s="947"/>
      <c r="C1326" s="971"/>
      <c r="D1326" s="286" t="s">
        <v>194</v>
      </c>
      <c r="E1326" s="527"/>
      <c r="F1326" s="454"/>
      <c r="G1326" s="527"/>
      <c r="H1326" s="510"/>
      <c r="I1326" s="510"/>
      <c r="J1326" s="511"/>
      <c r="K1326" s="222" t="s">
        <v>782</v>
      </c>
      <c r="L1326" s="457"/>
      <c r="M1326" s="972"/>
      <c r="N1326" s="514"/>
      <c r="O1326" s="514"/>
      <c r="P1326" s="514"/>
      <c r="Q1326" s="600"/>
      <c r="R1326" s="600"/>
      <c r="S1326" s="600"/>
      <c r="T1326" s="600"/>
      <c r="U1326" s="452"/>
      <c r="V1326" s="452"/>
      <c r="W1326" s="452"/>
      <c r="X1326" s="452"/>
      <c r="Y1326" s="452"/>
      <c r="Z1326" s="452"/>
      <c r="AA1326" s="452"/>
      <c r="AB1326" s="452"/>
      <c r="AC1326" s="378">
        <f t="shared" si="592"/>
        <v>0</v>
      </c>
      <c r="AD1326" s="420"/>
      <c r="AE1326" s="353"/>
      <c r="AF1326" s="273"/>
      <c r="AG1326" s="273"/>
      <c r="AH1326" s="273"/>
      <c r="AI1326" s="273"/>
    </row>
    <row r="1327" hidden="1">
      <c r="A1327" s="391"/>
      <c r="B1327" s="947"/>
      <c r="C1327" s="971"/>
      <c r="D1327" s="286" t="s">
        <v>1370</v>
      </c>
      <c r="E1327" s="527"/>
      <c r="F1327" s="454"/>
      <c r="G1327" s="527"/>
      <c r="H1327" s="510"/>
      <c r="I1327" s="510"/>
      <c r="J1327" s="511"/>
      <c r="K1327" s="222" t="s">
        <v>782</v>
      </c>
      <c r="L1327" s="457"/>
      <c r="M1327" s="972"/>
      <c r="N1327" s="514"/>
      <c r="O1327" s="514"/>
      <c r="P1327" s="514"/>
      <c r="Q1327" s="600"/>
      <c r="R1327" s="600"/>
      <c r="S1327" s="600"/>
      <c r="T1327" s="600"/>
      <c r="U1327" s="452"/>
      <c r="V1327" s="452"/>
      <c r="W1327" s="452"/>
      <c r="X1327" s="452"/>
      <c r="Y1327" s="452"/>
      <c r="Z1327" s="452"/>
      <c r="AA1327" s="452"/>
      <c r="AB1327" s="452"/>
      <c r="AC1327" s="378">
        <f t="shared" si="592"/>
        <v>0</v>
      </c>
      <c r="AD1327" s="420"/>
      <c r="AE1327" s="353"/>
      <c r="AF1327" s="273"/>
      <c r="AG1327" s="273"/>
      <c r="AH1327" s="273"/>
      <c r="AI1327" s="273"/>
    </row>
    <row r="1328">
      <c r="A1328" s="391"/>
      <c r="B1328" s="947"/>
      <c r="C1328" s="971">
        <v>10.0</v>
      </c>
      <c r="D1328" s="831" t="s">
        <v>1371</v>
      </c>
      <c r="E1328" s="198" t="s">
        <v>186</v>
      </c>
      <c r="F1328" s="198" t="s">
        <v>305</v>
      </c>
      <c r="G1328" s="198" t="s">
        <v>92</v>
      </c>
      <c r="H1328" s="198" t="s">
        <v>306</v>
      </c>
      <c r="I1328" s="198" t="s">
        <v>187</v>
      </c>
      <c r="J1328" s="198" t="s">
        <v>188</v>
      </c>
      <c r="K1328" s="529" t="s">
        <v>782</v>
      </c>
      <c r="L1328" s="436">
        <f>2805945420</f>
        <v>2805945420</v>
      </c>
      <c r="M1328" s="973" t="s">
        <v>1372</v>
      </c>
      <c r="N1328" s="532"/>
      <c r="O1328" s="532">
        <v>45625.0</v>
      </c>
      <c r="P1328" s="532">
        <v>47451.0</v>
      </c>
      <c r="Q1328" s="710"/>
      <c r="R1328" s="710"/>
      <c r="S1328" s="710"/>
      <c r="T1328" s="710"/>
      <c r="U1328" s="439"/>
      <c r="V1328" s="439"/>
      <c r="W1328" s="439"/>
      <c r="X1328" s="439"/>
      <c r="Y1328" s="439"/>
      <c r="Z1328" s="439"/>
      <c r="AA1328" s="439"/>
      <c r="AB1328" s="439"/>
      <c r="AC1328" s="440">
        <f t="shared" si="592"/>
        <v>0</v>
      </c>
      <c r="AD1328" s="420"/>
      <c r="AE1328" s="353"/>
      <c r="AF1328" s="273"/>
      <c r="AG1328" s="273"/>
      <c r="AH1328" s="273"/>
      <c r="AI1328" s="273"/>
    </row>
    <row r="1329" hidden="1">
      <c r="A1329" s="126"/>
      <c r="B1329" s="947"/>
      <c r="C1329" s="970"/>
      <c r="D1329" s="207"/>
      <c r="E1329" s="207"/>
      <c r="F1329" s="442"/>
      <c r="G1329" s="207"/>
      <c r="H1329" s="206"/>
      <c r="I1329" s="206"/>
      <c r="J1329" s="523"/>
      <c r="K1329" s="523" t="s">
        <v>782</v>
      </c>
      <c r="L1329" s="444"/>
      <c r="M1329" s="485"/>
      <c r="N1329" s="446"/>
      <c r="O1329" s="446"/>
      <c r="P1329" s="446"/>
      <c r="Q1329" s="448">
        <f>L1328/60</f>
        <v>46765757</v>
      </c>
      <c r="R1329" s="448">
        <f t="shared" ref="R1329:AB1329" si="593">Q1329</f>
        <v>46765757</v>
      </c>
      <c r="S1329" s="448">
        <f t="shared" si="593"/>
        <v>46765757</v>
      </c>
      <c r="T1329" s="448">
        <f t="shared" si="593"/>
        <v>46765757</v>
      </c>
      <c r="U1329" s="448">
        <f t="shared" si="593"/>
        <v>46765757</v>
      </c>
      <c r="V1329" s="448">
        <f t="shared" si="593"/>
        <v>46765757</v>
      </c>
      <c r="W1329" s="448">
        <f t="shared" si="593"/>
        <v>46765757</v>
      </c>
      <c r="X1329" s="448">
        <f t="shared" si="593"/>
        <v>46765757</v>
      </c>
      <c r="Y1329" s="448">
        <f t="shared" si="593"/>
        <v>46765757</v>
      </c>
      <c r="Z1329" s="448">
        <f t="shared" si="593"/>
        <v>46765757</v>
      </c>
      <c r="AA1329" s="448">
        <f t="shared" si="593"/>
        <v>46765757</v>
      </c>
      <c r="AB1329" s="448">
        <f t="shared" si="593"/>
        <v>46765757</v>
      </c>
      <c r="AC1329" s="449">
        <f t="shared" si="592"/>
        <v>561189084</v>
      </c>
      <c r="AD1329" s="420"/>
      <c r="AE1329" s="692"/>
      <c r="AF1329" s="273"/>
      <c r="AG1329" s="273"/>
      <c r="AH1329" s="273"/>
      <c r="AI1329" s="273"/>
    </row>
    <row r="1330" hidden="1">
      <c r="A1330" s="391"/>
      <c r="B1330" s="947"/>
      <c r="C1330" s="222"/>
      <c r="D1330" s="250" t="s">
        <v>1373</v>
      </c>
      <c r="E1330" s="224"/>
      <c r="F1330" s="450"/>
      <c r="G1330" s="224"/>
      <c r="H1330" s="222"/>
      <c r="I1330" s="222"/>
      <c r="J1330" s="222"/>
      <c r="K1330" s="222" t="s">
        <v>782</v>
      </c>
      <c r="L1330" s="346"/>
      <c r="M1330" s="451"/>
      <c r="N1330" s="365"/>
      <c r="O1330" s="365"/>
      <c r="P1330" s="365"/>
      <c r="Q1330" s="275">
        <v>4.6765757E7</v>
      </c>
      <c r="R1330" s="275">
        <v>4.6765757E7</v>
      </c>
      <c r="S1330" s="275">
        <v>4.6765757E7</v>
      </c>
      <c r="T1330" s="238">
        <f t="shared" ref="T1330:V1330" si="594">S1330</f>
        <v>46765757</v>
      </c>
      <c r="U1330" s="238">
        <f t="shared" si="594"/>
        <v>46765757</v>
      </c>
      <c r="V1330" s="238">
        <f t="shared" si="594"/>
        <v>46765757</v>
      </c>
      <c r="W1330" s="452"/>
      <c r="X1330" s="452"/>
      <c r="Y1330" s="452"/>
      <c r="Z1330" s="452"/>
      <c r="AA1330" s="452"/>
      <c r="AB1330" s="452"/>
      <c r="AC1330" s="231">
        <f t="shared" si="592"/>
        <v>280594542</v>
      </c>
      <c r="AD1330" s="974"/>
      <c r="AE1330" s="692"/>
      <c r="AF1330" s="273"/>
      <c r="AG1330" s="273"/>
      <c r="AH1330" s="273"/>
      <c r="AI1330" s="273"/>
    </row>
    <row r="1331" hidden="1">
      <c r="A1331" s="391"/>
      <c r="B1331" s="947"/>
      <c r="C1331" s="971"/>
      <c r="D1331" s="286" t="s">
        <v>194</v>
      </c>
      <c r="E1331" s="611"/>
      <c r="F1331" s="611"/>
      <c r="G1331" s="611"/>
      <c r="H1331" s="910"/>
      <c r="I1331" s="910"/>
      <c r="J1331" s="222"/>
      <c r="K1331" s="222" t="s">
        <v>782</v>
      </c>
      <c r="L1331" s="426"/>
      <c r="M1331" s="427"/>
      <c r="N1331" s="428"/>
      <c r="O1331" s="428"/>
      <c r="P1331" s="428"/>
      <c r="Q1331" s="238">
        <v>4.6765757E7</v>
      </c>
      <c r="R1331" s="238">
        <v>4.6765757E7</v>
      </c>
      <c r="S1331" s="238">
        <v>4.6765757E7</v>
      </c>
      <c r="T1331" s="614"/>
      <c r="U1331" s="614"/>
      <c r="V1331" s="614"/>
      <c r="W1331" s="614"/>
      <c r="X1331" s="614"/>
      <c r="Y1331" s="614"/>
      <c r="Z1331" s="614"/>
      <c r="AA1331" s="614"/>
      <c r="AB1331" s="614"/>
      <c r="AC1331" s="378">
        <f t="shared" si="592"/>
        <v>140297271</v>
      </c>
      <c r="AD1331" s="974"/>
      <c r="AE1331" s="692"/>
      <c r="AF1331" s="273"/>
      <c r="AG1331" s="273"/>
      <c r="AH1331" s="273"/>
      <c r="AI1331" s="273"/>
    </row>
    <row r="1332" hidden="1">
      <c r="A1332" s="391"/>
      <c r="B1332" s="947"/>
      <c r="C1332" s="971"/>
      <c r="D1332" s="286" t="s">
        <v>1374</v>
      </c>
      <c r="E1332" s="611"/>
      <c r="F1332" s="611"/>
      <c r="G1332" s="611"/>
      <c r="H1332" s="910"/>
      <c r="I1332" s="910"/>
      <c r="J1332" s="222"/>
      <c r="K1332" s="222" t="s">
        <v>782</v>
      </c>
      <c r="L1332" s="426"/>
      <c r="M1332" s="427"/>
      <c r="N1332" s="428"/>
      <c r="O1332" s="428"/>
      <c r="P1332" s="428"/>
      <c r="Q1332" s="429"/>
      <c r="R1332" s="429"/>
      <c r="S1332" s="429"/>
      <c r="T1332" s="614"/>
      <c r="U1332" s="614"/>
      <c r="V1332" s="614"/>
      <c r="W1332" s="614"/>
      <c r="X1332" s="614"/>
      <c r="Y1332" s="614"/>
      <c r="Z1332" s="614"/>
      <c r="AA1332" s="614"/>
      <c r="AB1332" s="614"/>
      <c r="AC1332" s="378">
        <f t="shared" si="592"/>
        <v>0</v>
      </c>
      <c r="AD1332" s="974"/>
      <c r="AE1332" s="692"/>
      <c r="AF1332" s="273"/>
      <c r="AG1332" s="273"/>
      <c r="AH1332" s="273"/>
      <c r="AI1332" s="273"/>
    </row>
    <row r="1333">
      <c r="A1333" s="391"/>
      <c r="B1333" s="975"/>
      <c r="C1333" s="971">
        <v>11.0</v>
      </c>
      <c r="D1333" s="976" t="s">
        <v>1375</v>
      </c>
      <c r="E1333" s="198" t="s">
        <v>186</v>
      </c>
      <c r="F1333" s="198" t="s">
        <v>135</v>
      </c>
      <c r="G1333" s="198" t="s">
        <v>135</v>
      </c>
      <c r="H1333" s="198" t="s">
        <v>203</v>
      </c>
      <c r="I1333" s="198" t="s">
        <v>187</v>
      </c>
      <c r="J1333" s="198" t="s">
        <v>188</v>
      </c>
      <c r="K1333" s="606" t="s">
        <v>782</v>
      </c>
      <c r="L1333" s="436"/>
      <c r="M1333" s="479"/>
      <c r="N1333" s="438"/>
      <c r="O1333" s="438"/>
      <c r="P1333" s="438"/>
      <c r="Q1333" s="618"/>
      <c r="R1333" s="618"/>
      <c r="S1333" s="618"/>
      <c r="T1333" s="617">
        <f t="shared" ref="T1333:AB1333" si="595">50000000000/9</f>
        <v>5555555556</v>
      </c>
      <c r="U1333" s="617">
        <f t="shared" si="595"/>
        <v>5555555556</v>
      </c>
      <c r="V1333" s="617">
        <f t="shared" si="595"/>
        <v>5555555556</v>
      </c>
      <c r="W1333" s="617">
        <f t="shared" si="595"/>
        <v>5555555556</v>
      </c>
      <c r="X1333" s="617">
        <f t="shared" si="595"/>
        <v>5555555556</v>
      </c>
      <c r="Y1333" s="617">
        <f t="shared" si="595"/>
        <v>5555555556</v>
      </c>
      <c r="Z1333" s="617">
        <f t="shared" si="595"/>
        <v>5555555556</v>
      </c>
      <c r="AA1333" s="617">
        <f t="shared" si="595"/>
        <v>5555555556</v>
      </c>
      <c r="AB1333" s="617">
        <f t="shared" si="595"/>
        <v>5555555556</v>
      </c>
      <c r="AC1333" s="619">
        <f t="shared" si="592"/>
        <v>50000000000</v>
      </c>
      <c r="AD1333" s="178">
        <f>SUM(Q1333:AB1333)-AC1333</f>
        <v>0</v>
      </c>
      <c r="AE1333" s="241"/>
      <c r="AF1333" s="194"/>
      <c r="AG1333" s="194"/>
      <c r="AH1333" s="194"/>
      <c r="AI1333" s="194"/>
    </row>
    <row r="1334" hidden="1">
      <c r="A1334" s="126"/>
      <c r="B1334" s="975"/>
      <c r="C1334" s="977"/>
      <c r="D1334" s="390" t="s">
        <v>1376</v>
      </c>
      <c r="E1334" s="621"/>
      <c r="F1334" s="621"/>
      <c r="G1334" s="621"/>
      <c r="H1334" s="622"/>
      <c r="I1334" s="622"/>
      <c r="J1334" s="622"/>
      <c r="K1334" s="622" t="s">
        <v>782</v>
      </c>
      <c r="L1334" s="978"/>
      <c r="M1334" s="914"/>
      <c r="N1334" s="648"/>
      <c r="O1334" s="648"/>
      <c r="P1334" s="648"/>
      <c r="Q1334" s="627"/>
      <c r="R1334" s="627"/>
      <c r="S1334" s="627"/>
      <c r="T1334" s="979"/>
      <c r="U1334" s="979"/>
      <c r="V1334" s="979"/>
      <c r="W1334" s="979"/>
      <c r="X1334" s="979"/>
      <c r="Y1334" s="979"/>
      <c r="Z1334" s="979"/>
      <c r="AA1334" s="979"/>
      <c r="AB1334" s="979"/>
      <c r="AC1334" s="628">
        <f t="shared" si="592"/>
        <v>0</v>
      </c>
      <c r="AD1334" s="974" t="s">
        <v>1108</v>
      </c>
      <c r="AE1334" s="241"/>
      <c r="AF1334" s="194"/>
      <c r="AG1334" s="194"/>
      <c r="AH1334" s="194"/>
      <c r="AI1334" s="194"/>
    </row>
    <row r="1335" hidden="1">
      <c r="A1335" s="391"/>
      <c r="B1335" s="975"/>
      <c r="C1335" s="222"/>
      <c r="D1335" s="250" t="s">
        <v>1377</v>
      </c>
      <c r="E1335" s="611"/>
      <c r="F1335" s="611"/>
      <c r="G1335" s="611"/>
      <c r="H1335" s="612"/>
      <c r="I1335" s="612"/>
      <c r="J1335" s="222"/>
      <c r="K1335" s="222" t="s">
        <v>782</v>
      </c>
      <c r="L1335" s="613"/>
      <c r="M1335" s="629"/>
      <c r="N1335" s="630"/>
      <c r="O1335" s="630"/>
      <c r="P1335" s="630"/>
      <c r="Q1335" s="429"/>
      <c r="R1335" s="429"/>
      <c r="S1335" s="429"/>
      <c r="T1335" s="980"/>
      <c r="U1335" s="980"/>
      <c r="V1335" s="980"/>
      <c r="W1335" s="980"/>
      <c r="X1335" s="980"/>
      <c r="Y1335" s="980"/>
      <c r="Z1335" s="980"/>
      <c r="AA1335" s="980"/>
      <c r="AB1335" s="980"/>
      <c r="AC1335" s="909">
        <f t="shared" si="592"/>
        <v>0</v>
      </c>
      <c r="AD1335" s="284"/>
      <c r="AE1335" s="241"/>
      <c r="AF1335" s="194"/>
      <c r="AG1335" s="194"/>
      <c r="AH1335" s="194"/>
      <c r="AI1335" s="194"/>
    </row>
    <row r="1336" hidden="1">
      <c r="A1336" s="391"/>
      <c r="B1336" s="975"/>
      <c r="C1336" s="971"/>
      <c r="D1336" s="286" t="s">
        <v>194</v>
      </c>
      <c r="E1336" s="611"/>
      <c r="F1336" s="611"/>
      <c r="G1336" s="611"/>
      <c r="H1336" s="910"/>
      <c r="I1336" s="910"/>
      <c r="J1336" s="222"/>
      <c r="K1336" s="222" t="s">
        <v>782</v>
      </c>
      <c r="L1336" s="426"/>
      <c r="M1336" s="427"/>
      <c r="N1336" s="428"/>
      <c r="O1336" s="428"/>
      <c r="P1336" s="428"/>
      <c r="Q1336" s="429"/>
      <c r="R1336" s="429"/>
      <c r="S1336" s="429"/>
      <c r="T1336" s="980"/>
      <c r="U1336" s="980"/>
      <c r="V1336" s="980"/>
      <c r="W1336" s="614"/>
      <c r="X1336" s="614"/>
      <c r="Y1336" s="614"/>
      <c r="Z1336" s="614"/>
      <c r="AA1336" s="614"/>
      <c r="AB1336" s="614"/>
      <c r="AC1336" s="378">
        <f t="shared" si="592"/>
        <v>0</v>
      </c>
      <c r="AD1336" s="178"/>
      <c r="AE1336" s="241"/>
      <c r="AF1336" s="194"/>
      <c r="AG1336" s="194"/>
      <c r="AH1336" s="194"/>
      <c r="AI1336" s="194"/>
    </row>
    <row r="1337" hidden="1">
      <c r="A1337" s="391"/>
      <c r="B1337" s="975"/>
      <c r="C1337" s="971"/>
      <c r="D1337" s="286" t="s">
        <v>1378</v>
      </c>
      <c r="E1337" s="611"/>
      <c r="F1337" s="611"/>
      <c r="G1337" s="611"/>
      <c r="H1337" s="910"/>
      <c r="I1337" s="910"/>
      <c r="J1337" s="222"/>
      <c r="K1337" s="222" t="s">
        <v>782</v>
      </c>
      <c r="L1337" s="426"/>
      <c r="M1337" s="427"/>
      <c r="N1337" s="428"/>
      <c r="O1337" s="428"/>
      <c r="P1337" s="428"/>
      <c r="Q1337" s="429"/>
      <c r="R1337" s="429"/>
      <c r="S1337" s="429"/>
      <c r="T1337" s="980"/>
      <c r="U1337" s="980"/>
      <c r="V1337" s="980"/>
      <c r="W1337" s="614"/>
      <c r="X1337" s="614"/>
      <c r="Y1337" s="614"/>
      <c r="Z1337" s="614"/>
      <c r="AA1337" s="614"/>
      <c r="AB1337" s="614"/>
      <c r="AC1337" s="378">
        <f t="shared" si="592"/>
        <v>0</v>
      </c>
      <c r="AD1337" s="178"/>
      <c r="AE1337" s="241"/>
      <c r="AF1337" s="194"/>
      <c r="AG1337" s="194"/>
      <c r="AH1337" s="194"/>
      <c r="AI1337" s="194"/>
    </row>
    <row r="1338">
      <c r="A1338" s="391"/>
      <c r="B1338" s="975"/>
      <c r="C1338" s="971">
        <v>12.0</v>
      </c>
      <c r="D1338" s="976" t="s">
        <v>1379</v>
      </c>
      <c r="E1338" s="198" t="s">
        <v>186</v>
      </c>
      <c r="F1338" s="198" t="s">
        <v>135</v>
      </c>
      <c r="G1338" s="198" t="s">
        <v>135</v>
      </c>
      <c r="H1338" s="198" t="s">
        <v>203</v>
      </c>
      <c r="I1338" s="198" t="s">
        <v>187</v>
      </c>
      <c r="J1338" s="198" t="s">
        <v>188</v>
      </c>
      <c r="K1338" s="606" t="s">
        <v>782</v>
      </c>
      <c r="L1338" s="436"/>
      <c r="M1338" s="479"/>
      <c r="N1338" s="438"/>
      <c r="O1338" s="438"/>
      <c r="P1338" s="438"/>
      <c r="Q1338" s="618"/>
      <c r="R1338" s="618"/>
      <c r="S1338" s="618"/>
      <c r="T1338" s="981"/>
      <c r="U1338" s="981"/>
      <c r="V1338" s="981"/>
      <c r="W1338" s="617">
        <f t="shared" ref="W1338:AB1338" si="596">310000000/6</f>
        <v>51666666.67</v>
      </c>
      <c r="X1338" s="617">
        <f t="shared" si="596"/>
        <v>51666666.67</v>
      </c>
      <c r="Y1338" s="617">
        <f t="shared" si="596"/>
        <v>51666666.67</v>
      </c>
      <c r="Z1338" s="617">
        <f t="shared" si="596"/>
        <v>51666666.67</v>
      </c>
      <c r="AA1338" s="617">
        <f t="shared" si="596"/>
        <v>51666666.67</v>
      </c>
      <c r="AB1338" s="617">
        <f t="shared" si="596"/>
        <v>51666666.67</v>
      </c>
      <c r="AC1338" s="619">
        <f t="shared" si="592"/>
        <v>310000000</v>
      </c>
      <c r="AD1338" s="178">
        <f>SUM(Q1338:AB1338)-AC1338</f>
        <v>0</v>
      </c>
      <c r="AE1338" s="241"/>
      <c r="AF1338" s="194"/>
      <c r="AG1338" s="194"/>
      <c r="AH1338" s="194"/>
      <c r="AI1338" s="194"/>
    </row>
    <row r="1339" hidden="1">
      <c r="A1339" s="126"/>
      <c r="B1339" s="975"/>
      <c r="C1339" s="658"/>
      <c r="D1339" s="390" t="s">
        <v>1380</v>
      </c>
      <c r="E1339" s="621"/>
      <c r="F1339" s="621"/>
      <c r="G1339" s="621"/>
      <c r="H1339" s="622"/>
      <c r="I1339" s="622"/>
      <c r="J1339" s="622"/>
      <c r="K1339" s="622" t="s">
        <v>782</v>
      </c>
      <c r="L1339" s="978"/>
      <c r="M1339" s="914"/>
      <c r="N1339" s="648"/>
      <c r="O1339" s="648"/>
      <c r="P1339" s="648"/>
      <c r="Q1339" s="627"/>
      <c r="R1339" s="627"/>
      <c r="S1339" s="627"/>
      <c r="T1339" s="979"/>
      <c r="U1339" s="979"/>
      <c r="V1339" s="979"/>
      <c r="W1339" s="979"/>
      <c r="X1339" s="979"/>
      <c r="Y1339" s="979"/>
      <c r="Z1339" s="979"/>
      <c r="AA1339" s="979"/>
      <c r="AB1339" s="979"/>
      <c r="AC1339" s="628">
        <f t="shared" si="592"/>
        <v>0</v>
      </c>
      <c r="AD1339" s="214"/>
      <c r="AE1339" s="192"/>
      <c r="AF1339" s="194"/>
      <c r="AG1339" s="194"/>
      <c r="AH1339" s="194"/>
      <c r="AI1339" s="194"/>
    </row>
    <row r="1340" hidden="1">
      <c r="A1340" s="391"/>
      <c r="B1340" s="975"/>
      <c r="C1340" s="222"/>
      <c r="D1340" s="250" t="s">
        <v>1381</v>
      </c>
      <c r="E1340" s="611"/>
      <c r="F1340" s="611"/>
      <c r="G1340" s="611"/>
      <c r="H1340" s="612"/>
      <c r="I1340" s="612"/>
      <c r="J1340" s="222"/>
      <c r="K1340" s="222" t="s">
        <v>782</v>
      </c>
      <c r="L1340" s="613"/>
      <c r="M1340" s="629"/>
      <c r="N1340" s="630"/>
      <c r="O1340" s="630"/>
      <c r="P1340" s="630"/>
      <c r="Q1340" s="429"/>
      <c r="R1340" s="429"/>
      <c r="S1340" s="429"/>
      <c r="T1340" s="980"/>
      <c r="U1340" s="980"/>
      <c r="V1340" s="980"/>
      <c r="W1340" s="980"/>
      <c r="X1340" s="980"/>
      <c r="Y1340" s="980"/>
      <c r="Z1340" s="980"/>
      <c r="AA1340" s="980"/>
      <c r="AB1340" s="980"/>
      <c r="AC1340" s="909">
        <f t="shared" si="592"/>
        <v>0</v>
      </c>
      <c r="AD1340" s="214"/>
      <c r="AE1340" s="241"/>
      <c r="AF1340" s="194"/>
      <c r="AG1340" s="194"/>
      <c r="AH1340" s="194"/>
      <c r="AI1340" s="194"/>
    </row>
    <row r="1341" hidden="1">
      <c r="A1341" s="391"/>
      <c r="B1341" s="975"/>
      <c r="C1341" s="222"/>
      <c r="D1341" s="286" t="s">
        <v>194</v>
      </c>
      <c r="E1341" s="233"/>
      <c r="F1341" s="233"/>
      <c r="G1341" s="233"/>
      <c r="H1341" s="234"/>
      <c r="I1341" s="234"/>
      <c r="J1341" s="222"/>
      <c r="K1341" s="222" t="s">
        <v>782</v>
      </c>
      <c r="L1341" s="287"/>
      <c r="M1341" s="236"/>
      <c r="N1341" s="285"/>
      <c r="O1341" s="285"/>
      <c r="P1341" s="285"/>
      <c r="Q1341" s="288"/>
      <c r="R1341" s="288"/>
      <c r="S1341" s="288"/>
      <c r="T1341" s="288"/>
      <c r="U1341" s="288"/>
      <c r="V1341" s="288"/>
      <c r="W1341" s="288"/>
      <c r="X1341" s="288"/>
      <c r="Y1341" s="288"/>
      <c r="Z1341" s="288"/>
      <c r="AA1341" s="288"/>
      <c r="AB1341" s="288"/>
      <c r="AC1341" s="378">
        <f t="shared" si="592"/>
        <v>0</v>
      </c>
      <c r="AD1341" s="178"/>
      <c r="AE1341" s="241"/>
      <c r="AF1341" s="194"/>
      <c r="AG1341" s="194"/>
      <c r="AH1341" s="194"/>
      <c r="AI1341" s="194"/>
    </row>
    <row r="1342" hidden="1">
      <c r="A1342" s="391"/>
      <c r="B1342" s="975"/>
      <c r="C1342" s="222"/>
      <c r="D1342" s="286" t="s">
        <v>1382</v>
      </c>
      <c r="E1342" s="233"/>
      <c r="F1342" s="233"/>
      <c r="G1342" s="233"/>
      <c r="H1342" s="234"/>
      <c r="I1342" s="234"/>
      <c r="J1342" s="222"/>
      <c r="K1342" s="222" t="s">
        <v>782</v>
      </c>
      <c r="L1342" s="287"/>
      <c r="M1342" s="236"/>
      <c r="N1342" s="285"/>
      <c r="O1342" s="285"/>
      <c r="P1342" s="285"/>
      <c r="Q1342" s="288"/>
      <c r="R1342" s="288"/>
      <c r="S1342" s="288"/>
      <c r="T1342" s="288"/>
      <c r="U1342" s="288"/>
      <c r="V1342" s="288"/>
      <c r="W1342" s="288"/>
      <c r="X1342" s="288"/>
      <c r="Y1342" s="288"/>
      <c r="Z1342" s="288"/>
      <c r="AA1342" s="288"/>
      <c r="AB1342" s="288"/>
      <c r="AC1342" s="378">
        <f t="shared" si="592"/>
        <v>0</v>
      </c>
      <c r="AD1342" s="178"/>
      <c r="AE1342" s="241"/>
      <c r="AF1342" s="194"/>
      <c r="AG1342" s="194"/>
      <c r="AH1342" s="194"/>
      <c r="AI1342" s="194"/>
    </row>
    <row r="1343" hidden="1">
      <c r="A1343" s="126"/>
      <c r="B1343" s="982"/>
      <c r="C1343" s="289"/>
      <c r="D1343" s="290" t="s">
        <v>1383</v>
      </c>
      <c r="E1343" s="487"/>
      <c r="F1343" s="487"/>
      <c r="G1343" s="487"/>
      <c r="H1343" s="291"/>
      <c r="I1343" s="291"/>
      <c r="J1343" s="292"/>
      <c r="K1343" s="292" t="s">
        <v>1311</v>
      </c>
      <c r="L1343" s="293"/>
      <c r="M1343" s="294"/>
      <c r="N1343" s="295"/>
      <c r="O1343" s="295"/>
      <c r="P1343" s="295"/>
      <c r="Q1343" s="296">
        <f t="shared" ref="Q1343:AC1343" si="597">Q1275+Q1276+Q1277+Q1281+Q1282+Q1283+Q1288+Q1289+Q1290+Q1295+Q1296+Q1297+Q1302+Q1303+Q1304+Q1309+Q1310+Q1311+Q1312</f>
        <v>515882460.5</v>
      </c>
      <c r="R1343" s="296">
        <f t="shared" si="597"/>
        <v>488493248</v>
      </c>
      <c r="S1343" s="296">
        <f t="shared" si="597"/>
        <v>488493248</v>
      </c>
      <c r="T1343" s="296">
        <f t="shared" si="597"/>
        <v>514799893.4</v>
      </c>
      <c r="U1343" s="296">
        <f t="shared" si="597"/>
        <v>514799893.4</v>
      </c>
      <c r="V1343" s="296">
        <f t="shared" si="597"/>
        <v>514799893.4</v>
      </c>
      <c r="W1343" s="296">
        <f t="shared" si="597"/>
        <v>520826237.5</v>
      </c>
      <c r="X1343" s="296">
        <f t="shared" si="597"/>
        <v>520826237.5</v>
      </c>
      <c r="Y1343" s="296">
        <f t="shared" si="597"/>
        <v>354058960.5</v>
      </c>
      <c r="Z1343" s="296">
        <f t="shared" si="597"/>
        <v>248992840.5</v>
      </c>
      <c r="AA1343" s="296">
        <f t="shared" si="597"/>
        <v>248992840.5</v>
      </c>
      <c r="AB1343" s="296">
        <f t="shared" si="597"/>
        <v>248992840.5</v>
      </c>
      <c r="AC1343" s="297">
        <f t="shared" si="597"/>
        <v>5042201832</v>
      </c>
      <c r="AD1343" s="548"/>
      <c r="AE1343" s="241"/>
      <c r="AF1343" s="194"/>
      <c r="AG1343" s="194"/>
      <c r="AH1343" s="194"/>
      <c r="AI1343" s="194"/>
    </row>
    <row r="1344" hidden="1">
      <c r="A1344" s="391"/>
      <c r="B1344" s="983"/>
      <c r="C1344" s="299"/>
      <c r="D1344" s="300" t="s">
        <v>1384</v>
      </c>
      <c r="E1344" s="488"/>
      <c r="F1344" s="488"/>
      <c r="G1344" s="488"/>
      <c r="H1344" s="301"/>
      <c r="I1344" s="301"/>
      <c r="J1344" s="302"/>
      <c r="K1344" s="303" t="s">
        <v>1311</v>
      </c>
      <c r="L1344" s="304"/>
      <c r="M1344" s="305"/>
      <c r="N1344" s="306"/>
      <c r="O1344" s="306"/>
      <c r="P1344" s="306"/>
      <c r="Q1344" s="490">
        <f t="shared" ref="Q1344:AB1344" si="598">Q1266+Q1271+Q1278+Q1284+Q1291+Q1298+Q1305+Q1313+Q1320+Q1325+Q1330+Q1335+Q1340</f>
        <v>621649793.6</v>
      </c>
      <c r="R1344" s="490">
        <f t="shared" si="598"/>
        <v>621649793.6</v>
      </c>
      <c r="S1344" s="490">
        <f t="shared" si="598"/>
        <v>621649793.6</v>
      </c>
      <c r="T1344" s="490">
        <f t="shared" si="598"/>
        <v>621771892.1</v>
      </c>
      <c r="U1344" s="490">
        <f t="shared" si="598"/>
        <v>634202731.1</v>
      </c>
      <c r="V1344" s="490">
        <f t="shared" si="598"/>
        <v>585155522.7</v>
      </c>
      <c r="W1344" s="307">
        <f t="shared" si="598"/>
        <v>0</v>
      </c>
      <c r="X1344" s="307">
        <f t="shared" si="598"/>
        <v>0</v>
      </c>
      <c r="Y1344" s="307">
        <f t="shared" si="598"/>
        <v>0</v>
      </c>
      <c r="Z1344" s="307">
        <f t="shared" si="598"/>
        <v>0</v>
      </c>
      <c r="AA1344" s="307">
        <f t="shared" si="598"/>
        <v>0</v>
      </c>
      <c r="AB1344" s="307">
        <f t="shared" si="598"/>
        <v>0</v>
      </c>
      <c r="AC1344" s="309">
        <f t="shared" ref="AC1344:AC1346" si="600">SUM(Q1344:AB1344)</f>
        <v>3706079527</v>
      </c>
      <c r="AD1344" s="214"/>
      <c r="AE1344" s="192"/>
      <c r="AF1344" s="310">
        <f t="shared" ref="AF1344:AF1345" si="601">AC1344-AC1345</f>
        <v>678687036.7</v>
      </c>
      <c r="AG1344" s="311" t="s">
        <v>226</v>
      </c>
      <c r="AH1344" s="194"/>
      <c r="AI1344" s="194"/>
    </row>
    <row r="1345" hidden="1">
      <c r="A1345" s="391"/>
      <c r="B1345" s="669"/>
      <c r="C1345" s="670"/>
      <c r="D1345" s="313" t="s">
        <v>1385</v>
      </c>
      <c r="E1345" s="331"/>
      <c r="F1345" s="331"/>
      <c r="G1345" s="331"/>
      <c r="H1345" s="199"/>
      <c r="I1345" s="199"/>
      <c r="J1345" s="377"/>
      <c r="K1345" s="719" t="s">
        <v>1311</v>
      </c>
      <c r="L1345" s="225"/>
      <c r="M1345" s="236"/>
      <c r="N1345" s="285"/>
      <c r="O1345" s="285"/>
      <c r="P1345" s="285"/>
      <c r="Q1345" s="314">
        <f t="shared" ref="Q1345:V1345" si="599">Q1267+Q1272+Q1279+Q1285+Q1292+Q1299+Q1306+Q1314+Q1321+Q1326+Q1331+Q1336+Q1341</f>
        <v>621649793.6</v>
      </c>
      <c r="R1345" s="314">
        <f t="shared" si="599"/>
        <v>621649793.6</v>
      </c>
      <c r="S1345" s="314">
        <f t="shared" si="599"/>
        <v>621649793.6</v>
      </c>
      <c r="T1345" s="314">
        <f t="shared" si="599"/>
        <v>575006135.1</v>
      </c>
      <c r="U1345" s="314">
        <f t="shared" si="599"/>
        <v>587436974.1</v>
      </c>
      <c r="V1345" s="314">
        <f t="shared" si="599"/>
        <v>0</v>
      </c>
      <c r="W1345" s="984"/>
      <c r="X1345" s="984"/>
      <c r="Y1345" s="984"/>
      <c r="Z1345" s="984"/>
      <c r="AA1345" s="984"/>
      <c r="AB1345" s="984"/>
      <c r="AC1345" s="378">
        <f t="shared" si="600"/>
        <v>3027392490</v>
      </c>
      <c r="AD1345" s="214"/>
      <c r="AE1345" s="985"/>
      <c r="AF1345" s="316">
        <f t="shared" si="601"/>
        <v>693061378</v>
      </c>
      <c r="AG1345" s="311" t="s">
        <v>228</v>
      </c>
      <c r="AH1345" s="986"/>
      <c r="AI1345" s="986"/>
    </row>
    <row r="1346" hidden="1">
      <c r="A1346" s="391"/>
      <c r="B1346" s="669"/>
      <c r="C1346" s="674"/>
      <c r="D1346" s="318" t="s">
        <v>1386</v>
      </c>
      <c r="E1346" s="493"/>
      <c r="F1346" s="493"/>
      <c r="G1346" s="493"/>
      <c r="H1346" s="494"/>
      <c r="I1346" s="494"/>
      <c r="J1346" s="722"/>
      <c r="K1346" s="723" t="s">
        <v>1311</v>
      </c>
      <c r="L1346" s="675"/>
      <c r="M1346" s="322"/>
      <c r="N1346" s="323"/>
      <c r="O1346" s="323"/>
      <c r="P1346" s="323"/>
      <c r="Q1346" s="325">
        <f t="shared" ref="Q1346:V1346" si="602">Q1268+Q1273+Q1280+Q1286+Q1293+Q1300+Q1307+Q1315+Q1322+Q1327+Q1332+Q1337+Q1342</f>
        <v>574884036.6</v>
      </c>
      <c r="R1346" s="325">
        <f t="shared" si="602"/>
        <v>574884036.6</v>
      </c>
      <c r="S1346" s="325">
        <f t="shared" si="602"/>
        <v>574884036.6</v>
      </c>
      <c r="T1346" s="325">
        <f t="shared" si="602"/>
        <v>298624081.6</v>
      </c>
      <c r="U1346" s="325">
        <f t="shared" si="602"/>
        <v>311054920.6</v>
      </c>
      <c r="V1346" s="325">
        <f t="shared" si="602"/>
        <v>0</v>
      </c>
      <c r="W1346" s="987"/>
      <c r="X1346" s="987"/>
      <c r="Y1346" s="987"/>
      <c r="Z1346" s="987"/>
      <c r="AA1346" s="987"/>
      <c r="AB1346" s="987"/>
      <c r="AC1346" s="539">
        <f t="shared" si="600"/>
        <v>2334331112</v>
      </c>
      <c r="AD1346" s="214"/>
      <c r="AE1346" s="985"/>
      <c r="AF1346" s="328">
        <f>AC1346</f>
        <v>2334331112</v>
      </c>
      <c r="AG1346" s="311" t="s">
        <v>148</v>
      </c>
      <c r="AH1346" s="986"/>
      <c r="AI1346" s="986"/>
    </row>
    <row r="1347">
      <c r="A1347" s="391"/>
      <c r="B1347" s="677" t="s">
        <v>47</v>
      </c>
      <c r="C1347" s="678" t="s">
        <v>48</v>
      </c>
      <c r="D1347" s="679"/>
      <c r="E1347" s="496"/>
      <c r="F1347" s="496"/>
      <c r="G1347" s="496"/>
      <c r="H1347" s="332"/>
      <c r="I1347" s="332"/>
      <c r="J1347" s="332"/>
      <c r="K1347" s="988"/>
      <c r="L1347" s="989"/>
      <c r="M1347" s="930"/>
      <c r="N1347" s="931"/>
      <c r="O1347" s="931"/>
      <c r="P1347" s="931"/>
      <c r="Q1347" s="990">
        <f t="shared" ref="Q1347:AC1347" si="603">Q1348+Q1508+Q1518</f>
        <v>1041666667</v>
      </c>
      <c r="R1347" s="990">
        <f t="shared" si="603"/>
        <v>5643722683</v>
      </c>
      <c r="S1347" s="990">
        <f t="shared" si="603"/>
        <v>5668065607</v>
      </c>
      <c r="T1347" s="990">
        <f t="shared" si="603"/>
        <v>5777059947</v>
      </c>
      <c r="U1347" s="990">
        <f t="shared" si="603"/>
        <v>5779558102</v>
      </c>
      <c r="V1347" s="990">
        <f t="shared" si="603"/>
        <v>5870464588</v>
      </c>
      <c r="W1347" s="990">
        <f t="shared" si="603"/>
        <v>7371457432</v>
      </c>
      <c r="X1347" s="990">
        <f t="shared" si="603"/>
        <v>7376485352</v>
      </c>
      <c r="Y1347" s="990">
        <f t="shared" si="603"/>
        <v>7376485352</v>
      </c>
      <c r="Z1347" s="990">
        <f t="shared" si="603"/>
        <v>7376485352</v>
      </c>
      <c r="AA1347" s="990">
        <f t="shared" si="603"/>
        <v>5876485352</v>
      </c>
      <c r="AB1347" s="990">
        <f t="shared" si="603"/>
        <v>5876485352</v>
      </c>
      <c r="AC1347" s="991">
        <f t="shared" si="603"/>
        <v>71034421782</v>
      </c>
      <c r="AD1347" s="178">
        <f t="shared" ref="AD1347:AD1348" si="605">AC1347-AE1347</f>
        <v>0</v>
      </c>
      <c r="AE1347" s="992">
        <f>AE1348+AE1508+AE1518</f>
        <v>71034421782</v>
      </c>
      <c r="AF1347" s="986"/>
      <c r="AG1347" s="986"/>
      <c r="AH1347" s="986"/>
      <c r="AI1347" s="986"/>
    </row>
    <row r="1348">
      <c r="A1348" s="391"/>
      <c r="B1348" s="924">
        <v>18.0</v>
      </c>
      <c r="C1348" s="182" t="s">
        <v>49</v>
      </c>
      <c r="D1348" s="684"/>
      <c r="E1348" s="331"/>
      <c r="F1348" s="331"/>
      <c r="G1348" s="331"/>
      <c r="H1348" s="199"/>
      <c r="I1348" s="199"/>
      <c r="J1348" s="685"/>
      <c r="K1348" s="396" t="s">
        <v>1387</v>
      </c>
      <c r="L1348" s="993">
        <f>L1349+L1354+L1359+L1364+L1369+L1374+L1379+L1384+L1389+L1394+L1399+L1404+L1409+L1414+L1419+L1424+L1429+L1434+L1439+L1444+L1449+L1454+L1459+L1464+L1469+L1474+L1479+L1484+L1489</f>
        <v>0</v>
      </c>
      <c r="M1348" s="240"/>
      <c r="N1348" s="388"/>
      <c r="O1348" s="388"/>
      <c r="P1348" s="388"/>
      <c r="Q1348" s="190">
        <f t="shared" ref="Q1348:AC1348" si="604">Q1349+Q1354+Q1359+Q1364+Q1369+Q1374+Q1379+Q1384+Q1389+Q1394+Q1399+Q1404+Q1409+Q1414+Q1419+Q1424+Q1429+Q1434+Q1439+Q1444+Q1449+Q1454+Q1459+Q1464+Q1469+Q1474+Q1479+Q1484+Q1489+Q1494</f>
        <v>208333333.3</v>
      </c>
      <c r="R1348" s="190">
        <f t="shared" si="604"/>
        <v>4810389349</v>
      </c>
      <c r="S1348" s="190">
        <f t="shared" si="604"/>
        <v>4834732273</v>
      </c>
      <c r="T1348" s="190">
        <f t="shared" si="604"/>
        <v>4839521429</v>
      </c>
      <c r="U1348" s="190">
        <f t="shared" si="604"/>
        <v>4842019584</v>
      </c>
      <c r="V1348" s="190">
        <f t="shared" si="604"/>
        <v>4932926070</v>
      </c>
      <c r="W1348" s="190">
        <f t="shared" si="604"/>
        <v>6433918914</v>
      </c>
      <c r="X1348" s="190">
        <f t="shared" si="604"/>
        <v>6438946834</v>
      </c>
      <c r="Y1348" s="190">
        <f t="shared" si="604"/>
        <v>6438946834</v>
      </c>
      <c r="Z1348" s="190">
        <f t="shared" si="604"/>
        <v>6438946834</v>
      </c>
      <c r="AA1348" s="190">
        <f t="shared" si="604"/>
        <v>4938946834</v>
      </c>
      <c r="AB1348" s="190">
        <f t="shared" si="604"/>
        <v>4938946834</v>
      </c>
      <c r="AC1348" s="191">
        <f t="shared" si="604"/>
        <v>60096575126</v>
      </c>
      <c r="AD1348" s="178">
        <f t="shared" si="605"/>
        <v>0</v>
      </c>
      <c r="AE1348" s="241">
        <f>'Proker New'!Y233</f>
        <v>60096575126</v>
      </c>
      <c r="AF1348" s="193" t="str">
        <f>C1348</f>
        <v>Bali - Denpasar (DPS)</v>
      </c>
      <c r="AG1348" s="194"/>
      <c r="AH1348" s="194"/>
      <c r="AI1348" s="194"/>
    </row>
    <row r="1349">
      <c r="A1349" s="391"/>
      <c r="B1349" s="893"/>
      <c r="C1349" s="196">
        <v>1.0</v>
      </c>
      <c r="D1349" s="925" t="s">
        <v>1388</v>
      </c>
      <c r="E1349" s="198" t="s">
        <v>186</v>
      </c>
      <c r="F1349" s="198" t="s">
        <v>135</v>
      </c>
      <c r="G1349" s="198" t="s">
        <v>135</v>
      </c>
      <c r="H1349" s="198" t="s">
        <v>203</v>
      </c>
      <c r="I1349" s="198" t="s">
        <v>187</v>
      </c>
      <c r="J1349" s="198" t="s">
        <v>188</v>
      </c>
      <c r="K1349" s="606" t="s">
        <v>1387</v>
      </c>
      <c r="L1349" s="895"/>
      <c r="M1349" s="240"/>
      <c r="N1349" s="388"/>
      <c r="O1349" s="388"/>
      <c r="P1349" s="388"/>
      <c r="Q1349" s="896"/>
      <c r="R1349" s="896">
        <v>6.9994575E8</v>
      </c>
      <c r="S1349" s="896">
        <v>6.9994575E8</v>
      </c>
      <c r="T1349" s="896">
        <v>6.9994575E8</v>
      </c>
      <c r="U1349" s="896">
        <v>6.9994575E8</v>
      </c>
      <c r="V1349" s="896">
        <v>6.9994575E8</v>
      </c>
      <c r="W1349" s="896">
        <v>6.9994575E8</v>
      </c>
      <c r="X1349" s="896">
        <v>6.9994575E8</v>
      </c>
      <c r="Y1349" s="896">
        <v>6.9994575E8</v>
      </c>
      <c r="Z1349" s="896">
        <v>6.9994575E8</v>
      </c>
      <c r="AA1349" s="896">
        <v>6.9994575E8</v>
      </c>
      <c r="AB1349" s="896">
        <v>6.9994575E8</v>
      </c>
      <c r="AC1349" s="897">
        <v>7.69940325E9</v>
      </c>
      <c r="AD1349" s="273">
        <f>SUM(Q1349:AB1349)-AC1349</f>
        <v>0</v>
      </c>
      <c r="AE1349" s="192"/>
      <c r="AF1349" s="194"/>
      <c r="AG1349" s="194"/>
      <c r="AH1349" s="194"/>
      <c r="AI1349" s="194"/>
    </row>
    <row r="1350" hidden="1">
      <c r="A1350" s="126"/>
      <c r="B1350" s="893"/>
      <c r="C1350" s="206"/>
      <c r="D1350" s="207"/>
      <c r="E1350" s="260"/>
      <c r="F1350" s="207"/>
      <c r="G1350" s="260"/>
      <c r="H1350" s="206"/>
      <c r="I1350" s="206"/>
      <c r="J1350" s="206"/>
      <c r="K1350" s="206" t="s">
        <v>1387</v>
      </c>
      <c r="L1350" s="277"/>
      <c r="M1350" s="244"/>
      <c r="N1350" s="389"/>
      <c r="O1350" s="389"/>
      <c r="P1350" s="389"/>
      <c r="Q1350" s="212"/>
      <c r="R1350" s="212"/>
      <c r="S1350" s="212"/>
      <c r="T1350" s="212"/>
      <c r="U1350" s="212"/>
      <c r="V1350" s="212"/>
      <c r="W1350" s="212"/>
      <c r="X1350" s="212"/>
      <c r="Y1350" s="212"/>
      <c r="Z1350" s="212"/>
      <c r="AA1350" s="212"/>
      <c r="AB1350" s="212"/>
      <c r="AC1350" s="213">
        <f t="shared" ref="AC1350:AC1353" si="606">SUM(Q1350:AB1350)</f>
        <v>0</v>
      </c>
      <c r="AD1350" s="214"/>
      <c r="AE1350" s="241"/>
      <c r="AF1350" s="194"/>
      <c r="AG1350" s="194"/>
      <c r="AH1350" s="194"/>
      <c r="AI1350" s="194"/>
    </row>
    <row r="1351" hidden="1">
      <c r="A1351" s="391"/>
      <c r="B1351" s="893"/>
      <c r="C1351" s="222"/>
      <c r="D1351" s="250" t="s">
        <v>1389</v>
      </c>
      <c r="E1351" s="233"/>
      <c r="F1351" s="224"/>
      <c r="G1351" s="233"/>
      <c r="H1351" s="222"/>
      <c r="I1351" s="222"/>
      <c r="J1351" s="222"/>
      <c r="K1351" s="222" t="s">
        <v>1387</v>
      </c>
      <c r="L1351" s="225"/>
      <c r="M1351" s="236"/>
      <c r="N1351" s="285"/>
      <c r="O1351" s="285"/>
      <c r="P1351" s="285"/>
      <c r="Q1351" s="230"/>
      <c r="R1351" s="230"/>
      <c r="S1351" s="230"/>
      <c r="T1351" s="230"/>
      <c r="U1351" s="230"/>
      <c r="V1351" s="230"/>
      <c r="W1351" s="230"/>
      <c r="X1351" s="230"/>
      <c r="Y1351" s="230"/>
      <c r="Z1351" s="230"/>
      <c r="AA1351" s="230"/>
      <c r="AB1351" s="230"/>
      <c r="AC1351" s="231">
        <f t="shared" si="606"/>
        <v>0</v>
      </c>
      <c r="AD1351" s="548"/>
      <c r="AE1351" s="241"/>
      <c r="AF1351" s="194"/>
      <c r="AG1351" s="194"/>
      <c r="AH1351" s="194"/>
      <c r="AI1351" s="194"/>
    </row>
    <row r="1352" hidden="1">
      <c r="A1352" s="391"/>
      <c r="B1352" s="893"/>
      <c r="C1352" s="196"/>
      <c r="D1352" s="286" t="s">
        <v>194</v>
      </c>
      <c r="E1352" s="233"/>
      <c r="F1352" s="233"/>
      <c r="G1352" s="233"/>
      <c r="H1352" s="234"/>
      <c r="I1352" s="234"/>
      <c r="J1352" s="222"/>
      <c r="K1352" s="222" t="s">
        <v>1387</v>
      </c>
      <c r="L1352" s="225"/>
      <c r="M1352" s="236"/>
      <c r="N1352" s="285"/>
      <c r="O1352" s="285"/>
      <c r="P1352" s="285"/>
      <c r="Q1352" s="718"/>
      <c r="R1352" s="718"/>
      <c r="S1352" s="718"/>
      <c r="T1352" s="718"/>
      <c r="U1352" s="718"/>
      <c r="V1352" s="718"/>
      <c r="W1352" s="718"/>
      <c r="X1352" s="718"/>
      <c r="Y1352" s="718"/>
      <c r="Z1352" s="718"/>
      <c r="AA1352" s="718"/>
      <c r="AB1352" s="718"/>
      <c r="AC1352" s="378">
        <f t="shared" si="606"/>
        <v>0</v>
      </c>
      <c r="AD1352" s="273"/>
      <c r="AE1352" s="192"/>
      <c r="AF1352" s="194"/>
      <c r="AG1352" s="194"/>
      <c r="AH1352" s="194"/>
      <c r="AI1352" s="194"/>
    </row>
    <row r="1353" hidden="1">
      <c r="A1353" s="391"/>
      <c r="B1353" s="893"/>
      <c r="C1353" s="196"/>
      <c r="D1353" s="286" t="s">
        <v>1390</v>
      </c>
      <c r="E1353" s="233"/>
      <c r="F1353" s="233"/>
      <c r="G1353" s="233"/>
      <c r="H1353" s="234"/>
      <c r="I1353" s="234"/>
      <c r="J1353" s="222"/>
      <c r="K1353" s="222" t="s">
        <v>1387</v>
      </c>
      <c r="L1353" s="225"/>
      <c r="M1353" s="236"/>
      <c r="N1353" s="285"/>
      <c r="O1353" s="285"/>
      <c r="P1353" s="285"/>
      <c r="Q1353" s="718"/>
      <c r="R1353" s="718"/>
      <c r="S1353" s="718"/>
      <c r="T1353" s="718"/>
      <c r="U1353" s="718"/>
      <c r="V1353" s="718"/>
      <c r="W1353" s="718"/>
      <c r="X1353" s="718"/>
      <c r="Y1353" s="718"/>
      <c r="Z1353" s="718"/>
      <c r="AA1353" s="718"/>
      <c r="AB1353" s="718"/>
      <c r="AC1353" s="378">
        <f t="shared" si="606"/>
        <v>0</v>
      </c>
      <c r="AD1353" s="273"/>
      <c r="AE1353" s="192"/>
      <c r="AF1353" s="194"/>
      <c r="AG1353" s="194"/>
      <c r="AH1353" s="194"/>
      <c r="AI1353" s="194"/>
    </row>
    <row r="1354">
      <c r="A1354" s="391"/>
      <c r="B1354" s="893"/>
      <c r="C1354" s="196">
        <v>2.0</v>
      </c>
      <c r="D1354" s="925" t="s">
        <v>1391</v>
      </c>
      <c r="E1354" s="198" t="s">
        <v>186</v>
      </c>
      <c r="F1354" s="198" t="s">
        <v>88</v>
      </c>
      <c r="G1354" s="198" t="s">
        <v>88</v>
      </c>
      <c r="H1354" s="198" t="s">
        <v>218</v>
      </c>
      <c r="I1354" s="198" t="s">
        <v>752</v>
      </c>
      <c r="J1354" s="198" t="s">
        <v>367</v>
      </c>
      <c r="K1354" s="606" t="s">
        <v>1387</v>
      </c>
      <c r="L1354" s="895"/>
      <c r="M1354" s="240"/>
      <c r="N1354" s="388"/>
      <c r="O1354" s="388"/>
      <c r="P1354" s="388"/>
      <c r="Q1354" s="896"/>
      <c r="R1354" s="896"/>
      <c r="S1354" s="896"/>
      <c r="T1354" s="896"/>
      <c r="U1354" s="896"/>
      <c r="V1354" s="896">
        <v>6081804.0</v>
      </c>
      <c r="W1354" s="896">
        <v>6081804.0</v>
      </c>
      <c r="X1354" s="896">
        <v>6081804.0</v>
      </c>
      <c r="Y1354" s="896">
        <v>6081804.0</v>
      </c>
      <c r="Z1354" s="896">
        <v>6081804.0</v>
      </c>
      <c r="AA1354" s="896">
        <v>6081804.0</v>
      </c>
      <c r="AB1354" s="896">
        <v>6081804.0</v>
      </c>
      <c r="AC1354" s="897">
        <v>4.2572628E7</v>
      </c>
      <c r="AD1354" s="273">
        <f>SUM(Q1354:AB1354)-AC1354</f>
        <v>0</v>
      </c>
      <c r="AE1354" s="192"/>
      <c r="AF1354" s="194"/>
      <c r="AG1354" s="194"/>
      <c r="AH1354" s="194"/>
      <c r="AI1354" s="194"/>
    </row>
    <row r="1355" hidden="1">
      <c r="A1355" s="126"/>
      <c r="B1355" s="893"/>
      <c r="C1355" s="206"/>
      <c r="D1355" s="207"/>
      <c r="E1355" s="260"/>
      <c r="F1355" s="207"/>
      <c r="G1355" s="260"/>
      <c r="H1355" s="206"/>
      <c r="I1355" s="206"/>
      <c r="J1355" s="206"/>
      <c r="K1355" s="206" t="s">
        <v>1387</v>
      </c>
      <c r="L1355" s="277"/>
      <c r="M1355" s="244"/>
      <c r="N1355" s="389"/>
      <c r="O1355" s="389"/>
      <c r="P1355" s="389"/>
      <c r="Q1355" s="212"/>
      <c r="R1355" s="212"/>
      <c r="S1355" s="212"/>
      <c r="T1355" s="212"/>
      <c r="U1355" s="212"/>
      <c r="V1355" s="212"/>
      <c r="W1355" s="212"/>
      <c r="X1355" s="212"/>
      <c r="Y1355" s="212"/>
      <c r="Z1355" s="212"/>
      <c r="AA1355" s="212"/>
      <c r="AB1355" s="212"/>
      <c r="AC1355" s="213">
        <f t="shared" ref="AC1355:AC1358" si="607">SUM(Q1355:AB1355)</f>
        <v>0</v>
      </c>
      <c r="AD1355" s="214"/>
      <c r="AE1355" s="241"/>
      <c r="AF1355" s="194"/>
      <c r="AG1355" s="194"/>
      <c r="AH1355" s="194"/>
      <c r="AI1355" s="194"/>
    </row>
    <row r="1356" hidden="1">
      <c r="A1356" s="391"/>
      <c r="B1356" s="893"/>
      <c r="C1356" s="222"/>
      <c r="D1356" s="250" t="s">
        <v>1392</v>
      </c>
      <c r="E1356" s="233"/>
      <c r="F1356" s="224"/>
      <c r="G1356" s="233"/>
      <c r="H1356" s="222"/>
      <c r="I1356" s="222"/>
      <c r="J1356" s="222"/>
      <c r="K1356" s="222" t="s">
        <v>1387</v>
      </c>
      <c r="L1356" s="225"/>
      <c r="M1356" s="236"/>
      <c r="N1356" s="285"/>
      <c r="O1356" s="285"/>
      <c r="P1356" s="285"/>
      <c r="Q1356" s="230"/>
      <c r="R1356" s="230"/>
      <c r="S1356" s="230"/>
      <c r="T1356" s="230"/>
      <c r="U1356" s="230"/>
      <c r="V1356" s="230"/>
      <c r="W1356" s="230"/>
      <c r="X1356" s="230"/>
      <c r="Y1356" s="230"/>
      <c r="Z1356" s="230"/>
      <c r="AA1356" s="230"/>
      <c r="AB1356" s="230"/>
      <c r="AC1356" s="231">
        <f t="shared" si="607"/>
        <v>0</v>
      </c>
      <c r="AD1356" s="548"/>
      <c r="AE1356" s="241"/>
      <c r="AF1356" s="194"/>
      <c r="AG1356" s="194"/>
      <c r="AH1356" s="194"/>
      <c r="AI1356" s="194"/>
    </row>
    <row r="1357" hidden="1">
      <c r="A1357" s="391"/>
      <c r="B1357" s="893"/>
      <c r="C1357" s="196"/>
      <c r="D1357" s="286" t="s">
        <v>194</v>
      </c>
      <c r="E1357" s="233"/>
      <c r="F1357" s="233"/>
      <c r="G1357" s="233"/>
      <c r="H1357" s="234"/>
      <c r="I1357" s="234"/>
      <c r="J1357" s="222"/>
      <c r="K1357" s="222" t="s">
        <v>1387</v>
      </c>
      <c r="L1357" s="225"/>
      <c r="M1357" s="236"/>
      <c r="N1357" s="285"/>
      <c r="O1357" s="285"/>
      <c r="P1357" s="285"/>
      <c r="Q1357" s="718"/>
      <c r="R1357" s="718"/>
      <c r="S1357" s="718"/>
      <c r="T1357" s="718"/>
      <c r="U1357" s="718"/>
      <c r="V1357" s="718"/>
      <c r="W1357" s="718"/>
      <c r="X1357" s="718"/>
      <c r="Y1357" s="718"/>
      <c r="Z1357" s="718"/>
      <c r="AA1357" s="718"/>
      <c r="AB1357" s="718"/>
      <c r="AC1357" s="378">
        <f t="shared" si="607"/>
        <v>0</v>
      </c>
      <c r="AD1357" s="273"/>
      <c r="AE1357" s="192"/>
      <c r="AF1357" s="194"/>
      <c r="AG1357" s="194"/>
      <c r="AH1357" s="194"/>
      <c r="AI1357" s="194"/>
    </row>
    <row r="1358" hidden="1">
      <c r="A1358" s="391"/>
      <c r="B1358" s="893"/>
      <c r="C1358" s="196"/>
      <c r="D1358" s="286" t="s">
        <v>1393</v>
      </c>
      <c r="E1358" s="233"/>
      <c r="F1358" s="233"/>
      <c r="G1358" s="233"/>
      <c r="H1358" s="234"/>
      <c r="I1358" s="234"/>
      <c r="J1358" s="222"/>
      <c r="K1358" s="222" t="s">
        <v>1387</v>
      </c>
      <c r="L1358" s="225"/>
      <c r="M1358" s="236"/>
      <c r="N1358" s="285"/>
      <c r="O1358" s="285"/>
      <c r="P1358" s="285"/>
      <c r="Q1358" s="718"/>
      <c r="R1358" s="718"/>
      <c r="S1358" s="718"/>
      <c r="T1358" s="718"/>
      <c r="U1358" s="718"/>
      <c r="V1358" s="718"/>
      <c r="W1358" s="718"/>
      <c r="X1358" s="718"/>
      <c r="Y1358" s="718"/>
      <c r="Z1358" s="718"/>
      <c r="AA1358" s="718"/>
      <c r="AB1358" s="718"/>
      <c r="AC1358" s="378">
        <f t="shared" si="607"/>
        <v>0</v>
      </c>
      <c r="AD1358" s="273"/>
      <c r="AE1358" s="192"/>
      <c r="AF1358" s="194"/>
      <c r="AG1358" s="194"/>
      <c r="AH1358" s="194"/>
      <c r="AI1358" s="194"/>
    </row>
    <row r="1359">
      <c r="A1359" s="391"/>
      <c r="B1359" s="893"/>
      <c r="C1359" s="196">
        <v>3.0</v>
      </c>
      <c r="D1359" s="925" t="s">
        <v>1394</v>
      </c>
      <c r="E1359" s="198" t="s">
        <v>186</v>
      </c>
      <c r="F1359" s="198" t="s">
        <v>103</v>
      </c>
      <c r="G1359" s="198" t="s">
        <v>86</v>
      </c>
      <c r="H1359" s="198" t="s">
        <v>86</v>
      </c>
      <c r="I1359" s="198" t="s">
        <v>187</v>
      </c>
      <c r="J1359" s="198" t="s">
        <v>188</v>
      </c>
      <c r="K1359" s="606" t="s">
        <v>1387</v>
      </c>
      <c r="L1359" s="895"/>
      <c r="M1359" s="240"/>
      <c r="N1359" s="388"/>
      <c r="O1359" s="388"/>
      <c r="P1359" s="388"/>
      <c r="Q1359" s="896"/>
      <c r="R1359" s="896">
        <v>3.896370702E9</v>
      </c>
      <c r="S1359" s="896">
        <v>3.896370702E9</v>
      </c>
      <c r="T1359" s="896">
        <v>3.896370702E9</v>
      </c>
      <c r="U1359" s="896">
        <v>3.896370702E9</v>
      </c>
      <c r="V1359" s="896">
        <v>3.896370702E9</v>
      </c>
      <c r="W1359" s="896">
        <v>3.896370702E9</v>
      </c>
      <c r="X1359" s="896">
        <v>3.896370702E9</v>
      </c>
      <c r="Y1359" s="896">
        <v>3.896370702E9</v>
      </c>
      <c r="Z1359" s="896">
        <v>3.896370702E9</v>
      </c>
      <c r="AA1359" s="896">
        <v>3.896370702E9</v>
      </c>
      <c r="AB1359" s="896">
        <v>3.896370702E9</v>
      </c>
      <c r="AC1359" s="897">
        <v>4.2860077722E10</v>
      </c>
      <c r="AD1359" s="273">
        <f>SUM(Q1359:AB1359)-AC1359</f>
        <v>0</v>
      </c>
      <c r="AE1359" s="192"/>
      <c r="AF1359" s="194"/>
      <c r="AG1359" s="194"/>
      <c r="AH1359" s="194"/>
      <c r="AI1359" s="194"/>
    </row>
    <row r="1360" hidden="1">
      <c r="A1360" s="126"/>
      <c r="B1360" s="893"/>
      <c r="C1360" s="206"/>
      <c r="D1360" s="207"/>
      <c r="E1360" s="260"/>
      <c r="F1360" s="207"/>
      <c r="G1360" s="260"/>
      <c r="H1360" s="206"/>
      <c r="I1360" s="206"/>
      <c r="J1360" s="206"/>
      <c r="K1360" s="206" t="s">
        <v>1387</v>
      </c>
      <c r="L1360" s="277"/>
      <c r="M1360" s="244"/>
      <c r="N1360" s="389"/>
      <c r="O1360" s="389"/>
      <c r="P1360" s="389"/>
      <c r="Q1360" s="212"/>
      <c r="R1360" s="212"/>
      <c r="S1360" s="212"/>
      <c r="T1360" s="212"/>
      <c r="U1360" s="212"/>
      <c r="V1360" s="212"/>
      <c r="W1360" s="212"/>
      <c r="X1360" s="212"/>
      <c r="Y1360" s="212"/>
      <c r="Z1360" s="212"/>
      <c r="AA1360" s="212"/>
      <c r="AB1360" s="212"/>
      <c r="AC1360" s="213">
        <f t="shared" ref="AC1360:AC1363" si="608">SUM(Q1360:AB1360)</f>
        <v>0</v>
      </c>
      <c r="AD1360" s="214"/>
      <c r="AE1360" s="241"/>
      <c r="AF1360" s="194"/>
      <c r="AG1360" s="194"/>
      <c r="AH1360" s="194"/>
      <c r="AI1360" s="194"/>
    </row>
    <row r="1361" hidden="1">
      <c r="A1361" s="391"/>
      <c r="B1361" s="893"/>
      <c r="C1361" s="222"/>
      <c r="D1361" s="250" t="s">
        <v>1395</v>
      </c>
      <c r="E1361" s="233"/>
      <c r="F1361" s="224"/>
      <c r="G1361" s="233"/>
      <c r="H1361" s="222"/>
      <c r="I1361" s="222"/>
      <c r="J1361" s="222"/>
      <c r="K1361" s="222" t="s">
        <v>1387</v>
      </c>
      <c r="L1361" s="225"/>
      <c r="M1361" s="236"/>
      <c r="N1361" s="285"/>
      <c r="O1361" s="285"/>
      <c r="P1361" s="285"/>
      <c r="Q1361" s="230"/>
      <c r="R1361" s="230"/>
      <c r="S1361" s="230"/>
      <c r="T1361" s="230"/>
      <c r="U1361" s="230"/>
      <c r="V1361" s="230"/>
      <c r="W1361" s="230"/>
      <c r="X1361" s="230"/>
      <c r="Y1361" s="230"/>
      <c r="Z1361" s="230"/>
      <c r="AA1361" s="230"/>
      <c r="AB1361" s="230"/>
      <c r="AC1361" s="231">
        <f t="shared" si="608"/>
        <v>0</v>
      </c>
      <c r="AD1361" s="548"/>
      <c r="AE1361" s="241"/>
      <c r="AF1361" s="194"/>
      <c r="AG1361" s="194"/>
      <c r="AH1361" s="194"/>
      <c r="AI1361" s="194"/>
    </row>
    <row r="1362" hidden="1">
      <c r="A1362" s="391"/>
      <c r="B1362" s="893"/>
      <c r="C1362" s="196"/>
      <c r="D1362" s="286" t="s">
        <v>194</v>
      </c>
      <c r="E1362" s="233"/>
      <c r="F1362" s="233"/>
      <c r="G1362" s="233"/>
      <c r="H1362" s="234"/>
      <c r="I1362" s="234"/>
      <c r="J1362" s="222"/>
      <c r="K1362" s="222" t="s">
        <v>1387</v>
      </c>
      <c r="L1362" s="225"/>
      <c r="M1362" s="236"/>
      <c r="N1362" s="285"/>
      <c r="O1362" s="285"/>
      <c r="P1362" s="285"/>
      <c r="Q1362" s="718"/>
      <c r="R1362" s="718"/>
      <c r="S1362" s="718"/>
      <c r="T1362" s="718"/>
      <c r="U1362" s="718"/>
      <c r="V1362" s="718"/>
      <c r="W1362" s="718"/>
      <c r="X1362" s="718"/>
      <c r="Y1362" s="718"/>
      <c r="Z1362" s="718"/>
      <c r="AA1362" s="718"/>
      <c r="AB1362" s="718"/>
      <c r="AC1362" s="378">
        <f t="shared" si="608"/>
        <v>0</v>
      </c>
      <c r="AD1362" s="273"/>
      <c r="AE1362" s="192"/>
      <c r="AF1362" s="194"/>
      <c r="AG1362" s="194"/>
      <c r="AH1362" s="194"/>
      <c r="AI1362" s="194"/>
    </row>
    <row r="1363" hidden="1">
      <c r="A1363" s="391"/>
      <c r="B1363" s="893"/>
      <c r="C1363" s="196"/>
      <c r="D1363" s="286" t="s">
        <v>1396</v>
      </c>
      <c r="E1363" s="233"/>
      <c r="F1363" s="233"/>
      <c r="G1363" s="233"/>
      <c r="H1363" s="234"/>
      <c r="I1363" s="234"/>
      <c r="J1363" s="222"/>
      <c r="K1363" s="222" t="s">
        <v>1387</v>
      </c>
      <c r="L1363" s="225"/>
      <c r="M1363" s="236"/>
      <c r="N1363" s="285"/>
      <c r="O1363" s="285"/>
      <c r="P1363" s="285"/>
      <c r="Q1363" s="718"/>
      <c r="R1363" s="718"/>
      <c r="S1363" s="718"/>
      <c r="T1363" s="718"/>
      <c r="U1363" s="718"/>
      <c r="V1363" s="718"/>
      <c r="W1363" s="718"/>
      <c r="X1363" s="718"/>
      <c r="Y1363" s="718"/>
      <c r="Z1363" s="718"/>
      <c r="AA1363" s="718"/>
      <c r="AB1363" s="718"/>
      <c r="AC1363" s="378">
        <f t="shared" si="608"/>
        <v>0</v>
      </c>
      <c r="AD1363" s="273"/>
      <c r="AE1363" s="192"/>
      <c r="AF1363" s="194"/>
      <c r="AG1363" s="194"/>
      <c r="AH1363" s="194"/>
      <c r="AI1363" s="194"/>
    </row>
    <row r="1364">
      <c r="A1364" s="391"/>
      <c r="B1364" s="893"/>
      <c r="C1364" s="196">
        <v>4.0</v>
      </c>
      <c r="D1364" s="925" t="s">
        <v>1397</v>
      </c>
      <c r="E1364" s="198" t="s">
        <v>186</v>
      </c>
      <c r="F1364" s="198" t="s">
        <v>103</v>
      </c>
      <c r="G1364" s="198" t="s">
        <v>86</v>
      </c>
      <c r="H1364" s="198" t="s">
        <v>86</v>
      </c>
      <c r="I1364" s="198" t="s">
        <v>187</v>
      </c>
      <c r="J1364" s="198" t="s">
        <v>188</v>
      </c>
      <c r="K1364" s="606" t="s">
        <v>1387</v>
      </c>
      <c r="L1364" s="895"/>
      <c r="M1364" s="240"/>
      <c r="N1364" s="388"/>
      <c r="O1364" s="388"/>
      <c r="P1364" s="388"/>
      <c r="Q1364" s="896"/>
      <c r="R1364" s="896"/>
      <c r="S1364" s="896"/>
      <c r="T1364" s="896"/>
      <c r="U1364" s="896">
        <v>1002229.0</v>
      </c>
      <c r="V1364" s="896">
        <v>1002229.0</v>
      </c>
      <c r="W1364" s="896">
        <v>1002229.0</v>
      </c>
      <c r="X1364" s="896">
        <v>1002229.0</v>
      </c>
      <c r="Y1364" s="896">
        <v>1002229.0</v>
      </c>
      <c r="Z1364" s="896">
        <v>1002229.0</v>
      </c>
      <c r="AA1364" s="896">
        <v>1002229.0</v>
      </c>
      <c r="AB1364" s="896">
        <v>1002229.0</v>
      </c>
      <c r="AC1364" s="897">
        <v>8017832.0</v>
      </c>
      <c r="AD1364" s="273"/>
      <c r="AE1364" s="192"/>
      <c r="AF1364" s="194"/>
      <c r="AG1364" s="194"/>
      <c r="AH1364" s="194"/>
      <c r="AI1364" s="194"/>
    </row>
    <row r="1365" hidden="1">
      <c r="A1365" s="126"/>
      <c r="B1365" s="893"/>
      <c r="C1365" s="206"/>
      <c r="D1365" s="207"/>
      <c r="E1365" s="260"/>
      <c r="F1365" s="207"/>
      <c r="G1365" s="260"/>
      <c r="H1365" s="206"/>
      <c r="I1365" s="206"/>
      <c r="J1365" s="206"/>
      <c r="K1365" s="206" t="s">
        <v>1387</v>
      </c>
      <c r="L1365" s="277"/>
      <c r="M1365" s="244"/>
      <c r="N1365" s="389"/>
      <c r="O1365" s="389"/>
      <c r="P1365" s="389"/>
      <c r="Q1365" s="212"/>
      <c r="R1365" s="212"/>
      <c r="S1365" s="212"/>
      <c r="T1365" s="212"/>
      <c r="U1365" s="212"/>
      <c r="V1365" s="212"/>
      <c r="W1365" s="212"/>
      <c r="X1365" s="212"/>
      <c r="Y1365" s="212"/>
      <c r="Z1365" s="212"/>
      <c r="AA1365" s="212"/>
      <c r="AB1365" s="212"/>
      <c r="AC1365" s="213">
        <f t="shared" ref="AC1365:AC1368" si="609">SUM(Q1365:AB1365)</f>
        <v>0</v>
      </c>
      <c r="AD1365" s="214"/>
      <c r="AE1365" s="241"/>
      <c r="AF1365" s="194"/>
      <c r="AG1365" s="194"/>
      <c r="AH1365" s="194"/>
      <c r="AI1365" s="194"/>
    </row>
    <row r="1366" hidden="1">
      <c r="A1366" s="391"/>
      <c r="B1366" s="893"/>
      <c r="C1366" s="222"/>
      <c r="D1366" s="250" t="s">
        <v>1398</v>
      </c>
      <c r="E1366" s="233"/>
      <c r="F1366" s="224"/>
      <c r="G1366" s="233"/>
      <c r="H1366" s="222"/>
      <c r="I1366" s="222"/>
      <c r="J1366" s="222"/>
      <c r="K1366" s="222" t="s">
        <v>1387</v>
      </c>
      <c r="L1366" s="225"/>
      <c r="M1366" s="236"/>
      <c r="N1366" s="285"/>
      <c r="O1366" s="285"/>
      <c r="P1366" s="285"/>
      <c r="Q1366" s="230"/>
      <c r="R1366" s="230"/>
      <c r="S1366" s="230"/>
      <c r="T1366" s="230"/>
      <c r="U1366" s="230"/>
      <c r="V1366" s="230"/>
      <c r="W1366" s="230"/>
      <c r="X1366" s="230"/>
      <c r="Y1366" s="230"/>
      <c r="Z1366" s="230"/>
      <c r="AA1366" s="230"/>
      <c r="AB1366" s="230"/>
      <c r="AC1366" s="231">
        <f t="shared" si="609"/>
        <v>0</v>
      </c>
      <c r="AD1366" s="548"/>
      <c r="AE1366" s="241"/>
      <c r="AF1366" s="194"/>
      <c r="AG1366" s="194"/>
      <c r="AH1366" s="194"/>
      <c r="AI1366" s="194"/>
    </row>
    <row r="1367" hidden="1">
      <c r="A1367" s="391"/>
      <c r="B1367" s="893"/>
      <c r="C1367" s="196"/>
      <c r="D1367" s="286" t="s">
        <v>194</v>
      </c>
      <c r="E1367" s="233"/>
      <c r="F1367" s="233"/>
      <c r="G1367" s="233"/>
      <c r="H1367" s="234"/>
      <c r="I1367" s="234"/>
      <c r="J1367" s="222"/>
      <c r="K1367" s="222" t="s">
        <v>1387</v>
      </c>
      <c r="L1367" s="225"/>
      <c r="M1367" s="236"/>
      <c r="N1367" s="285"/>
      <c r="O1367" s="285"/>
      <c r="P1367" s="285"/>
      <c r="Q1367" s="718"/>
      <c r="R1367" s="718"/>
      <c r="S1367" s="718"/>
      <c r="T1367" s="718"/>
      <c r="U1367" s="718"/>
      <c r="V1367" s="718"/>
      <c r="W1367" s="718"/>
      <c r="X1367" s="718"/>
      <c r="Y1367" s="718"/>
      <c r="Z1367" s="718"/>
      <c r="AA1367" s="718"/>
      <c r="AB1367" s="718"/>
      <c r="AC1367" s="378">
        <f t="shared" si="609"/>
        <v>0</v>
      </c>
      <c r="AD1367" s="273"/>
      <c r="AE1367" s="192"/>
      <c r="AF1367" s="194"/>
      <c r="AG1367" s="194"/>
      <c r="AH1367" s="194"/>
      <c r="AI1367" s="194"/>
    </row>
    <row r="1368" hidden="1">
      <c r="A1368" s="391"/>
      <c r="B1368" s="893"/>
      <c r="C1368" s="196"/>
      <c r="D1368" s="286" t="s">
        <v>1399</v>
      </c>
      <c r="E1368" s="233"/>
      <c r="F1368" s="233"/>
      <c r="G1368" s="233"/>
      <c r="H1368" s="234"/>
      <c r="I1368" s="234"/>
      <c r="J1368" s="222"/>
      <c r="K1368" s="222" t="s">
        <v>1387</v>
      </c>
      <c r="L1368" s="225"/>
      <c r="M1368" s="236"/>
      <c r="N1368" s="285"/>
      <c r="O1368" s="285"/>
      <c r="P1368" s="285"/>
      <c r="Q1368" s="718"/>
      <c r="R1368" s="718"/>
      <c r="S1368" s="718"/>
      <c r="T1368" s="718"/>
      <c r="U1368" s="718"/>
      <c r="V1368" s="718"/>
      <c r="W1368" s="718"/>
      <c r="X1368" s="718"/>
      <c r="Y1368" s="718"/>
      <c r="Z1368" s="718"/>
      <c r="AA1368" s="718"/>
      <c r="AB1368" s="718"/>
      <c r="AC1368" s="378">
        <f t="shared" si="609"/>
        <v>0</v>
      </c>
      <c r="AD1368" s="273"/>
      <c r="AE1368" s="192"/>
      <c r="AF1368" s="194"/>
      <c r="AG1368" s="194"/>
      <c r="AH1368" s="194"/>
      <c r="AI1368" s="194"/>
    </row>
    <row r="1369">
      <c r="A1369" s="391"/>
      <c r="B1369" s="893"/>
      <c r="C1369" s="196">
        <v>5.0</v>
      </c>
      <c r="D1369" s="925" t="s">
        <v>1400</v>
      </c>
      <c r="E1369" s="198" t="s">
        <v>186</v>
      </c>
      <c r="F1369" s="198" t="s">
        <v>103</v>
      </c>
      <c r="G1369" s="198" t="s">
        <v>86</v>
      </c>
      <c r="H1369" s="198" t="s">
        <v>86</v>
      </c>
      <c r="I1369" s="198" t="s">
        <v>253</v>
      </c>
      <c r="J1369" s="198" t="s">
        <v>254</v>
      </c>
      <c r="K1369" s="606" t="s">
        <v>1387</v>
      </c>
      <c r="L1369" s="895"/>
      <c r="M1369" s="240"/>
      <c r="N1369" s="388"/>
      <c r="O1369" s="388"/>
      <c r="P1369" s="388"/>
      <c r="Q1369" s="896"/>
      <c r="R1369" s="896"/>
      <c r="S1369" s="896"/>
      <c r="T1369" s="896"/>
      <c r="U1369" s="896"/>
      <c r="V1369" s="896"/>
      <c r="W1369" s="896"/>
      <c r="X1369" s="896">
        <v>196840.0</v>
      </c>
      <c r="Y1369" s="896">
        <v>196840.0</v>
      </c>
      <c r="Z1369" s="896">
        <v>196840.0</v>
      </c>
      <c r="AA1369" s="896">
        <v>196840.0</v>
      </c>
      <c r="AB1369" s="896">
        <v>196840.0</v>
      </c>
      <c r="AC1369" s="897">
        <v>984200.0</v>
      </c>
      <c r="AD1369" s="273">
        <f>SUM(Q1369:AB1369)-AC1369</f>
        <v>0</v>
      </c>
      <c r="AE1369" s="192"/>
      <c r="AF1369" s="194"/>
      <c r="AG1369" s="194"/>
      <c r="AH1369" s="194"/>
      <c r="AI1369" s="194"/>
    </row>
    <row r="1370" hidden="1">
      <c r="A1370" s="126"/>
      <c r="B1370" s="893"/>
      <c r="C1370" s="206"/>
      <c r="D1370" s="207"/>
      <c r="E1370" s="260"/>
      <c r="F1370" s="207"/>
      <c r="G1370" s="260"/>
      <c r="H1370" s="206"/>
      <c r="I1370" s="206"/>
      <c r="J1370" s="206"/>
      <c r="K1370" s="206" t="s">
        <v>1387</v>
      </c>
      <c r="L1370" s="277"/>
      <c r="M1370" s="244"/>
      <c r="N1370" s="389"/>
      <c r="O1370" s="389"/>
      <c r="P1370" s="389"/>
      <c r="Q1370" s="212"/>
      <c r="R1370" s="212"/>
      <c r="S1370" s="212"/>
      <c r="T1370" s="212"/>
      <c r="U1370" s="212"/>
      <c r="V1370" s="212"/>
      <c r="W1370" s="212"/>
      <c r="X1370" s="212"/>
      <c r="Y1370" s="212"/>
      <c r="Z1370" s="212"/>
      <c r="AA1370" s="212"/>
      <c r="AB1370" s="212"/>
      <c r="AC1370" s="213">
        <f t="shared" ref="AC1370:AC1373" si="610">SUM(Q1370:AB1370)</f>
        <v>0</v>
      </c>
      <c r="AD1370" s="214"/>
      <c r="AE1370" s="241"/>
      <c r="AF1370" s="194"/>
      <c r="AG1370" s="194"/>
      <c r="AH1370" s="194"/>
      <c r="AI1370" s="194"/>
    </row>
    <row r="1371" hidden="1">
      <c r="A1371" s="391"/>
      <c r="B1371" s="893"/>
      <c r="C1371" s="222"/>
      <c r="D1371" s="250" t="s">
        <v>1401</v>
      </c>
      <c r="E1371" s="233"/>
      <c r="F1371" s="224"/>
      <c r="G1371" s="233"/>
      <c r="H1371" s="222"/>
      <c r="I1371" s="222"/>
      <c r="J1371" s="222"/>
      <c r="K1371" s="222" t="s">
        <v>1387</v>
      </c>
      <c r="L1371" s="225"/>
      <c r="M1371" s="236"/>
      <c r="N1371" s="285"/>
      <c r="O1371" s="285"/>
      <c r="P1371" s="285"/>
      <c r="Q1371" s="230"/>
      <c r="R1371" s="230"/>
      <c r="S1371" s="230"/>
      <c r="T1371" s="230"/>
      <c r="U1371" s="230"/>
      <c r="V1371" s="230"/>
      <c r="W1371" s="230"/>
      <c r="X1371" s="230"/>
      <c r="Y1371" s="230"/>
      <c r="Z1371" s="230"/>
      <c r="AA1371" s="230"/>
      <c r="AB1371" s="230"/>
      <c r="AC1371" s="231">
        <f t="shared" si="610"/>
        <v>0</v>
      </c>
      <c r="AD1371" s="548"/>
      <c r="AE1371" s="241"/>
      <c r="AF1371" s="194"/>
      <c r="AG1371" s="194"/>
      <c r="AH1371" s="194"/>
      <c r="AI1371" s="194"/>
    </row>
    <row r="1372" hidden="1">
      <c r="A1372" s="391"/>
      <c r="B1372" s="893"/>
      <c r="C1372" s="196"/>
      <c r="D1372" s="286" t="s">
        <v>194</v>
      </c>
      <c r="E1372" s="233"/>
      <c r="F1372" s="233"/>
      <c r="G1372" s="233"/>
      <c r="H1372" s="234"/>
      <c r="I1372" s="234"/>
      <c r="J1372" s="222"/>
      <c r="K1372" s="222" t="s">
        <v>1387</v>
      </c>
      <c r="L1372" s="225"/>
      <c r="M1372" s="236"/>
      <c r="N1372" s="285"/>
      <c r="O1372" s="285"/>
      <c r="P1372" s="285"/>
      <c r="Q1372" s="718"/>
      <c r="R1372" s="718"/>
      <c r="S1372" s="718"/>
      <c r="T1372" s="718"/>
      <c r="U1372" s="718"/>
      <c r="V1372" s="718"/>
      <c r="W1372" s="718"/>
      <c r="X1372" s="718"/>
      <c r="Y1372" s="718"/>
      <c r="Z1372" s="718"/>
      <c r="AA1372" s="718"/>
      <c r="AB1372" s="718"/>
      <c r="AC1372" s="378">
        <f t="shared" si="610"/>
        <v>0</v>
      </c>
      <c r="AD1372" s="273"/>
      <c r="AE1372" s="192"/>
      <c r="AF1372" s="194"/>
      <c r="AG1372" s="194"/>
      <c r="AH1372" s="194"/>
      <c r="AI1372" s="194"/>
    </row>
    <row r="1373" hidden="1">
      <c r="A1373" s="391"/>
      <c r="B1373" s="893"/>
      <c r="C1373" s="196"/>
      <c r="D1373" s="286" t="s">
        <v>1402</v>
      </c>
      <c r="E1373" s="233"/>
      <c r="F1373" s="233"/>
      <c r="G1373" s="233"/>
      <c r="H1373" s="234"/>
      <c r="I1373" s="234"/>
      <c r="J1373" s="222"/>
      <c r="K1373" s="222" t="s">
        <v>1387</v>
      </c>
      <c r="L1373" s="225"/>
      <c r="M1373" s="236"/>
      <c r="N1373" s="285"/>
      <c r="O1373" s="285"/>
      <c r="P1373" s="285"/>
      <c r="Q1373" s="718"/>
      <c r="R1373" s="718"/>
      <c r="S1373" s="718"/>
      <c r="T1373" s="718"/>
      <c r="U1373" s="718"/>
      <c r="V1373" s="718"/>
      <c r="W1373" s="718"/>
      <c r="X1373" s="718"/>
      <c r="Y1373" s="718"/>
      <c r="Z1373" s="718"/>
      <c r="AA1373" s="718"/>
      <c r="AB1373" s="718"/>
      <c r="AC1373" s="378">
        <f t="shared" si="610"/>
        <v>0</v>
      </c>
      <c r="AD1373" s="273"/>
      <c r="AE1373" s="192"/>
      <c r="AF1373" s="194"/>
      <c r="AG1373" s="194"/>
      <c r="AH1373" s="194"/>
      <c r="AI1373" s="194"/>
    </row>
    <row r="1374">
      <c r="A1374" s="391"/>
      <c r="B1374" s="893"/>
      <c r="C1374" s="196">
        <v>6.0</v>
      </c>
      <c r="D1374" s="925" t="s">
        <v>1403</v>
      </c>
      <c r="E1374" s="198" t="s">
        <v>186</v>
      </c>
      <c r="F1374" s="198" t="s">
        <v>103</v>
      </c>
      <c r="G1374" s="198" t="s">
        <v>86</v>
      </c>
      <c r="H1374" s="198" t="s">
        <v>86</v>
      </c>
      <c r="I1374" s="198" t="s">
        <v>253</v>
      </c>
      <c r="J1374" s="198" t="s">
        <v>254</v>
      </c>
      <c r="K1374" s="606" t="s">
        <v>1387</v>
      </c>
      <c r="L1374" s="895"/>
      <c r="M1374" s="240"/>
      <c r="N1374" s="388"/>
      <c r="O1374" s="388"/>
      <c r="P1374" s="388"/>
      <c r="Q1374" s="896"/>
      <c r="R1374" s="896"/>
      <c r="S1374" s="896"/>
      <c r="T1374" s="896"/>
      <c r="U1374" s="896"/>
      <c r="V1374" s="896"/>
      <c r="W1374" s="896"/>
      <c r="X1374" s="896">
        <v>352698.0</v>
      </c>
      <c r="Y1374" s="896">
        <v>352698.0</v>
      </c>
      <c r="Z1374" s="896">
        <v>352698.0</v>
      </c>
      <c r="AA1374" s="896">
        <v>352698.0</v>
      </c>
      <c r="AB1374" s="896">
        <v>352698.0</v>
      </c>
      <c r="AC1374" s="897">
        <v>1763490.0</v>
      </c>
      <c r="AD1374" s="273">
        <f>SUM(Q1374:AB1374)-AC1374</f>
        <v>0</v>
      </c>
      <c r="AE1374" s="192"/>
      <c r="AF1374" s="194"/>
      <c r="AG1374" s="194"/>
      <c r="AH1374" s="194"/>
      <c r="AI1374" s="194"/>
    </row>
    <row r="1375" hidden="1">
      <c r="A1375" s="126"/>
      <c r="B1375" s="893"/>
      <c r="C1375" s="206"/>
      <c r="D1375" s="207"/>
      <c r="E1375" s="260"/>
      <c r="F1375" s="207"/>
      <c r="G1375" s="260"/>
      <c r="H1375" s="206"/>
      <c r="I1375" s="206"/>
      <c r="J1375" s="206"/>
      <c r="K1375" s="206" t="s">
        <v>1387</v>
      </c>
      <c r="L1375" s="277"/>
      <c r="M1375" s="244"/>
      <c r="N1375" s="389"/>
      <c r="O1375" s="389"/>
      <c r="P1375" s="389"/>
      <c r="Q1375" s="212"/>
      <c r="R1375" s="212"/>
      <c r="S1375" s="212"/>
      <c r="T1375" s="212"/>
      <c r="U1375" s="212"/>
      <c r="V1375" s="212"/>
      <c r="W1375" s="212"/>
      <c r="X1375" s="212"/>
      <c r="Y1375" s="212"/>
      <c r="Z1375" s="212"/>
      <c r="AA1375" s="212"/>
      <c r="AB1375" s="212"/>
      <c r="AC1375" s="213">
        <f t="shared" ref="AC1375:AC1378" si="611">SUM(Q1375:AB1375)</f>
        <v>0</v>
      </c>
      <c r="AD1375" s="214"/>
      <c r="AE1375" s="241"/>
      <c r="AF1375" s="194"/>
      <c r="AG1375" s="194"/>
      <c r="AH1375" s="194"/>
      <c r="AI1375" s="194"/>
    </row>
    <row r="1376" hidden="1">
      <c r="A1376" s="391"/>
      <c r="B1376" s="893"/>
      <c r="C1376" s="222"/>
      <c r="D1376" s="250" t="s">
        <v>1404</v>
      </c>
      <c r="E1376" s="233"/>
      <c r="F1376" s="224"/>
      <c r="G1376" s="233"/>
      <c r="H1376" s="222"/>
      <c r="I1376" s="222"/>
      <c r="J1376" s="222"/>
      <c r="K1376" s="222" t="s">
        <v>1387</v>
      </c>
      <c r="L1376" s="225"/>
      <c r="M1376" s="236"/>
      <c r="N1376" s="285"/>
      <c r="O1376" s="285"/>
      <c r="P1376" s="285"/>
      <c r="Q1376" s="230"/>
      <c r="R1376" s="230"/>
      <c r="S1376" s="230"/>
      <c r="T1376" s="230"/>
      <c r="U1376" s="230"/>
      <c r="V1376" s="230"/>
      <c r="W1376" s="230"/>
      <c r="X1376" s="230"/>
      <c r="Y1376" s="230"/>
      <c r="Z1376" s="230"/>
      <c r="AA1376" s="230"/>
      <c r="AB1376" s="230"/>
      <c r="AC1376" s="231">
        <f t="shared" si="611"/>
        <v>0</v>
      </c>
      <c r="AD1376" s="548"/>
      <c r="AE1376" s="241"/>
      <c r="AF1376" s="194"/>
      <c r="AG1376" s="194"/>
      <c r="AH1376" s="194"/>
      <c r="AI1376" s="194"/>
    </row>
    <row r="1377" hidden="1">
      <c r="A1377" s="391"/>
      <c r="B1377" s="893"/>
      <c r="C1377" s="196"/>
      <c r="D1377" s="286" t="s">
        <v>194</v>
      </c>
      <c r="E1377" s="233"/>
      <c r="F1377" s="233"/>
      <c r="G1377" s="233"/>
      <c r="H1377" s="234"/>
      <c r="I1377" s="234"/>
      <c r="J1377" s="222"/>
      <c r="K1377" s="222" t="s">
        <v>1387</v>
      </c>
      <c r="L1377" s="225"/>
      <c r="M1377" s="236"/>
      <c r="N1377" s="285"/>
      <c r="O1377" s="285"/>
      <c r="P1377" s="285"/>
      <c r="Q1377" s="718"/>
      <c r="R1377" s="718"/>
      <c r="S1377" s="718"/>
      <c r="T1377" s="718"/>
      <c r="U1377" s="718"/>
      <c r="V1377" s="718"/>
      <c r="W1377" s="718"/>
      <c r="X1377" s="718"/>
      <c r="Y1377" s="718"/>
      <c r="Z1377" s="718"/>
      <c r="AA1377" s="718"/>
      <c r="AB1377" s="718"/>
      <c r="AC1377" s="378">
        <f t="shared" si="611"/>
        <v>0</v>
      </c>
      <c r="AD1377" s="273"/>
      <c r="AE1377" s="192"/>
      <c r="AF1377" s="194"/>
      <c r="AG1377" s="194"/>
      <c r="AH1377" s="194"/>
      <c r="AI1377" s="194"/>
    </row>
    <row r="1378" hidden="1">
      <c r="A1378" s="391"/>
      <c r="B1378" s="893"/>
      <c r="C1378" s="196"/>
      <c r="D1378" s="286" t="s">
        <v>1405</v>
      </c>
      <c r="E1378" s="233"/>
      <c r="F1378" s="233"/>
      <c r="G1378" s="233"/>
      <c r="H1378" s="234"/>
      <c r="I1378" s="234"/>
      <c r="J1378" s="222"/>
      <c r="K1378" s="222" t="s">
        <v>1387</v>
      </c>
      <c r="L1378" s="225"/>
      <c r="M1378" s="236"/>
      <c r="N1378" s="285"/>
      <c r="O1378" s="285"/>
      <c r="P1378" s="285"/>
      <c r="Q1378" s="718"/>
      <c r="R1378" s="718"/>
      <c r="S1378" s="718"/>
      <c r="T1378" s="718"/>
      <c r="U1378" s="718"/>
      <c r="V1378" s="718"/>
      <c r="W1378" s="718"/>
      <c r="X1378" s="718"/>
      <c r="Y1378" s="718"/>
      <c r="Z1378" s="718"/>
      <c r="AA1378" s="718"/>
      <c r="AB1378" s="718"/>
      <c r="AC1378" s="378">
        <f t="shared" si="611"/>
        <v>0</v>
      </c>
      <c r="AD1378" s="273"/>
      <c r="AE1378" s="192"/>
      <c r="AF1378" s="194"/>
      <c r="AG1378" s="194"/>
      <c r="AH1378" s="194"/>
      <c r="AI1378" s="194"/>
    </row>
    <row r="1379">
      <c r="A1379" s="391"/>
      <c r="B1379" s="893"/>
      <c r="C1379" s="196">
        <v>7.0</v>
      </c>
      <c r="D1379" s="925" t="s">
        <v>1406</v>
      </c>
      <c r="E1379" s="198" t="s">
        <v>186</v>
      </c>
      <c r="F1379" s="198" t="s">
        <v>103</v>
      </c>
      <c r="G1379" s="198" t="s">
        <v>86</v>
      </c>
      <c r="H1379" s="198" t="s">
        <v>86</v>
      </c>
      <c r="I1379" s="198" t="s">
        <v>253</v>
      </c>
      <c r="J1379" s="198" t="s">
        <v>254</v>
      </c>
      <c r="K1379" s="606" t="s">
        <v>1387</v>
      </c>
      <c r="L1379" s="895"/>
      <c r="M1379" s="240"/>
      <c r="N1379" s="388"/>
      <c r="O1379" s="388"/>
      <c r="P1379" s="388"/>
      <c r="Q1379" s="896"/>
      <c r="R1379" s="896"/>
      <c r="S1379" s="896"/>
      <c r="T1379" s="896"/>
      <c r="U1379" s="896"/>
      <c r="V1379" s="896"/>
      <c r="W1379" s="896"/>
      <c r="X1379" s="896">
        <v>350919.0</v>
      </c>
      <c r="Y1379" s="896">
        <v>350919.0</v>
      </c>
      <c r="Z1379" s="896">
        <v>350919.0</v>
      </c>
      <c r="AA1379" s="896">
        <v>350919.0</v>
      </c>
      <c r="AB1379" s="896">
        <v>350919.0</v>
      </c>
      <c r="AC1379" s="897">
        <v>1754595.0</v>
      </c>
      <c r="AD1379" s="273">
        <f>SUM(Q1379:AB1379)-AC1379</f>
        <v>0</v>
      </c>
      <c r="AE1379" s="192"/>
      <c r="AF1379" s="194"/>
      <c r="AG1379" s="194"/>
      <c r="AH1379" s="194"/>
      <c r="AI1379" s="194"/>
    </row>
    <row r="1380" hidden="1">
      <c r="A1380" s="126"/>
      <c r="B1380" s="893"/>
      <c r="C1380" s="206"/>
      <c r="D1380" s="207"/>
      <c r="E1380" s="260"/>
      <c r="F1380" s="207"/>
      <c r="G1380" s="260"/>
      <c r="H1380" s="206"/>
      <c r="I1380" s="206"/>
      <c r="J1380" s="206"/>
      <c r="K1380" s="206" t="s">
        <v>1387</v>
      </c>
      <c r="L1380" s="277"/>
      <c r="M1380" s="244"/>
      <c r="N1380" s="389"/>
      <c r="O1380" s="389"/>
      <c r="P1380" s="389"/>
      <c r="Q1380" s="212"/>
      <c r="R1380" s="212"/>
      <c r="S1380" s="212"/>
      <c r="T1380" s="212"/>
      <c r="U1380" s="212"/>
      <c r="V1380" s="212"/>
      <c r="W1380" s="212"/>
      <c r="X1380" s="212"/>
      <c r="Y1380" s="212"/>
      <c r="Z1380" s="212"/>
      <c r="AA1380" s="212"/>
      <c r="AB1380" s="212"/>
      <c r="AC1380" s="213">
        <f t="shared" ref="AC1380:AC1383" si="612">SUM(Q1380:AB1380)</f>
        <v>0</v>
      </c>
      <c r="AD1380" s="214"/>
      <c r="AE1380" s="241"/>
      <c r="AF1380" s="194"/>
      <c r="AG1380" s="194"/>
      <c r="AH1380" s="194"/>
      <c r="AI1380" s="194"/>
    </row>
    <row r="1381" hidden="1">
      <c r="A1381" s="391"/>
      <c r="B1381" s="893"/>
      <c r="C1381" s="222"/>
      <c r="D1381" s="250" t="s">
        <v>1407</v>
      </c>
      <c r="E1381" s="233"/>
      <c r="F1381" s="224"/>
      <c r="G1381" s="233"/>
      <c r="H1381" s="222"/>
      <c r="I1381" s="222"/>
      <c r="J1381" s="222"/>
      <c r="K1381" s="222" t="s">
        <v>1387</v>
      </c>
      <c r="L1381" s="225"/>
      <c r="M1381" s="236"/>
      <c r="N1381" s="285"/>
      <c r="O1381" s="285"/>
      <c r="P1381" s="285"/>
      <c r="Q1381" s="230"/>
      <c r="R1381" s="230"/>
      <c r="S1381" s="230"/>
      <c r="T1381" s="230"/>
      <c r="U1381" s="230"/>
      <c r="V1381" s="230"/>
      <c r="W1381" s="230"/>
      <c r="X1381" s="230"/>
      <c r="Y1381" s="230"/>
      <c r="Z1381" s="230"/>
      <c r="AA1381" s="230"/>
      <c r="AB1381" s="230"/>
      <c r="AC1381" s="231">
        <f t="shared" si="612"/>
        <v>0</v>
      </c>
      <c r="AD1381" s="548"/>
      <c r="AE1381" s="241"/>
      <c r="AF1381" s="194"/>
      <c r="AG1381" s="194"/>
      <c r="AH1381" s="194"/>
      <c r="AI1381" s="194"/>
    </row>
    <row r="1382" hidden="1">
      <c r="A1382" s="391"/>
      <c r="B1382" s="893"/>
      <c r="C1382" s="196"/>
      <c r="D1382" s="286" t="s">
        <v>194</v>
      </c>
      <c r="E1382" s="233"/>
      <c r="F1382" s="233"/>
      <c r="G1382" s="233"/>
      <c r="H1382" s="234"/>
      <c r="I1382" s="234"/>
      <c r="J1382" s="222"/>
      <c r="K1382" s="222" t="s">
        <v>1387</v>
      </c>
      <c r="L1382" s="225"/>
      <c r="M1382" s="236"/>
      <c r="N1382" s="285"/>
      <c r="O1382" s="285"/>
      <c r="P1382" s="285"/>
      <c r="Q1382" s="718"/>
      <c r="R1382" s="718"/>
      <c r="S1382" s="718"/>
      <c r="T1382" s="718"/>
      <c r="U1382" s="718"/>
      <c r="V1382" s="718"/>
      <c r="W1382" s="718"/>
      <c r="X1382" s="718"/>
      <c r="Y1382" s="718"/>
      <c r="Z1382" s="718"/>
      <c r="AA1382" s="718"/>
      <c r="AB1382" s="718"/>
      <c r="AC1382" s="378">
        <f t="shared" si="612"/>
        <v>0</v>
      </c>
      <c r="AD1382" s="273"/>
      <c r="AE1382" s="192"/>
      <c r="AF1382" s="194"/>
      <c r="AG1382" s="194"/>
      <c r="AH1382" s="194"/>
      <c r="AI1382" s="194"/>
    </row>
    <row r="1383" hidden="1">
      <c r="A1383" s="391"/>
      <c r="B1383" s="893"/>
      <c r="C1383" s="196"/>
      <c r="D1383" s="286" t="s">
        <v>1408</v>
      </c>
      <c r="E1383" s="233"/>
      <c r="F1383" s="233"/>
      <c r="G1383" s="233"/>
      <c r="H1383" s="234"/>
      <c r="I1383" s="234"/>
      <c r="J1383" s="222"/>
      <c r="K1383" s="222" t="s">
        <v>1387</v>
      </c>
      <c r="L1383" s="225"/>
      <c r="M1383" s="236"/>
      <c r="N1383" s="285"/>
      <c r="O1383" s="285"/>
      <c r="P1383" s="285"/>
      <c r="Q1383" s="718"/>
      <c r="R1383" s="718"/>
      <c r="S1383" s="718"/>
      <c r="T1383" s="718"/>
      <c r="U1383" s="718"/>
      <c r="V1383" s="718"/>
      <c r="W1383" s="718"/>
      <c r="X1383" s="718"/>
      <c r="Y1383" s="718"/>
      <c r="Z1383" s="718"/>
      <c r="AA1383" s="718"/>
      <c r="AB1383" s="718"/>
      <c r="AC1383" s="378">
        <f t="shared" si="612"/>
        <v>0</v>
      </c>
      <c r="AD1383" s="273"/>
      <c r="AE1383" s="192"/>
      <c r="AF1383" s="194"/>
      <c r="AG1383" s="194"/>
      <c r="AH1383" s="194"/>
      <c r="AI1383" s="194"/>
    </row>
    <row r="1384">
      <c r="A1384" s="391"/>
      <c r="B1384" s="893"/>
      <c r="C1384" s="196">
        <v>8.0</v>
      </c>
      <c r="D1384" s="925" t="s">
        <v>1409</v>
      </c>
      <c r="E1384" s="198" t="s">
        <v>186</v>
      </c>
      <c r="F1384" s="198" t="s">
        <v>103</v>
      </c>
      <c r="G1384" s="198" t="s">
        <v>86</v>
      </c>
      <c r="H1384" s="198" t="s">
        <v>86</v>
      </c>
      <c r="I1384" s="198" t="s">
        <v>253</v>
      </c>
      <c r="J1384" s="198" t="s">
        <v>254</v>
      </c>
      <c r="K1384" s="606" t="s">
        <v>1387</v>
      </c>
      <c r="L1384" s="895"/>
      <c r="M1384" s="240"/>
      <c r="N1384" s="388"/>
      <c r="O1384" s="388"/>
      <c r="P1384" s="388"/>
      <c r="Q1384" s="896"/>
      <c r="R1384" s="896"/>
      <c r="S1384" s="896"/>
      <c r="T1384" s="896"/>
      <c r="U1384" s="896"/>
      <c r="V1384" s="896">
        <v>3004014.0</v>
      </c>
      <c r="W1384" s="896">
        <v>3004014.0</v>
      </c>
      <c r="X1384" s="896">
        <v>3004014.0</v>
      </c>
      <c r="Y1384" s="896">
        <v>3004014.0</v>
      </c>
      <c r="Z1384" s="896">
        <v>3004014.0</v>
      </c>
      <c r="AA1384" s="896">
        <v>3004014.0</v>
      </c>
      <c r="AB1384" s="896">
        <v>3004014.0</v>
      </c>
      <c r="AC1384" s="897">
        <v>2.1028098E7</v>
      </c>
      <c r="AD1384" s="273">
        <f>SUM(Q1384:AB1384)-AC1384</f>
        <v>0</v>
      </c>
      <c r="AE1384" s="192"/>
      <c r="AF1384" s="194"/>
      <c r="AG1384" s="194"/>
      <c r="AH1384" s="194"/>
      <c r="AI1384" s="194"/>
    </row>
    <row r="1385" hidden="1">
      <c r="A1385" s="126"/>
      <c r="B1385" s="893"/>
      <c r="C1385" s="206"/>
      <c r="D1385" s="207"/>
      <c r="E1385" s="260"/>
      <c r="F1385" s="207"/>
      <c r="G1385" s="260"/>
      <c r="H1385" s="206"/>
      <c r="I1385" s="206"/>
      <c r="J1385" s="206"/>
      <c r="K1385" s="206" t="s">
        <v>1387</v>
      </c>
      <c r="L1385" s="277"/>
      <c r="M1385" s="244"/>
      <c r="N1385" s="389"/>
      <c r="O1385" s="389"/>
      <c r="P1385" s="389"/>
      <c r="Q1385" s="212"/>
      <c r="R1385" s="212"/>
      <c r="S1385" s="212"/>
      <c r="T1385" s="212"/>
      <c r="U1385" s="212"/>
      <c r="V1385" s="212"/>
      <c r="W1385" s="212"/>
      <c r="X1385" s="212"/>
      <c r="Y1385" s="212"/>
      <c r="Z1385" s="212"/>
      <c r="AA1385" s="212"/>
      <c r="AB1385" s="212"/>
      <c r="AC1385" s="213">
        <f t="shared" ref="AC1385:AC1388" si="613">SUM(Q1385:AB1385)</f>
        <v>0</v>
      </c>
      <c r="AD1385" s="214"/>
      <c r="AE1385" s="241"/>
      <c r="AF1385" s="194"/>
      <c r="AG1385" s="194"/>
      <c r="AH1385" s="194"/>
      <c r="AI1385" s="194"/>
    </row>
    <row r="1386" hidden="1">
      <c r="A1386" s="391"/>
      <c r="B1386" s="893"/>
      <c r="C1386" s="222"/>
      <c r="D1386" s="250" t="s">
        <v>1410</v>
      </c>
      <c r="E1386" s="233"/>
      <c r="F1386" s="224"/>
      <c r="G1386" s="233"/>
      <c r="H1386" s="222"/>
      <c r="I1386" s="222"/>
      <c r="J1386" s="222"/>
      <c r="K1386" s="222" t="s">
        <v>1387</v>
      </c>
      <c r="L1386" s="225"/>
      <c r="M1386" s="236"/>
      <c r="N1386" s="285"/>
      <c r="O1386" s="285"/>
      <c r="P1386" s="285"/>
      <c r="Q1386" s="230"/>
      <c r="R1386" s="230"/>
      <c r="S1386" s="230"/>
      <c r="T1386" s="230"/>
      <c r="U1386" s="230"/>
      <c r="V1386" s="230"/>
      <c r="W1386" s="230"/>
      <c r="X1386" s="230"/>
      <c r="Y1386" s="230"/>
      <c r="Z1386" s="230"/>
      <c r="AA1386" s="230"/>
      <c r="AB1386" s="230"/>
      <c r="AC1386" s="231">
        <f t="shared" si="613"/>
        <v>0</v>
      </c>
      <c r="AD1386" s="548"/>
      <c r="AE1386" s="241"/>
      <c r="AF1386" s="194"/>
      <c r="AG1386" s="194"/>
      <c r="AH1386" s="194"/>
      <c r="AI1386" s="194"/>
    </row>
    <row r="1387" hidden="1">
      <c r="A1387" s="391"/>
      <c r="B1387" s="893"/>
      <c r="C1387" s="196"/>
      <c r="D1387" s="286" t="s">
        <v>194</v>
      </c>
      <c r="E1387" s="233"/>
      <c r="F1387" s="233"/>
      <c r="G1387" s="233"/>
      <c r="H1387" s="234"/>
      <c r="I1387" s="234"/>
      <c r="J1387" s="222"/>
      <c r="K1387" s="222" t="s">
        <v>1387</v>
      </c>
      <c r="L1387" s="225"/>
      <c r="M1387" s="236"/>
      <c r="N1387" s="285"/>
      <c r="O1387" s="285"/>
      <c r="P1387" s="285"/>
      <c r="Q1387" s="718"/>
      <c r="R1387" s="718"/>
      <c r="S1387" s="718"/>
      <c r="T1387" s="718"/>
      <c r="U1387" s="718"/>
      <c r="V1387" s="718"/>
      <c r="W1387" s="718"/>
      <c r="X1387" s="718"/>
      <c r="Y1387" s="718"/>
      <c r="Z1387" s="718"/>
      <c r="AA1387" s="718"/>
      <c r="AB1387" s="718"/>
      <c r="AC1387" s="378">
        <f t="shared" si="613"/>
        <v>0</v>
      </c>
      <c r="AD1387" s="273"/>
      <c r="AE1387" s="192"/>
      <c r="AF1387" s="194"/>
      <c r="AG1387" s="194"/>
      <c r="AH1387" s="194"/>
      <c r="AI1387" s="194"/>
    </row>
    <row r="1388" hidden="1">
      <c r="A1388" s="391"/>
      <c r="B1388" s="893"/>
      <c r="C1388" s="196"/>
      <c r="D1388" s="286" t="s">
        <v>1411</v>
      </c>
      <c r="E1388" s="233"/>
      <c r="F1388" s="233"/>
      <c r="G1388" s="233"/>
      <c r="H1388" s="234"/>
      <c r="I1388" s="234"/>
      <c r="J1388" s="222"/>
      <c r="K1388" s="222" t="s">
        <v>1387</v>
      </c>
      <c r="L1388" s="225"/>
      <c r="M1388" s="236"/>
      <c r="N1388" s="285"/>
      <c r="O1388" s="285"/>
      <c r="P1388" s="285"/>
      <c r="Q1388" s="718"/>
      <c r="R1388" s="718"/>
      <c r="S1388" s="718"/>
      <c r="T1388" s="718"/>
      <c r="U1388" s="718"/>
      <c r="V1388" s="718"/>
      <c r="W1388" s="718"/>
      <c r="X1388" s="718"/>
      <c r="Y1388" s="718"/>
      <c r="Z1388" s="718"/>
      <c r="AA1388" s="718"/>
      <c r="AB1388" s="718"/>
      <c r="AC1388" s="378">
        <f t="shared" si="613"/>
        <v>0</v>
      </c>
      <c r="AD1388" s="273"/>
      <c r="AE1388" s="192"/>
      <c r="AF1388" s="194"/>
      <c r="AG1388" s="194"/>
      <c r="AH1388" s="194"/>
      <c r="AI1388" s="194"/>
    </row>
    <row r="1389">
      <c r="A1389" s="391"/>
      <c r="B1389" s="893"/>
      <c r="C1389" s="196">
        <v>9.0</v>
      </c>
      <c r="D1389" s="925" t="s">
        <v>1412</v>
      </c>
      <c r="E1389" s="198" t="s">
        <v>186</v>
      </c>
      <c r="F1389" s="198" t="s">
        <v>103</v>
      </c>
      <c r="G1389" s="198" t="s">
        <v>86</v>
      </c>
      <c r="H1389" s="198" t="s">
        <v>86</v>
      </c>
      <c r="I1389" s="198" t="s">
        <v>253</v>
      </c>
      <c r="J1389" s="198" t="s">
        <v>254</v>
      </c>
      <c r="K1389" s="606" t="s">
        <v>1387</v>
      </c>
      <c r="L1389" s="895"/>
      <c r="M1389" s="240"/>
      <c r="N1389" s="388"/>
      <c r="O1389" s="388"/>
      <c r="P1389" s="388"/>
      <c r="Q1389" s="896"/>
      <c r="R1389" s="896"/>
      <c r="S1389" s="896">
        <v>2810808.0</v>
      </c>
      <c r="T1389" s="896">
        <v>2810808.0</v>
      </c>
      <c r="U1389" s="896">
        <v>2810808.0</v>
      </c>
      <c r="V1389" s="896">
        <v>2810808.0</v>
      </c>
      <c r="W1389" s="896">
        <v>2810808.0</v>
      </c>
      <c r="X1389" s="896">
        <v>2810808.0</v>
      </c>
      <c r="Y1389" s="896">
        <v>2810808.0</v>
      </c>
      <c r="Z1389" s="896">
        <v>2810808.0</v>
      </c>
      <c r="AA1389" s="896">
        <v>2810808.0</v>
      </c>
      <c r="AB1389" s="896">
        <v>2810808.0</v>
      </c>
      <c r="AC1389" s="897">
        <v>2.810808E7</v>
      </c>
      <c r="AD1389" s="273">
        <f>SUM(Q1389:AB1389)-AC1389</f>
        <v>0</v>
      </c>
      <c r="AE1389" s="192"/>
      <c r="AF1389" s="194"/>
      <c r="AG1389" s="194"/>
      <c r="AH1389" s="194"/>
      <c r="AI1389" s="194"/>
    </row>
    <row r="1390" hidden="1">
      <c r="A1390" s="126"/>
      <c r="B1390" s="893"/>
      <c r="C1390" s="206"/>
      <c r="D1390" s="207"/>
      <c r="E1390" s="260"/>
      <c r="F1390" s="207"/>
      <c r="G1390" s="260"/>
      <c r="H1390" s="206"/>
      <c r="I1390" s="206"/>
      <c r="J1390" s="206"/>
      <c r="K1390" s="206" t="s">
        <v>1387</v>
      </c>
      <c r="L1390" s="277"/>
      <c r="M1390" s="244"/>
      <c r="N1390" s="389"/>
      <c r="O1390" s="389"/>
      <c r="P1390" s="389"/>
      <c r="Q1390" s="212"/>
      <c r="R1390" s="212"/>
      <c r="S1390" s="212"/>
      <c r="T1390" s="212"/>
      <c r="U1390" s="212"/>
      <c r="V1390" s="212"/>
      <c r="W1390" s="212"/>
      <c r="X1390" s="212"/>
      <c r="Y1390" s="212"/>
      <c r="Z1390" s="212"/>
      <c r="AA1390" s="212"/>
      <c r="AB1390" s="212"/>
      <c r="AC1390" s="213">
        <f t="shared" ref="AC1390:AC1393" si="614">SUM(Q1390:AB1390)</f>
        <v>0</v>
      </c>
      <c r="AD1390" s="214"/>
      <c r="AE1390" s="241"/>
      <c r="AF1390" s="194"/>
      <c r="AG1390" s="194"/>
      <c r="AH1390" s="194"/>
      <c r="AI1390" s="194"/>
    </row>
    <row r="1391" hidden="1">
      <c r="A1391" s="391"/>
      <c r="B1391" s="893"/>
      <c r="C1391" s="222"/>
      <c r="D1391" s="250" t="s">
        <v>1413</v>
      </c>
      <c r="E1391" s="233"/>
      <c r="F1391" s="224"/>
      <c r="G1391" s="233"/>
      <c r="H1391" s="222"/>
      <c r="I1391" s="222"/>
      <c r="J1391" s="222"/>
      <c r="K1391" s="222" t="s">
        <v>1387</v>
      </c>
      <c r="L1391" s="225"/>
      <c r="M1391" s="236"/>
      <c r="N1391" s="285"/>
      <c r="O1391" s="285"/>
      <c r="P1391" s="285"/>
      <c r="Q1391" s="230"/>
      <c r="R1391" s="230"/>
      <c r="S1391" s="230"/>
      <c r="T1391" s="230"/>
      <c r="U1391" s="230"/>
      <c r="V1391" s="230"/>
      <c r="W1391" s="230"/>
      <c r="X1391" s="230"/>
      <c r="Y1391" s="230"/>
      <c r="Z1391" s="230"/>
      <c r="AA1391" s="230"/>
      <c r="AB1391" s="230"/>
      <c r="AC1391" s="231">
        <f t="shared" si="614"/>
        <v>0</v>
      </c>
      <c r="AD1391" s="548"/>
      <c r="AE1391" s="241"/>
      <c r="AF1391" s="194"/>
      <c r="AG1391" s="194"/>
      <c r="AH1391" s="194"/>
      <c r="AI1391" s="194"/>
    </row>
    <row r="1392" hidden="1">
      <c r="A1392" s="391"/>
      <c r="B1392" s="893"/>
      <c r="C1392" s="196"/>
      <c r="D1392" s="286" t="s">
        <v>194</v>
      </c>
      <c r="E1392" s="233"/>
      <c r="F1392" s="233"/>
      <c r="G1392" s="233"/>
      <c r="H1392" s="234"/>
      <c r="I1392" s="234"/>
      <c r="J1392" s="222"/>
      <c r="K1392" s="222" t="s">
        <v>1387</v>
      </c>
      <c r="L1392" s="225"/>
      <c r="M1392" s="236"/>
      <c r="N1392" s="285"/>
      <c r="O1392" s="285"/>
      <c r="P1392" s="285"/>
      <c r="Q1392" s="718"/>
      <c r="R1392" s="718"/>
      <c r="S1392" s="718"/>
      <c r="T1392" s="718"/>
      <c r="U1392" s="718"/>
      <c r="V1392" s="718"/>
      <c r="W1392" s="718"/>
      <c r="X1392" s="718"/>
      <c r="Y1392" s="718"/>
      <c r="Z1392" s="718"/>
      <c r="AA1392" s="718"/>
      <c r="AB1392" s="718"/>
      <c r="AC1392" s="378">
        <f t="shared" si="614"/>
        <v>0</v>
      </c>
      <c r="AD1392" s="273"/>
      <c r="AE1392" s="192"/>
      <c r="AF1392" s="194"/>
      <c r="AG1392" s="194"/>
      <c r="AH1392" s="194"/>
      <c r="AI1392" s="194"/>
    </row>
    <row r="1393" hidden="1">
      <c r="A1393" s="391"/>
      <c r="B1393" s="893"/>
      <c r="C1393" s="196"/>
      <c r="D1393" s="286" t="s">
        <v>1414</v>
      </c>
      <c r="E1393" s="233"/>
      <c r="F1393" s="233"/>
      <c r="G1393" s="233"/>
      <c r="H1393" s="234"/>
      <c r="I1393" s="234"/>
      <c r="J1393" s="222"/>
      <c r="K1393" s="222" t="s">
        <v>1387</v>
      </c>
      <c r="L1393" s="225"/>
      <c r="M1393" s="236"/>
      <c r="N1393" s="285"/>
      <c r="O1393" s="285"/>
      <c r="P1393" s="285"/>
      <c r="Q1393" s="718"/>
      <c r="R1393" s="718"/>
      <c r="S1393" s="718"/>
      <c r="T1393" s="718"/>
      <c r="U1393" s="718"/>
      <c r="V1393" s="718"/>
      <c r="W1393" s="718"/>
      <c r="X1393" s="718"/>
      <c r="Y1393" s="718"/>
      <c r="Z1393" s="718"/>
      <c r="AA1393" s="718"/>
      <c r="AB1393" s="718"/>
      <c r="AC1393" s="378">
        <f t="shared" si="614"/>
        <v>0</v>
      </c>
      <c r="AD1393" s="273"/>
      <c r="AE1393" s="192"/>
      <c r="AF1393" s="194"/>
      <c r="AG1393" s="194"/>
      <c r="AH1393" s="194"/>
      <c r="AI1393" s="194"/>
    </row>
    <row r="1394">
      <c r="A1394" s="391"/>
      <c r="B1394" s="893"/>
      <c r="C1394" s="196">
        <v>10.0</v>
      </c>
      <c r="D1394" s="925" t="s">
        <v>1415</v>
      </c>
      <c r="E1394" s="198" t="s">
        <v>186</v>
      </c>
      <c r="F1394" s="198" t="s">
        <v>103</v>
      </c>
      <c r="G1394" s="198" t="s">
        <v>86</v>
      </c>
      <c r="H1394" s="198" t="s">
        <v>86</v>
      </c>
      <c r="I1394" s="198" t="s">
        <v>253</v>
      </c>
      <c r="J1394" s="198" t="s">
        <v>254</v>
      </c>
      <c r="K1394" s="606" t="s">
        <v>1387</v>
      </c>
      <c r="L1394" s="895"/>
      <c r="M1394" s="240"/>
      <c r="N1394" s="388"/>
      <c r="O1394" s="388"/>
      <c r="P1394" s="388"/>
      <c r="Q1394" s="896"/>
      <c r="R1394" s="896"/>
      <c r="S1394" s="896"/>
      <c r="T1394" s="896"/>
      <c r="U1394" s="896"/>
      <c r="V1394" s="896"/>
      <c r="W1394" s="896"/>
      <c r="X1394" s="896">
        <v>3502656.0</v>
      </c>
      <c r="Y1394" s="896">
        <v>3502656.0</v>
      </c>
      <c r="Z1394" s="896">
        <v>3502656.0</v>
      </c>
      <c r="AA1394" s="896">
        <v>3502656.0</v>
      </c>
      <c r="AB1394" s="896">
        <v>3502656.0</v>
      </c>
      <c r="AC1394" s="897">
        <v>1.751328E7</v>
      </c>
      <c r="AD1394" s="273">
        <f>SUM(Q1394:AB1394)-AC1394</f>
        <v>0</v>
      </c>
      <c r="AE1394" s="192"/>
      <c r="AF1394" s="194"/>
      <c r="AG1394" s="194"/>
      <c r="AH1394" s="194"/>
      <c r="AI1394" s="194"/>
    </row>
    <row r="1395" hidden="1">
      <c r="A1395" s="126"/>
      <c r="B1395" s="893"/>
      <c r="C1395" s="206"/>
      <c r="D1395" s="207"/>
      <c r="E1395" s="260"/>
      <c r="F1395" s="207"/>
      <c r="G1395" s="260"/>
      <c r="H1395" s="206"/>
      <c r="I1395" s="206"/>
      <c r="J1395" s="206"/>
      <c r="K1395" s="206" t="s">
        <v>1387</v>
      </c>
      <c r="L1395" s="277"/>
      <c r="M1395" s="244"/>
      <c r="N1395" s="389"/>
      <c r="O1395" s="389"/>
      <c r="P1395" s="389"/>
      <c r="Q1395" s="212"/>
      <c r="R1395" s="212"/>
      <c r="S1395" s="212"/>
      <c r="T1395" s="212"/>
      <c r="U1395" s="212"/>
      <c r="V1395" s="212"/>
      <c r="W1395" s="212"/>
      <c r="X1395" s="212"/>
      <c r="Y1395" s="212"/>
      <c r="Z1395" s="212"/>
      <c r="AA1395" s="212"/>
      <c r="AB1395" s="212"/>
      <c r="AC1395" s="213">
        <f t="shared" ref="AC1395:AC1398" si="615">SUM(Q1395:AB1395)</f>
        <v>0</v>
      </c>
      <c r="AD1395" s="214"/>
      <c r="AE1395" s="241"/>
      <c r="AF1395" s="194"/>
      <c r="AG1395" s="194"/>
      <c r="AH1395" s="194"/>
      <c r="AI1395" s="194"/>
    </row>
    <row r="1396" hidden="1">
      <c r="A1396" s="391"/>
      <c r="B1396" s="893"/>
      <c r="C1396" s="222"/>
      <c r="D1396" s="250" t="s">
        <v>1416</v>
      </c>
      <c r="E1396" s="233"/>
      <c r="F1396" s="224"/>
      <c r="G1396" s="233"/>
      <c r="H1396" s="222"/>
      <c r="I1396" s="222"/>
      <c r="J1396" s="222"/>
      <c r="K1396" s="222" t="s">
        <v>1387</v>
      </c>
      <c r="L1396" s="225"/>
      <c r="M1396" s="236"/>
      <c r="N1396" s="285"/>
      <c r="O1396" s="285"/>
      <c r="P1396" s="285"/>
      <c r="Q1396" s="230"/>
      <c r="R1396" s="230"/>
      <c r="S1396" s="230"/>
      <c r="T1396" s="230"/>
      <c r="U1396" s="230"/>
      <c r="V1396" s="230"/>
      <c r="W1396" s="230"/>
      <c r="X1396" s="230"/>
      <c r="Y1396" s="230"/>
      <c r="Z1396" s="230"/>
      <c r="AA1396" s="230"/>
      <c r="AB1396" s="230"/>
      <c r="AC1396" s="231">
        <f t="shared" si="615"/>
        <v>0</v>
      </c>
      <c r="AD1396" s="548"/>
      <c r="AE1396" s="241"/>
      <c r="AF1396" s="194"/>
      <c r="AG1396" s="194"/>
      <c r="AH1396" s="194"/>
      <c r="AI1396" s="194"/>
    </row>
    <row r="1397" hidden="1">
      <c r="A1397" s="391"/>
      <c r="B1397" s="893"/>
      <c r="C1397" s="196"/>
      <c r="D1397" s="286" t="s">
        <v>194</v>
      </c>
      <c r="E1397" s="233"/>
      <c r="F1397" s="233"/>
      <c r="G1397" s="233"/>
      <c r="H1397" s="234"/>
      <c r="I1397" s="234"/>
      <c r="J1397" s="222"/>
      <c r="K1397" s="222" t="s">
        <v>1387</v>
      </c>
      <c r="L1397" s="225"/>
      <c r="M1397" s="236"/>
      <c r="N1397" s="285"/>
      <c r="O1397" s="285"/>
      <c r="P1397" s="285"/>
      <c r="Q1397" s="718"/>
      <c r="R1397" s="718"/>
      <c r="S1397" s="718"/>
      <c r="T1397" s="718"/>
      <c r="U1397" s="718"/>
      <c r="V1397" s="718"/>
      <c r="W1397" s="718"/>
      <c r="X1397" s="718"/>
      <c r="Y1397" s="718"/>
      <c r="Z1397" s="718"/>
      <c r="AA1397" s="718"/>
      <c r="AB1397" s="718"/>
      <c r="AC1397" s="378">
        <f t="shared" si="615"/>
        <v>0</v>
      </c>
      <c r="AD1397" s="273"/>
      <c r="AE1397" s="192"/>
      <c r="AF1397" s="194"/>
      <c r="AG1397" s="194"/>
      <c r="AH1397" s="194"/>
      <c r="AI1397" s="194"/>
    </row>
    <row r="1398" hidden="1">
      <c r="A1398" s="391"/>
      <c r="B1398" s="893"/>
      <c r="C1398" s="196"/>
      <c r="D1398" s="286" t="s">
        <v>1417</v>
      </c>
      <c r="E1398" s="233"/>
      <c r="F1398" s="233"/>
      <c r="G1398" s="233"/>
      <c r="H1398" s="234"/>
      <c r="I1398" s="234"/>
      <c r="J1398" s="222"/>
      <c r="K1398" s="222" t="s">
        <v>1387</v>
      </c>
      <c r="L1398" s="225"/>
      <c r="M1398" s="236"/>
      <c r="N1398" s="285"/>
      <c r="O1398" s="285"/>
      <c r="P1398" s="285"/>
      <c r="Q1398" s="718"/>
      <c r="R1398" s="718"/>
      <c r="S1398" s="718"/>
      <c r="T1398" s="718"/>
      <c r="U1398" s="718"/>
      <c r="V1398" s="718"/>
      <c r="W1398" s="718"/>
      <c r="X1398" s="718"/>
      <c r="Y1398" s="718"/>
      <c r="Z1398" s="718"/>
      <c r="AA1398" s="718"/>
      <c r="AB1398" s="718"/>
      <c r="AC1398" s="378">
        <f t="shared" si="615"/>
        <v>0</v>
      </c>
      <c r="AD1398" s="273"/>
      <c r="AE1398" s="192"/>
      <c r="AF1398" s="194"/>
      <c r="AG1398" s="194"/>
      <c r="AH1398" s="194"/>
      <c r="AI1398" s="194"/>
    </row>
    <row r="1399">
      <c r="A1399" s="391"/>
      <c r="B1399" s="893"/>
      <c r="C1399" s="196">
        <v>11.0</v>
      </c>
      <c r="D1399" s="925" t="s">
        <v>1418</v>
      </c>
      <c r="E1399" s="198" t="s">
        <v>186</v>
      </c>
      <c r="F1399" s="198" t="s">
        <v>103</v>
      </c>
      <c r="G1399" s="198" t="s">
        <v>86</v>
      </c>
      <c r="H1399" s="198" t="s">
        <v>86</v>
      </c>
      <c r="I1399" s="198" t="s">
        <v>253</v>
      </c>
      <c r="J1399" s="198" t="s">
        <v>254</v>
      </c>
      <c r="K1399" s="606" t="s">
        <v>1387</v>
      </c>
      <c r="L1399" s="895"/>
      <c r="M1399" s="240"/>
      <c r="N1399" s="388"/>
      <c r="O1399" s="388"/>
      <c r="P1399" s="388"/>
      <c r="Q1399" s="896"/>
      <c r="R1399" s="896">
        <v>450450.0</v>
      </c>
      <c r="S1399" s="896">
        <v>450450.0</v>
      </c>
      <c r="T1399" s="896">
        <v>450450.0</v>
      </c>
      <c r="U1399" s="896">
        <v>450450.0</v>
      </c>
      <c r="V1399" s="896">
        <v>450450.0</v>
      </c>
      <c r="W1399" s="896">
        <v>450450.0</v>
      </c>
      <c r="X1399" s="896">
        <v>450450.0</v>
      </c>
      <c r="Y1399" s="896">
        <v>450450.0</v>
      </c>
      <c r="Z1399" s="896">
        <v>450450.0</v>
      </c>
      <c r="AA1399" s="896">
        <v>450450.0</v>
      </c>
      <c r="AB1399" s="896">
        <v>450450.0</v>
      </c>
      <c r="AC1399" s="897">
        <v>4954950.0</v>
      </c>
      <c r="AD1399" s="273">
        <f>SUM(Q1399:AB1399)-AC1399</f>
        <v>0</v>
      </c>
      <c r="AE1399" s="192"/>
      <c r="AF1399" s="194"/>
      <c r="AG1399" s="194"/>
      <c r="AH1399" s="194"/>
      <c r="AI1399" s="194"/>
    </row>
    <row r="1400" hidden="1">
      <c r="A1400" s="126"/>
      <c r="B1400" s="893"/>
      <c r="C1400" s="206"/>
      <c r="D1400" s="207"/>
      <c r="E1400" s="260"/>
      <c r="F1400" s="207"/>
      <c r="G1400" s="260"/>
      <c r="H1400" s="206"/>
      <c r="I1400" s="206"/>
      <c r="J1400" s="206"/>
      <c r="K1400" s="206" t="s">
        <v>1387</v>
      </c>
      <c r="L1400" s="277"/>
      <c r="M1400" s="244"/>
      <c r="N1400" s="389"/>
      <c r="O1400" s="389"/>
      <c r="P1400" s="389"/>
      <c r="Q1400" s="212"/>
      <c r="R1400" s="212"/>
      <c r="S1400" s="212"/>
      <c r="T1400" s="212"/>
      <c r="U1400" s="212"/>
      <c r="V1400" s="212"/>
      <c r="W1400" s="212"/>
      <c r="X1400" s="212"/>
      <c r="Y1400" s="212"/>
      <c r="Z1400" s="212"/>
      <c r="AA1400" s="212"/>
      <c r="AB1400" s="212"/>
      <c r="AC1400" s="213">
        <f t="shared" ref="AC1400:AC1403" si="616">SUM(Q1400:AB1400)</f>
        <v>0</v>
      </c>
      <c r="AD1400" s="214"/>
      <c r="AE1400" s="241"/>
      <c r="AF1400" s="194"/>
      <c r="AG1400" s="194"/>
      <c r="AH1400" s="194"/>
      <c r="AI1400" s="194"/>
    </row>
    <row r="1401" hidden="1">
      <c r="A1401" s="391"/>
      <c r="B1401" s="893"/>
      <c r="C1401" s="222"/>
      <c r="D1401" s="250" t="s">
        <v>1419</v>
      </c>
      <c r="E1401" s="233"/>
      <c r="F1401" s="224"/>
      <c r="G1401" s="233"/>
      <c r="H1401" s="222"/>
      <c r="I1401" s="222"/>
      <c r="J1401" s="222"/>
      <c r="K1401" s="222" t="s">
        <v>1387</v>
      </c>
      <c r="L1401" s="225"/>
      <c r="M1401" s="236"/>
      <c r="N1401" s="285"/>
      <c r="O1401" s="285"/>
      <c r="P1401" s="285"/>
      <c r="Q1401" s="230"/>
      <c r="R1401" s="230"/>
      <c r="S1401" s="230"/>
      <c r="T1401" s="230"/>
      <c r="U1401" s="230"/>
      <c r="V1401" s="230"/>
      <c r="W1401" s="230"/>
      <c r="X1401" s="230"/>
      <c r="Y1401" s="230"/>
      <c r="Z1401" s="230"/>
      <c r="AA1401" s="230"/>
      <c r="AB1401" s="230"/>
      <c r="AC1401" s="231">
        <f t="shared" si="616"/>
        <v>0</v>
      </c>
      <c r="AD1401" s="548"/>
      <c r="AE1401" s="241"/>
      <c r="AF1401" s="194"/>
      <c r="AG1401" s="194"/>
      <c r="AH1401" s="194"/>
      <c r="AI1401" s="194"/>
    </row>
    <row r="1402" hidden="1">
      <c r="A1402" s="391"/>
      <c r="B1402" s="893"/>
      <c r="C1402" s="196"/>
      <c r="D1402" s="286" t="s">
        <v>194</v>
      </c>
      <c r="E1402" s="233"/>
      <c r="F1402" s="233"/>
      <c r="G1402" s="233"/>
      <c r="H1402" s="234"/>
      <c r="I1402" s="234"/>
      <c r="J1402" s="222"/>
      <c r="K1402" s="222" t="s">
        <v>1387</v>
      </c>
      <c r="L1402" s="225"/>
      <c r="M1402" s="236"/>
      <c r="N1402" s="285"/>
      <c r="O1402" s="285"/>
      <c r="P1402" s="285"/>
      <c r="Q1402" s="718"/>
      <c r="R1402" s="718"/>
      <c r="S1402" s="718"/>
      <c r="T1402" s="718"/>
      <c r="U1402" s="718"/>
      <c r="V1402" s="718"/>
      <c r="W1402" s="718"/>
      <c r="X1402" s="718"/>
      <c r="Y1402" s="718"/>
      <c r="Z1402" s="718"/>
      <c r="AA1402" s="718"/>
      <c r="AB1402" s="718"/>
      <c r="AC1402" s="378">
        <f t="shared" si="616"/>
        <v>0</v>
      </c>
      <c r="AD1402" s="273"/>
      <c r="AE1402" s="192"/>
      <c r="AF1402" s="194"/>
      <c r="AG1402" s="194"/>
      <c r="AH1402" s="194"/>
      <c r="AI1402" s="194"/>
    </row>
    <row r="1403" hidden="1">
      <c r="A1403" s="391"/>
      <c r="B1403" s="893"/>
      <c r="C1403" s="196"/>
      <c r="D1403" s="286" t="s">
        <v>1420</v>
      </c>
      <c r="E1403" s="233"/>
      <c r="F1403" s="233"/>
      <c r="G1403" s="233"/>
      <c r="H1403" s="234"/>
      <c r="I1403" s="234"/>
      <c r="J1403" s="222"/>
      <c r="K1403" s="222" t="s">
        <v>1387</v>
      </c>
      <c r="L1403" s="225"/>
      <c r="M1403" s="236"/>
      <c r="N1403" s="285"/>
      <c r="O1403" s="285"/>
      <c r="P1403" s="285"/>
      <c r="Q1403" s="718"/>
      <c r="R1403" s="718"/>
      <c r="S1403" s="718"/>
      <c r="T1403" s="718"/>
      <c r="U1403" s="718"/>
      <c r="V1403" s="718"/>
      <c r="W1403" s="718"/>
      <c r="X1403" s="718"/>
      <c r="Y1403" s="718"/>
      <c r="Z1403" s="718"/>
      <c r="AA1403" s="718"/>
      <c r="AB1403" s="718"/>
      <c r="AC1403" s="378">
        <f t="shared" si="616"/>
        <v>0</v>
      </c>
      <c r="AD1403" s="273"/>
      <c r="AE1403" s="192"/>
      <c r="AF1403" s="194"/>
      <c r="AG1403" s="194"/>
      <c r="AH1403" s="194"/>
      <c r="AI1403" s="194"/>
    </row>
    <row r="1404">
      <c r="A1404" s="391"/>
      <c r="B1404" s="893"/>
      <c r="C1404" s="196">
        <v>12.0</v>
      </c>
      <c r="D1404" s="925" t="s">
        <v>1421</v>
      </c>
      <c r="E1404" s="198" t="s">
        <v>186</v>
      </c>
      <c r="F1404" s="198" t="s">
        <v>103</v>
      </c>
      <c r="G1404" s="198" t="s">
        <v>86</v>
      </c>
      <c r="H1404" s="198" t="s">
        <v>86</v>
      </c>
      <c r="I1404" s="198" t="s">
        <v>253</v>
      </c>
      <c r="J1404" s="198" t="s">
        <v>254</v>
      </c>
      <c r="K1404" s="606" t="s">
        <v>1387</v>
      </c>
      <c r="L1404" s="895"/>
      <c r="M1404" s="240"/>
      <c r="N1404" s="388"/>
      <c r="O1404" s="388"/>
      <c r="P1404" s="388"/>
      <c r="Q1404" s="896"/>
      <c r="R1404" s="896"/>
      <c r="S1404" s="896"/>
      <c r="T1404" s="896"/>
      <c r="U1404" s="896"/>
      <c r="V1404" s="896">
        <v>3.5972076E7</v>
      </c>
      <c r="W1404" s="896">
        <v>3.5972076E7</v>
      </c>
      <c r="X1404" s="896">
        <v>3.5972076E7</v>
      </c>
      <c r="Y1404" s="896">
        <v>3.5972076E7</v>
      </c>
      <c r="Z1404" s="896">
        <v>3.5972076E7</v>
      </c>
      <c r="AA1404" s="896">
        <v>3.5972076E7</v>
      </c>
      <c r="AB1404" s="896">
        <v>3.5972076E7</v>
      </c>
      <c r="AC1404" s="897">
        <v>2.51804532E8</v>
      </c>
      <c r="AD1404" s="273">
        <f>SUM(Q1404:AB1404)-AC1404</f>
        <v>0</v>
      </c>
      <c r="AE1404" s="192"/>
      <c r="AF1404" s="194"/>
      <c r="AG1404" s="194"/>
      <c r="AH1404" s="194"/>
      <c r="AI1404" s="194"/>
    </row>
    <row r="1405" hidden="1">
      <c r="A1405" s="126"/>
      <c r="B1405" s="893"/>
      <c r="C1405" s="206"/>
      <c r="D1405" s="207"/>
      <c r="E1405" s="260"/>
      <c r="F1405" s="207"/>
      <c r="G1405" s="260"/>
      <c r="H1405" s="206"/>
      <c r="I1405" s="206"/>
      <c r="J1405" s="206"/>
      <c r="K1405" s="206" t="s">
        <v>1387</v>
      </c>
      <c r="L1405" s="277"/>
      <c r="M1405" s="244"/>
      <c r="N1405" s="389"/>
      <c r="O1405" s="389"/>
      <c r="P1405" s="389"/>
      <c r="Q1405" s="212"/>
      <c r="R1405" s="212"/>
      <c r="S1405" s="212"/>
      <c r="T1405" s="212"/>
      <c r="U1405" s="212"/>
      <c r="V1405" s="212"/>
      <c r="W1405" s="212"/>
      <c r="X1405" s="212"/>
      <c r="Y1405" s="212"/>
      <c r="Z1405" s="212"/>
      <c r="AA1405" s="212"/>
      <c r="AB1405" s="212"/>
      <c r="AC1405" s="213">
        <f t="shared" ref="AC1405:AC1408" si="617">SUM(Q1405:AB1405)</f>
        <v>0</v>
      </c>
      <c r="AD1405" s="214"/>
      <c r="AE1405" s="241"/>
      <c r="AF1405" s="194"/>
      <c r="AG1405" s="194"/>
      <c r="AH1405" s="194"/>
      <c r="AI1405" s="194"/>
    </row>
    <row r="1406" hidden="1">
      <c r="A1406" s="391"/>
      <c r="B1406" s="893"/>
      <c r="C1406" s="222"/>
      <c r="D1406" s="250" t="s">
        <v>1422</v>
      </c>
      <c r="E1406" s="233"/>
      <c r="F1406" s="224"/>
      <c r="G1406" s="233"/>
      <c r="H1406" s="222"/>
      <c r="I1406" s="222"/>
      <c r="J1406" s="222"/>
      <c r="K1406" s="222" t="s">
        <v>1387</v>
      </c>
      <c r="L1406" s="225"/>
      <c r="M1406" s="236"/>
      <c r="N1406" s="285"/>
      <c r="O1406" s="285"/>
      <c r="P1406" s="285"/>
      <c r="Q1406" s="230"/>
      <c r="R1406" s="230"/>
      <c r="S1406" s="230"/>
      <c r="T1406" s="230"/>
      <c r="U1406" s="230"/>
      <c r="V1406" s="230"/>
      <c r="W1406" s="230"/>
      <c r="X1406" s="230"/>
      <c r="Y1406" s="230"/>
      <c r="Z1406" s="230"/>
      <c r="AA1406" s="230"/>
      <c r="AB1406" s="230"/>
      <c r="AC1406" s="231">
        <f t="shared" si="617"/>
        <v>0</v>
      </c>
      <c r="AD1406" s="548"/>
      <c r="AE1406" s="241"/>
      <c r="AF1406" s="194"/>
      <c r="AG1406" s="194"/>
      <c r="AH1406" s="194"/>
      <c r="AI1406" s="194"/>
    </row>
    <row r="1407" hidden="1">
      <c r="A1407" s="391"/>
      <c r="B1407" s="893"/>
      <c r="C1407" s="196"/>
      <c r="D1407" s="286" t="s">
        <v>194</v>
      </c>
      <c r="E1407" s="233"/>
      <c r="F1407" s="233"/>
      <c r="G1407" s="233"/>
      <c r="H1407" s="234"/>
      <c r="I1407" s="234"/>
      <c r="J1407" s="222"/>
      <c r="K1407" s="222" t="s">
        <v>1387</v>
      </c>
      <c r="L1407" s="225"/>
      <c r="M1407" s="236"/>
      <c r="N1407" s="285"/>
      <c r="O1407" s="285"/>
      <c r="P1407" s="285"/>
      <c r="Q1407" s="718"/>
      <c r="R1407" s="718"/>
      <c r="S1407" s="718"/>
      <c r="T1407" s="718"/>
      <c r="U1407" s="718"/>
      <c r="V1407" s="718"/>
      <c r="W1407" s="718"/>
      <c r="X1407" s="718"/>
      <c r="Y1407" s="718"/>
      <c r="Z1407" s="718"/>
      <c r="AA1407" s="718"/>
      <c r="AB1407" s="718"/>
      <c r="AC1407" s="378">
        <f t="shared" si="617"/>
        <v>0</v>
      </c>
      <c r="AD1407" s="273"/>
      <c r="AE1407" s="192"/>
      <c r="AF1407" s="194"/>
      <c r="AG1407" s="194"/>
      <c r="AH1407" s="194"/>
      <c r="AI1407" s="194"/>
    </row>
    <row r="1408" hidden="1">
      <c r="A1408" s="391"/>
      <c r="B1408" s="893"/>
      <c r="C1408" s="196"/>
      <c r="D1408" s="286" t="s">
        <v>1423</v>
      </c>
      <c r="E1408" s="233"/>
      <c r="F1408" s="233"/>
      <c r="G1408" s="233"/>
      <c r="H1408" s="234"/>
      <c r="I1408" s="234"/>
      <c r="J1408" s="222"/>
      <c r="K1408" s="222" t="s">
        <v>1387</v>
      </c>
      <c r="L1408" s="225"/>
      <c r="M1408" s="236"/>
      <c r="N1408" s="285"/>
      <c r="O1408" s="285"/>
      <c r="P1408" s="285"/>
      <c r="Q1408" s="718"/>
      <c r="R1408" s="718"/>
      <c r="S1408" s="718"/>
      <c r="T1408" s="718"/>
      <c r="U1408" s="718"/>
      <c r="V1408" s="718"/>
      <c r="W1408" s="718"/>
      <c r="X1408" s="718"/>
      <c r="Y1408" s="718"/>
      <c r="Z1408" s="718"/>
      <c r="AA1408" s="718"/>
      <c r="AB1408" s="718"/>
      <c r="AC1408" s="378">
        <f t="shared" si="617"/>
        <v>0</v>
      </c>
      <c r="AD1408" s="273"/>
      <c r="AE1408" s="192"/>
      <c r="AF1408" s="194"/>
      <c r="AG1408" s="194"/>
      <c r="AH1408" s="194"/>
      <c r="AI1408" s="194"/>
    </row>
    <row r="1409">
      <c r="A1409" s="391"/>
      <c r="B1409" s="893"/>
      <c r="C1409" s="196">
        <v>13.0</v>
      </c>
      <c r="D1409" s="925" t="s">
        <v>1424</v>
      </c>
      <c r="E1409" s="198" t="s">
        <v>186</v>
      </c>
      <c r="F1409" s="198" t="s">
        <v>103</v>
      </c>
      <c r="G1409" s="198" t="s">
        <v>86</v>
      </c>
      <c r="H1409" s="198" t="s">
        <v>86</v>
      </c>
      <c r="I1409" s="198" t="s">
        <v>253</v>
      </c>
      <c r="J1409" s="198" t="s">
        <v>254</v>
      </c>
      <c r="K1409" s="606" t="s">
        <v>1387</v>
      </c>
      <c r="L1409" s="895"/>
      <c r="M1409" s="240"/>
      <c r="N1409" s="388"/>
      <c r="O1409" s="388"/>
      <c r="P1409" s="388"/>
      <c r="Q1409" s="896"/>
      <c r="R1409" s="896"/>
      <c r="S1409" s="896">
        <v>291888.0</v>
      </c>
      <c r="T1409" s="896">
        <v>291888.0</v>
      </c>
      <c r="U1409" s="896">
        <v>291888.0</v>
      </c>
      <c r="V1409" s="896">
        <v>291888.0</v>
      </c>
      <c r="W1409" s="896">
        <v>291888.0</v>
      </c>
      <c r="X1409" s="896">
        <v>291888.0</v>
      </c>
      <c r="Y1409" s="896">
        <v>291888.0</v>
      </c>
      <c r="Z1409" s="896">
        <v>291888.0</v>
      </c>
      <c r="AA1409" s="896">
        <v>291888.0</v>
      </c>
      <c r="AB1409" s="896">
        <v>291888.0</v>
      </c>
      <c r="AC1409" s="897">
        <v>2918880.0</v>
      </c>
      <c r="AD1409" s="273">
        <f>SUM(Q1409:AB1409)-AC1409</f>
        <v>0</v>
      </c>
      <c r="AE1409" s="192"/>
      <c r="AF1409" s="194"/>
      <c r="AG1409" s="194"/>
      <c r="AH1409" s="194"/>
      <c r="AI1409" s="194"/>
    </row>
    <row r="1410" hidden="1">
      <c r="A1410" s="126"/>
      <c r="B1410" s="893"/>
      <c r="C1410" s="206"/>
      <c r="D1410" s="207"/>
      <c r="E1410" s="260"/>
      <c r="F1410" s="207"/>
      <c r="G1410" s="260"/>
      <c r="H1410" s="206"/>
      <c r="I1410" s="206"/>
      <c r="J1410" s="206"/>
      <c r="K1410" s="206" t="s">
        <v>1387</v>
      </c>
      <c r="L1410" s="277"/>
      <c r="M1410" s="244"/>
      <c r="N1410" s="389"/>
      <c r="O1410" s="389"/>
      <c r="P1410" s="389"/>
      <c r="Q1410" s="212"/>
      <c r="R1410" s="212"/>
      <c r="S1410" s="212"/>
      <c r="T1410" s="212"/>
      <c r="U1410" s="212"/>
      <c r="V1410" s="212"/>
      <c r="W1410" s="212"/>
      <c r="X1410" s="212"/>
      <c r="Y1410" s="212"/>
      <c r="Z1410" s="212"/>
      <c r="AA1410" s="212"/>
      <c r="AB1410" s="212"/>
      <c r="AC1410" s="213">
        <f t="shared" ref="AC1410:AC1413" si="618">SUM(Q1410:AB1410)</f>
        <v>0</v>
      </c>
      <c r="AD1410" s="214"/>
      <c r="AE1410" s="241"/>
      <c r="AF1410" s="194"/>
      <c r="AG1410" s="194"/>
      <c r="AH1410" s="194"/>
      <c r="AI1410" s="194"/>
    </row>
    <row r="1411" hidden="1">
      <c r="A1411" s="391"/>
      <c r="B1411" s="893"/>
      <c r="C1411" s="222"/>
      <c r="D1411" s="250" t="s">
        <v>1425</v>
      </c>
      <c r="E1411" s="233"/>
      <c r="F1411" s="224"/>
      <c r="G1411" s="233"/>
      <c r="H1411" s="222"/>
      <c r="I1411" s="222"/>
      <c r="J1411" s="222"/>
      <c r="K1411" s="222" t="s">
        <v>1387</v>
      </c>
      <c r="L1411" s="225"/>
      <c r="M1411" s="236"/>
      <c r="N1411" s="285"/>
      <c r="O1411" s="285"/>
      <c r="P1411" s="285"/>
      <c r="Q1411" s="230"/>
      <c r="R1411" s="230"/>
      <c r="S1411" s="230"/>
      <c r="T1411" s="230"/>
      <c r="U1411" s="230"/>
      <c r="V1411" s="230"/>
      <c r="W1411" s="230"/>
      <c r="X1411" s="230"/>
      <c r="Y1411" s="230"/>
      <c r="Z1411" s="230"/>
      <c r="AA1411" s="230"/>
      <c r="AB1411" s="230"/>
      <c r="AC1411" s="231">
        <f t="shared" si="618"/>
        <v>0</v>
      </c>
      <c r="AD1411" s="548"/>
      <c r="AE1411" s="241"/>
      <c r="AF1411" s="194"/>
      <c r="AG1411" s="194"/>
      <c r="AH1411" s="194"/>
      <c r="AI1411" s="194"/>
    </row>
    <row r="1412" hidden="1">
      <c r="A1412" s="391"/>
      <c r="B1412" s="893"/>
      <c r="C1412" s="196"/>
      <c r="D1412" s="286" t="s">
        <v>194</v>
      </c>
      <c r="E1412" s="233"/>
      <c r="F1412" s="233"/>
      <c r="G1412" s="233"/>
      <c r="H1412" s="234"/>
      <c r="I1412" s="234"/>
      <c r="J1412" s="222"/>
      <c r="K1412" s="222" t="s">
        <v>1387</v>
      </c>
      <c r="L1412" s="225"/>
      <c r="M1412" s="236"/>
      <c r="N1412" s="285"/>
      <c r="O1412" s="285"/>
      <c r="P1412" s="285"/>
      <c r="Q1412" s="718"/>
      <c r="R1412" s="718"/>
      <c r="S1412" s="718"/>
      <c r="T1412" s="718"/>
      <c r="U1412" s="718"/>
      <c r="V1412" s="718"/>
      <c r="W1412" s="718"/>
      <c r="X1412" s="718"/>
      <c r="Y1412" s="718"/>
      <c r="Z1412" s="718"/>
      <c r="AA1412" s="718"/>
      <c r="AB1412" s="718"/>
      <c r="AC1412" s="378">
        <f t="shared" si="618"/>
        <v>0</v>
      </c>
      <c r="AD1412" s="273"/>
      <c r="AE1412" s="192"/>
      <c r="AF1412" s="194"/>
      <c r="AG1412" s="194"/>
      <c r="AH1412" s="194"/>
      <c r="AI1412" s="194"/>
    </row>
    <row r="1413" hidden="1">
      <c r="A1413" s="391"/>
      <c r="B1413" s="893"/>
      <c r="C1413" s="196"/>
      <c r="D1413" s="286" t="s">
        <v>1426</v>
      </c>
      <c r="E1413" s="233"/>
      <c r="F1413" s="233"/>
      <c r="G1413" s="233"/>
      <c r="H1413" s="234"/>
      <c r="I1413" s="234"/>
      <c r="J1413" s="222"/>
      <c r="K1413" s="222" t="s">
        <v>1387</v>
      </c>
      <c r="L1413" s="225"/>
      <c r="M1413" s="236"/>
      <c r="N1413" s="285"/>
      <c r="O1413" s="285"/>
      <c r="P1413" s="285"/>
      <c r="Q1413" s="718"/>
      <c r="R1413" s="718"/>
      <c r="S1413" s="718"/>
      <c r="T1413" s="718"/>
      <c r="U1413" s="718"/>
      <c r="V1413" s="718"/>
      <c r="W1413" s="718"/>
      <c r="X1413" s="718"/>
      <c r="Y1413" s="718"/>
      <c r="Z1413" s="718"/>
      <c r="AA1413" s="718"/>
      <c r="AB1413" s="718"/>
      <c r="AC1413" s="378">
        <f t="shared" si="618"/>
        <v>0</v>
      </c>
      <c r="AD1413" s="273"/>
      <c r="AE1413" s="192"/>
      <c r="AF1413" s="194"/>
      <c r="AG1413" s="194"/>
      <c r="AH1413" s="194"/>
      <c r="AI1413" s="194"/>
    </row>
    <row r="1414">
      <c r="A1414" s="391"/>
      <c r="B1414" s="893"/>
      <c r="C1414" s="196">
        <v>14.0</v>
      </c>
      <c r="D1414" s="925" t="s">
        <v>1427</v>
      </c>
      <c r="E1414" s="198" t="s">
        <v>186</v>
      </c>
      <c r="F1414" s="198" t="s">
        <v>103</v>
      </c>
      <c r="G1414" s="198" t="s">
        <v>86</v>
      </c>
      <c r="H1414" s="198" t="s">
        <v>86</v>
      </c>
      <c r="I1414" s="198" t="s">
        <v>253</v>
      </c>
      <c r="J1414" s="198" t="s">
        <v>254</v>
      </c>
      <c r="K1414" s="606" t="s">
        <v>1387</v>
      </c>
      <c r="L1414" s="895"/>
      <c r="M1414" s="240"/>
      <c r="N1414" s="388"/>
      <c r="O1414" s="388"/>
      <c r="P1414" s="388"/>
      <c r="Q1414" s="896"/>
      <c r="R1414" s="896">
        <v>217560.0</v>
      </c>
      <c r="S1414" s="896">
        <v>217560.0</v>
      </c>
      <c r="T1414" s="896">
        <v>217560.0</v>
      </c>
      <c r="U1414" s="896">
        <v>217560.0</v>
      </c>
      <c r="V1414" s="896">
        <v>217560.0</v>
      </c>
      <c r="W1414" s="896">
        <v>217560.0</v>
      </c>
      <c r="X1414" s="896">
        <v>217560.0</v>
      </c>
      <c r="Y1414" s="896">
        <v>217560.0</v>
      </c>
      <c r="Z1414" s="896">
        <v>217560.0</v>
      </c>
      <c r="AA1414" s="896">
        <v>217560.0</v>
      </c>
      <c r="AB1414" s="896">
        <v>217560.0</v>
      </c>
      <c r="AC1414" s="897">
        <v>2393160.0</v>
      </c>
      <c r="AD1414" s="273">
        <f>SUM(Q1414:AB1414)-AC1414</f>
        <v>0</v>
      </c>
      <c r="AE1414" s="192"/>
      <c r="AF1414" s="194"/>
      <c r="AG1414" s="194"/>
      <c r="AH1414" s="194"/>
      <c r="AI1414" s="194"/>
    </row>
    <row r="1415" hidden="1">
      <c r="A1415" s="126"/>
      <c r="B1415" s="893"/>
      <c r="C1415" s="206"/>
      <c r="D1415" s="207"/>
      <c r="E1415" s="260"/>
      <c r="F1415" s="207"/>
      <c r="G1415" s="260"/>
      <c r="H1415" s="206"/>
      <c r="I1415" s="206"/>
      <c r="J1415" s="206"/>
      <c r="K1415" s="206" t="s">
        <v>1387</v>
      </c>
      <c r="L1415" s="277"/>
      <c r="M1415" s="244"/>
      <c r="N1415" s="389"/>
      <c r="O1415" s="389"/>
      <c r="P1415" s="389"/>
      <c r="Q1415" s="212"/>
      <c r="R1415" s="212"/>
      <c r="S1415" s="212"/>
      <c r="T1415" s="212"/>
      <c r="U1415" s="212"/>
      <c r="V1415" s="212"/>
      <c r="W1415" s="212"/>
      <c r="X1415" s="212"/>
      <c r="Y1415" s="212"/>
      <c r="Z1415" s="212"/>
      <c r="AA1415" s="212"/>
      <c r="AB1415" s="212"/>
      <c r="AC1415" s="213">
        <f t="shared" ref="AC1415:AC1418" si="619">SUM(Q1415:AB1415)</f>
        <v>0</v>
      </c>
      <c r="AD1415" s="214"/>
      <c r="AE1415" s="241"/>
      <c r="AF1415" s="194"/>
      <c r="AG1415" s="194"/>
      <c r="AH1415" s="194"/>
      <c r="AI1415" s="194"/>
    </row>
    <row r="1416" hidden="1">
      <c r="A1416" s="391"/>
      <c r="B1416" s="893"/>
      <c r="C1416" s="222"/>
      <c r="D1416" s="250" t="s">
        <v>1428</v>
      </c>
      <c r="E1416" s="233"/>
      <c r="F1416" s="224"/>
      <c r="G1416" s="233"/>
      <c r="H1416" s="222"/>
      <c r="I1416" s="222"/>
      <c r="J1416" s="222"/>
      <c r="K1416" s="222" t="s">
        <v>1387</v>
      </c>
      <c r="L1416" s="225"/>
      <c r="M1416" s="236"/>
      <c r="N1416" s="285"/>
      <c r="O1416" s="285"/>
      <c r="P1416" s="285"/>
      <c r="Q1416" s="230"/>
      <c r="R1416" s="230"/>
      <c r="S1416" s="230"/>
      <c r="T1416" s="230"/>
      <c r="U1416" s="230"/>
      <c r="V1416" s="230"/>
      <c r="W1416" s="230"/>
      <c r="X1416" s="230"/>
      <c r="Y1416" s="230"/>
      <c r="Z1416" s="230"/>
      <c r="AA1416" s="230"/>
      <c r="AB1416" s="230"/>
      <c r="AC1416" s="231">
        <f t="shared" si="619"/>
        <v>0</v>
      </c>
      <c r="AD1416" s="548"/>
      <c r="AE1416" s="241"/>
      <c r="AF1416" s="194"/>
      <c r="AG1416" s="194"/>
      <c r="AH1416" s="194"/>
      <c r="AI1416" s="194"/>
    </row>
    <row r="1417" hidden="1">
      <c r="A1417" s="391"/>
      <c r="B1417" s="893"/>
      <c r="C1417" s="196"/>
      <c r="D1417" s="286" t="s">
        <v>194</v>
      </c>
      <c r="E1417" s="233"/>
      <c r="F1417" s="233"/>
      <c r="G1417" s="233"/>
      <c r="H1417" s="234"/>
      <c r="I1417" s="234"/>
      <c r="J1417" s="222"/>
      <c r="K1417" s="222" t="s">
        <v>1387</v>
      </c>
      <c r="L1417" s="225"/>
      <c r="M1417" s="236"/>
      <c r="N1417" s="285"/>
      <c r="O1417" s="285"/>
      <c r="P1417" s="285"/>
      <c r="Q1417" s="718"/>
      <c r="R1417" s="718"/>
      <c r="S1417" s="718"/>
      <c r="T1417" s="718"/>
      <c r="U1417" s="718"/>
      <c r="V1417" s="718"/>
      <c r="W1417" s="718"/>
      <c r="X1417" s="718"/>
      <c r="Y1417" s="718"/>
      <c r="Z1417" s="718"/>
      <c r="AA1417" s="718"/>
      <c r="AB1417" s="718"/>
      <c r="AC1417" s="378">
        <f t="shared" si="619"/>
        <v>0</v>
      </c>
      <c r="AD1417" s="273"/>
      <c r="AE1417" s="192"/>
      <c r="AF1417" s="194"/>
      <c r="AG1417" s="194"/>
      <c r="AH1417" s="194"/>
      <c r="AI1417" s="194"/>
    </row>
    <row r="1418" hidden="1">
      <c r="A1418" s="391"/>
      <c r="B1418" s="893"/>
      <c r="C1418" s="196"/>
      <c r="D1418" s="286" t="s">
        <v>1429</v>
      </c>
      <c r="E1418" s="233"/>
      <c r="F1418" s="233"/>
      <c r="G1418" s="233"/>
      <c r="H1418" s="234"/>
      <c r="I1418" s="234"/>
      <c r="J1418" s="222"/>
      <c r="K1418" s="222" t="s">
        <v>1387</v>
      </c>
      <c r="L1418" s="225"/>
      <c r="M1418" s="236"/>
      <c r="N1418" s="285"/>
      <c r="O1418" s="285"/>
      <c r="P1418" s="285"/>
      <c r="Q1418" s="718"/>
      <c r="R1418" s="718"/>
      <c r="S1418" s="718"/>
      <c r="T1418" s="718"/>
      <c r="U1418" s="718"/>
      <c r="V1418" s="718"/>
      <c r="W1418" s="718"/>
      <c r="X1418" s="718"/>
      <c r="Y1418" s="718"/>
      <c r="Z1418" s="718"/>
      <c r="AA1418" s="718"/>
      <c r="AB1418" s="718"/>
      <c r="AC1418" s="378">
        <f t="shared" si="619"/>
        <v>0</v>
      </c>
      <c r="AD1418" s="273"/>
      <c r="AE1418" s="192"/>
      <c r="AF1418" s="194"/>
      <c r="AG1418" s="194"/>
      <c r="AH1418" s="194"/>
      <c r="AI1418" s="194"/>
    </row>
    <row r="1419">
      <c r="A1419" s="391"/>
      <c r="B1419" s="893"/>
      <c r="C1419" s="196">
        <v>15.0</v>
      </c>
      <c r="D1419" s="925" t="s">
        <v>1430</v>
      </c>
      <c r="E1419" s="198" t="s">
        <v>186</v>
      </c>
      <c r="F1419" s="198" t="s">
        <v>103</v>
      </c>
      <c r="G1419" s="198" t="s">
        <v>86</v>
      </c>
      <c r="H1419" s="198" t="s">
        <v>86</v>
      </c>
      <c r="I1419" s="198" t="s">
        <v>253</v>
      </c>
      <c r="J1419" s="198" t="s">
        <v>254</v>
      </c>
      <c r="K1419" s="606" t="s">
        <v>1387</v>
      </c>
      <c r="L1419" s="895"/>
      <c r="M1419" s="240"/>
      <c r="N1419" s="388"/>
      <c r="O1419" s="388"/>
      <c r="P1419" s="388"/>
      <c r="Q1419" s="896"/>
      <c r="R1419" s="896"/>
      <c r="S1419" s="896">
        <v>1001790.0</v>
      </c>
      <c r="T1419" s="896">
        <v>1001790.0</v>
      </c>
      <c r="U1419" s="896">
        <v>1001790.0</v>
      </c>
      <c r="V1419" s="896">
        <v>1001790.0</v>
      </c>
      <c r="W1419" s="896">
        <v>1001790.0</v>
      </c>
      <c r="X1419" s="896">
        <v>1001790.0</v>
      </c>
      <c r="Y1419" s="896">
        <v>1001790.0</v>
      </c>
      <c r="Z1419" s="896">
        <v>1001790.0</v>
      </c>
      <c r="AA1419" s="896">
        <v>1001790.0</v>
      </c>
      <c r="AB1419" s="896">
        <v>1001790.0</v>
      </c>
      <c r="AC1419" s="897">
        <v>1.00179E7</v>
      </c>
      <c r="AD1419" s="273">
        <f>SUM(Q1419:AB1419)-AC1419</f>
        <v>0</v>
      </c>
      <c r="AE1419" s="192"/>
      <c r="AF1419" s="194"/>
      <c r="AG1419" s="194"/>
      <c r="AH1419" s="194"/>
      <c r="AI1419" s="194"/>
    </row>
    <row r="1420" hidden="1">
      <c r="A1420" s="126"/>
      <c r="B1420" s="893"/>
      <c r="C1420" s="206"/>
      <c r="D1420" s="207"/>
      <c r="E1420" s="260"/>
      <c r="F1420" s="207"/>
      <c r="G1420" s="260"/>
      <c r="H1420" s="206"/>
      <c r="I1420" s="206"/>
      <c r="J1420" s="206"/>
      <c r="K1420" s="206" t="s">
        <v>1387</v>
      </c>
      <c r="L1420" s="277"/>
      <c r="M1420" s="244"/>
      <c r="N1420" s="389"/>
      <c r="O1420" s="389"/>
      <c r="P1420" s="389"/>
      <c r="Q1420" s="212"/>
      <c r="R1420" s="212"/>
      <c r="S1420" s="212"/>
      <c r="T1420" s="212"/>
      <c r="U1420" s="212"/>
      <c r="V1420" s="212"/>
      <c r="W1420" s="212"/>
      <c r="X1420" s="212"/>
      <c r="Y1420" s="212"/>
      <c r="Z1420" s="212"/>
      <c r="AA1420" s="212"/>
      <c r="AB1420" s="212"/>
      <c r="AC1420" s="213">
        <f t="shared" ref="AC1420:AC1423" si="620">SUM(Q1420:AB1420)</f>
        <v>0</v>
      </c>
      <c r="AD1420" s="214"/>
      <c r="AE1420" s="241"/>
      <c r="AF1420" s="194"/>
      <c r="AG1420" s="194"/>
      <c r="AH1420" s="194"/>
      <c r="AI1420" s="194"/>
    </row>
    <row r="1421" hidden="1">
      <c r="A1421" s="391"/>
      <c r="B1421" s="893"/>
      <c r="C1421" s="222"/>
      <c r="D1421" s="250" t="s">
        <v>1431</v>
      </c>
      <c r="E1421" s="233"/>
      <c r="F1421" s="224"/>
      <c r="G1421" s="233"/>
      <c r="H1421" s="222"/>
      <c r="I1421" s="222"/>
      <c r="J1421" s="222"/>
      <c r="K1421" s="222" t="s">
        <v>1387</v>
      </c>
      <c r="L1421" s="225"/>
      <c r="M1421" s="236"/>
      <c r="N1421" s="285"/>
      <c r="O1421" s="285"/>
      <c r="P1421" s="285"/>
      <c r="Q1421" s="230"/>
      <c r="R1421" s="230"/>
      <c r="S1421" s="230"/>
      <c r="T1421" s="230"/>
      <c r="U1421" s="230"/>
      <c r="V1421" s="230"/>
      <c r="W1421" s="230"/>
      <c r="X1421" s="230"/>
      <c r="Y1421" s="230"/>
      <c r="Z1421" s="230"/>
      <c r="AA1421" s="230"/>
      <c r="AB1421" s="230"/>
      <c r="AC1421" s="231">
        <f t="shared" si="620"/>
        <v>0</v>
      </c>
      <c r="AD1421" s="548"/>
      <c r="AE1421" s="241"/>
      <c r="AF1421" s="194"/>
      <c r="AG1421" s="194"/>
      <c r="AH1421" s="194"/>
      <c r="AI1421" s="194"/>
    </row>
    <row r="1422" hidden="1">
      <c r="A1422" s="391"/>
      <c r="B1422" s="893"/>
      <c r="C1422" s="196"/>
      <c r="D1422" s="286" t="s">
        <v>194</v>
      </c>
      <c r="E1422" s="233"/>
      <c r="F1422" s="233"/>
      <c r="G1422" s="233"/>
      <c r="H1422" s="234"/>
      <c r="I1422" s="234"/>
      <c r="J1422" s="222"/>
      <c r="K1422" s="222" t="s">
        <v>1387</v>
      </c>
      <c r="L1422" s="225"/>
      <c r="M1422" s="236"/>
      <c r="N1422" s="285"/>
      <c r="O1422" s="285"/>
      <c r="P1422" s="285"/>
      <c r="Q1422" s="718"/>
      <c r="R1422" s="718"/>
      <c r="S1422" s="718"/>
      <c r="T1422" s="718"/>
      <c r="U1422" s="718"/>
      <c r="V1422" s="718"/>
      <c r="W1422" s="718"/>
      <c r="X1422" s="718"/>
      <c r="Y1422" s="718"/>
      <c r="Z1422" s="718"/>
      <c r="AA1422" s="718"/>
      <c r="AB1422" s="718"/>
      <c r="AC1422" s="378">
        <f t="shared" si="620"/>
        <v>0</v>
      </c>
      <c r="AD1422" s="273"/>
      <c r="AE1422" s="192"/>
      <c r="AF1422" s="194"/>
      <c r="AG1422" s="194"/>
      <c r="AH1422" s="194"/>
      <c r="AI1422" s="194"/>
    </row>
    <row r="1423" hidden="1">
      <c r="A1423" s="391"/>
      <c r="B1423" s="893"/>
      <c r="C1423" s="196"/>
      <c r="D1423" s="286" t="s">
        <v>1432</v>
      </c>
      <c r="E1423" s="233"/>
      <c r="F1423" s="233"/>
      <c r="G1423" s="233"/>
      <c r="H1423" s="234"/>
      <c r="I1423" s="234"/>
      <c r="J1423" s="222"/>
      <c r="K1423" s="222" t="s">
        <v>1387</v>
      </c>
      <c r="L1423" s="225"/>
      <c r="M1423" s="236"/>
      <c r="N1423" s="285"/>
      <c r="O1423" s="285"/>
      <c r="P1423" s="285"/>
      <c r="Q1423" s="718"/>
      <c r="R1423" s="718"/>
      <c r="S1423" s="718"/>
      <c r="T1423" s="718"/>
      <c r="U1423" s="718"/>
      <c r="V1423" s="718"/>
      <c r="W1423" s="718"/>
      <c r="X1423" s="718"/>
      <c r="Y1423" s="718"/>
      <c r="Z1423" s="718"/>
      <c r="AA1423" s="718"/>
      <c r="AB1423" s="718"/>
      <c r="AC1423" s="378">
        <f t="shared" si="620"/>
        <v>0</v>
      </c>
      <c r="AD1423" s="273"/>
      <c r="AE1423" s="192"/>
      <c r="AF1423" s="194"/>
      <c r="AG1423" s="194"/>
      <c r="AH1423" s="194"/>
      <c r="AI1423" s="194"/>
    </row>
    <row r="1424">
      <c r="A1424" s="391"/>
      <c r="B1424" s="893"/>
      <c r="C1424" s="196">
        <v>16.0</v>
      </c>
      <c r="D1424" s="925" t="s">
        <v>1433</v>
      </c>
      <c r="E1424" s="198" t="s">
        <v>186</v>
      </c>
      <c r="F1424" s="198" t="s">
        <v>103</v>
      </c>
      <c r="G1424" s="198" t="s">
        <v>86</v>
      </c>
      <c r="H1424" s="198" t="s">
        <v>86</v>
      </c>
      <c r="I1424" s="198" t="s">
        <v>253</v>
      </c>
      <c r="J1424" s="198" t="s">
        <v>254</v>
      </c>
      <c r="K1424" s="606" t="s">
        <v>1387</v>
      </c>
      <c r="L1424" s="895"/>
      <c r="M1424" s="240"/>
      <c r="N1424" s="388"/>
      <c r="O1424" s="388"/>
      <c r="P1424" s="388"/>
      <c r="Q1424" s="896"/>
      <c r="R1424" s="896"/>
      <c r="S1424" s="896"/>
      <c r="T1424" s="896"/>
      <c r="U1424" s="896"/>
      <c r="V1424" s="896">
        <v>4.164054E7</v>
      </c>
      <c r="W1424" s="896">
        <v>4.164054E7</v>
      </c>
      <c r="X1424" s="896">
        <v>4.164054E7</v>
      </c>
      <c r="Y1424" s="896">
        <v>4.164054E7</v>
      </c>
      <c r="Z1424" s="896">
        <v>4.164054E7</v>
      </c>
      <c r="AA1424" s="896">
        <v>4.164054E7</v>
      </c>
      <c r="AB1424" s="896">
        <v>4.164054E7</v>
      </c>
      <c r="AC1424" s="897">
        <v>2.9148378E8</v>
      </c>
      <c r="AD1424" s="273">
        <f>SUM(Q1424:AB1424)-AC1424</f>
        <v>0</v>
      </c>
      <c r="AE1424" s="192"/>
      <c r="AF1424" s="194"/>
      <c r="AG1424" s="194"/>
      <c r="AH1424" s="194"/>
      <c r="AI1424" s="194"/>
    </row>
    <row r="1425" hidden="1">
      <c r="A1425" s="126"/>
      <c r="B1425" s="893"/>
      <c r="C1425" s="206"/>
      <c r="D1425" s="207"/>
      <c r="E1425" s="260"/>
      <c r="F1425" s="207"/>
      <c r="G1425" s="260"/>
      <c r="H1425" s="206"/>
      <c r="I1425" s="206"/>
      <c r="J1425" s="206"/>
      <c r="K1425" s="206" t="s">
        <v>1387</v>
      </c>
      <c r="L1425" s="277"/>
      <c r="M1425" s="244"/>
      <c r="N1425" s="389"/>
      <c r="O1425" s="389"/>
      <c r="P1425" s="389"/>
      <c r="Q1425" s="212"/>
      <c r="R1425" s="212"/>
      <c r="S1425" s="212"/>
      <c r="T1425" s="212"/>
      <c r="U1425" s="212"/>
      <c r="V1425" s="212"/>
      <c r="W1425" s="212"/>
      <c r="X1425" s="212"/>
      <c r="Y1425" s="212"/>
      <c r="Z1425" s="212"/>
      <c r="AA1425" s="212"/>
      <c r="AB1425" s="212"/>
      <c r="AC1425" s="213">
        <f t="shared" ref="AC1425:AC1428" si="621">SUM(Q1425:AB1425)</f>
        <v>0</v>
      </c>
      <c r="AD1425" s="214"/>
      <c r="AE1425" s="241"/>
      <c r="AF1425" s="194"/>
      <c r="AG1425" s="194"/>
      <c r="AH1425" s="194"/>
      <c r="AI1425" s="194"/>
    </row>
    <row r="1426" hidden="1">
      <c r="A1426" s="391"/>
      <c r="B1426" s="893"/>
      <c r="C1426" s="222"/>
      <c r="D1426" s="250" t="s">
        <v>1434</v>
      </c>
      <c r="E1426" s="233"/>
      <c r="F1426" s="224"/>
      <c r="G1426" s="233"/>
      <c r="H1426" s="222"/>
      <c r="I1426" s="222"/>
      <c r="J1426" s="222"/>
      <c r="K1426" s="222" t="s">
        <v>1387</v>
      </c>
      <c r="L1426" s="225"/>
      <c r="M1426" s="236"/>
      <c r="N1426" s="285"/>
      <c r="O1426" s="285"/>
      <c r="P1426" s="285"/>
      <c r="Q1426" s="230"/>
      <c r="R1426" s="230"/>
      <c r="S1426" s="230"/>
      <c r="T1426" s="230"/>
      <c r="U1426" s="230"/>
      <c r="V1426" s="230"/>
      <c r="W1426" s="230"/>
      <c r="X1426" s="230"/>
      <c r="Y1426" s="230"/>
      <c r="Z1426" s="230"/>
      <c r="AA1426" s="230"/>
      <c r="AB1426" s="230"/>
      <c r="AC1426" s="231">
        <f t="shared" si="621"/>
        <v>0</v>
      </c>
      <c r="AD1426" s="548"/>
      <c r="AE1426" s="241"/>
      <c r="AF1426" s="194"/>
      <c r="AG1426" s="194"/>
      <c r="AH1426" s="194"/>
      <c r="AI1426" s="194"/>
    </row>
    <row r="1427" hidden="1">
      <c r="A1427" s="391"/>
      <c r="B1427" s="893"/>
      <c r="C1427" s="196"/>
      <c r="D1427" s="286" t="s">
        <v>194</v>
      </c>
      <c r="E1427" s="233"/>
      <c r="F1427" s="233"/>
      <c r="G1427" s="233"/>
      <c r="H1427" s="234"/>
      <c r="I1427" s="234"/>
      <c r="J1427" s="222"/>
      <c r="K1427" s="222" t="s">
        <v>1387</v>
      </c>
      <c r="L1427" s="225"/>
      <c r="M1427" s="236"/>
      <c r="N1427" s="285"/>
      <c r="O1427" s="285"/>
      <c r="P1427" s="285"/>
      <c r="Q1427" s="718"/>
      <c r="R1427" s="718"/>
      <c r="S1427" s="718"/>
      <c r="T1427" s="718"/>
      <c r="U1427" s="718"/>
      <c r="V1427" s="718"/>
      <c r="W1427" s="718"/>
      <c r="X1427" s="718"/>
      <c r="Y1427" s="718"/>
      <c r="Z1427" s="718"/>
      <c r="AA1427" s="718"/>
      <c r="AB1427" s="718"/>
      <c r="AC1427" s="378">
        <f t="shared" si="621"/>
        <v>0</v>
      </c>
      <c r="AD1427" s="273"/>
      <c r="AE1427" s="192"/>
      <c r="AF1427" s="194"/>
      <c r="AG1427" s="194"/>
      <c r="AH1427" s="194"/>
      <c r="AI1427" s="194"/>
    </row>
    <row r="1428" hidden="1">
      <c r="A1428" s="391"/>
      <c r="B1428" s="893"/>
      <c r="C1428" s="196"/>
      <c r="D1428" s="286" t="s">
        <v>1435</v>
      </c>
      <c r="E1428" s="233"/>
      <c r="F1428" s="233"/>
      <c r="G1428" s="233"/>
      <c r="H1428" s="234"/>
      <c r="I1428" s="234"/>
      <c r="J1428" s="222"/>
      <c r="K1428" s="222" t="s">
        <v>1387</v>
      </c>
      <c r="L1428" s="225"/>
      <c r="M1428" s="236"/>
      <c r="N1428" s="285"/>
      <c r="O1428" s="285"/>
      <c r="P1428" s="285"/>
      <c r="Q1428" s="718"/>
      <c r="R1428" s="718"/>
      <c r="S1428" s="718"/>
      <c r="T1428" s="718"/>
      <c r="U1428" s="718"/>
      <c r="V1428" s="718"/>
      <c r="W1428" s="718"/>
      <c r="X1428" s="718"/>
      <c r="Y1428" s="718"/>
      <c r="Z1428" s="718"/>
      <c r="AA1428" s="718"/>
      <c r="AB1428" s="718"/>
      <c r="AC1428" s="378">
        <f t="shared" si="621"/>
        <v>0</v>
      </c>
      <c r="AD1428" s="273"/>
      <c r="AE1428" s="192"/>
      <c r="AF1428" s="194"/>
      <c r="AG1428" s="194"/>
      <c r="AH1428" s="194"/>
      <c r="AI1428" s="194"/>
    </row>
    <row r="1429">
      <c r="A1429" s="391"/>
      <c r="B1429" s="893"/>
      <c r="C1429" s="196">
        <v>17.0</v>
      </c>
      <c r="D1429" s="925" t="s">
        <v>1436</v>
      </c>
      <c r="E1429" s="198" t="s">
        <v>186</v>
      </c>
      <c r="F1429" s="198" t="s">
        <v>103</v>
      </c>
      <c r="G1429" s="198" t="s">
        <v>86</v>
      </c>
      <c r="H1429" s="198" t="s">
        <v>86</v>
      </c>
      <c r="I1429" s="198" t="s">
        <v>253</v>
      </c>
      <c r="J1429" s="198" t="s">
        <v>254</v>
      </c>
      <c r="K1429" s="606" t="s">
        <v>1387</v>
      </c>
      <c r="L1429" s="895"/>
      <c r="M1429" s="240"/>
      <c r="N1429" s="388"/>
      <c r="O1429" s="388"/>
      <c r="P1429" s="388"/>
      <c r="Q1429" s="896"/>
      <c r="R1429" s="896"/>
      <c r="S1429" s="896">
        <v>1.2599832E7</v>
      </c>
      <c r="T1429" s="896">
        <v>1.2599832E7</v>
      </c>
      <c r="U1429" s="896">
        <v>1.2599832E7</v>
      </c>
      <c r="V1429" s="896">
        <v>1.2599832E7</v>
      </c>
      <c r="W1429" s="896">
        <v>1.2599832E7</v>
      </c>
      <c r="X1429" s="896">
        <v>1.2599832E7</v>
      </c>
      <c r="Y1429" s="896">
        <v>1.2599832E7</v>
      </c>
      <c r="Z1429" s="896">
        <v>1.2599832E7</v>
      </c>
      <c r="AA1429" s="896">
        <v>1.2599832E7</v>
      </c>
      <c r="AB1429" s="896">
        <v>1.2599832E7</v>
      </c>
      <c r="AC1429" s="897">
        <v>1.2599832E8</v>
      </c>
      <c r="AD1429" s="273">
        <f>SUM(Q1429:AB1429)-AC1429</f>
        <v>0</v>
      </c>
      <c r="AE1429" s="192"/>
      <c r="AF1429" s="194"/>
      <c r="AG1429" s="194"/>
      <c r="AH1429" s="194"/>
      <c r="AI1429" s="194"/>
    </row>
    <row r="1430" hidden="1">
      <c r="A1430" s="126"/>
      <c r="B1430" s="893"/>
      <c r="C1430" s="206"/>
      <c r="D1430" s="207"/>
      <c r="E1430" s="260"/>
      <c r="F1430" s="207"/>
      <c r="G1430" s="260"/>
      <c r="H1430" s="206"/>
      <c r="I1430" s="206"/>
      <c r="J1430" s="206"/>
      <c r="K1430" s="206" t="s">
        <v>1387</v>
      </c>
      <c r="L1430" s="277"/>
      <c r="M1430" s="244"/>
      <c r="N1430" s="389"/>
      <c r="O1430" s="389"/>
      <c r="P1430" s="389"/>
      <c r="Q1430" s="212"/>
      <c r="R1430" s="212"/>
      <c r="S1430" s="212"/>
      <c r="T1430" s="212"/>
      <c r="U1430" s="212"/>
      <c r="V1430" s="212"/>
      <c r="W1430" s="212"/>
      <c r="X1430" s="212"/>
      <c r="Y1430" s="212"/>
      <c r="Z1430" s="212"/>
      <c r="AA1430" s="212"/>
      <c r="AB1430" s="212"/>
      <c r="AC1430" s="213">
        <f t="shared" ref="AC1430:AC1433" si="622">SUM(Q1430:AB1430)</f>
        <v>0</v>
      </c>
      <c r="AD1430" s="214"/>
      <c r="AE1430" s="241"/>
      <c r="AF1430" s="194"/>
      <c r="AG1430" s="194"/>
      <c r="AH1430" s="194"/>
      <c r="AI1430" s="194"/>
    </row>
    <row r="1431" hidden="1">
      <c r="A1431" s="391"/>
      <c r="B1431" s="893"/>
      <c r="C1431" s="222"/>
      <c r="D1431" s="250" t="s">
        <v>1437</v>
      </c>
      <c r="E1431" s="233"/>
      <c r="F1431" s="224"/>
      <c r="G1431" s="233"/>
      <c r="H1431" s="222"/>
      <c r="I1431" s="222"/>
      <c r="J1431" s="222"/>
      <c r="K1431" s="222" t="s">
        <v>1387</v>
      </c>
      <c r="L1431" s="225"/>
      <c r="M1431" s="236"/>
      <c r="N1431" s="285"/>
      <c r="O1431" s="285"/>
      <c r="P1431" s="285"/>
      <c r="Q1431" s="230"/>
      <c r="R1431" s="230"/>
      <c r="S1431" s="230"/>
      <c r="T1431" s="230"/>
      <c r="U1431" s="230"/>
      <c r="V1431" s="230"/>
      <c r="W1431" s="230"/>
      <c r="X1431" s="230"/>
      <c r="Y1431" s="230"/>
      <c r="Z1431" s="230"/>
      <c r="AA1431" s="230"/>
      <c r="AB1431" s="230"/>
      <c r="AC1431" s="231">
        <f t="shared" si="622"/>
        <v>0</v>
      </c>
      <c r="AD1431" s="548"/>
      <c r="AE1431" s="241"/>
      <c r="AF1431" s="194"/>
      <c r="AG1431" s="194"/>
      <c r="AH1431" s="194"/>
      <c r="AI1431" s="194"/>
    </row>
    <row r="1432" hidden="1">
      <c r="A1432" s="391"/>
      <c r="B1432" s="893"/>
      <c r="C1432" s="196"/>
      <c r="D1432" s="286" t="s">
        <v>194</v>
      </c>
      <c r="E1432" s="233"/>
      <c r="F1432" s="233"/>
      <c r="G1432" s="233"/>
      <c r="H1432" s="234"/>
      <c r="I1432" s="234"/>
      <c r="J1432" s="222"/>
      <c r="K1432" s="222" t="s">
        <v>1387</v>
      </c>
      <c r="L1432" s="225"/>
      <c r="M1432" s="236"/>
      <c r="N1432" s="285"/>
      <c r="O1432" s="285"/>
      <c r="P1432" s="285"/>
      <c r="Q1432" s="718"/>
      <c r="R1432" s="718"/>
      <c r="S1432" s="718"/>
      <c r="T1432" s="718"/>
      <c r="U1432" s="718"/>
      <c r="V1432" s="718"/>
      <c r="W1432" s="718"/>
      <c r="X1432" s="718"/>
      <c r="Y1432" s="718"/>
      <c r="Z1432" s="718"/>
      <c r="AA1432" s="718"/>
      <c r="AB1432" s="718"/>
      <c r="AC1432" s="378">
        <f t="shared" si="622"/>
        <v>0</v>
      </c>
      <c r="AD1432" s="273"/>
      <c r="AE1432" s="192"/>
      <c r="AF1432" s="194"/>
      <c r="AG1432" s="194"/>
      <c r="AH1432" s="194"/>
      <c r="AI1432" s="194"/>
    </row>
    <row r="1433" hidden="1">
      <c r="A1433" s="391"/>
      <c r="B1433" s="893"/>
      <c r="C1433" s="196"/>
      <c r="D1433" s="286" t="s">
        <v>1438</v>
      </c>
      <c r="E1433" s="233"/>
      <c r="F1433" s="233"/>
      <c r="G1433" s="233"/>
      <c r="H1433" s="234"/>
      <c r="I1433" s="234"/>
      <c r="J1433" s="222"/>
      <c r="K1433" s="222" t="s">
        <v>1387</v>
      </c>
      <c r="L1433" s="225"/>
      <c r="M1433" s="236"/>
      <c r="N1433" s="285"/>
      <c r="O1433" s="285"/>
      <c r="P1433" s="285"/>
      <c r="Q1433" s="718"/>
      <c r="R1433" s="718"/>
      <c r="S1433" s="718"/>
      <c r="T1433" s="718"/>
      <c r="U1433" s="718"/>
      <c r="V1433" s="718"/>
      <c r="W1433" s="718"/>
      <c r="X1433" s="718"/>
      <c r="Y1433" s="718"/>
      <c r="Z1433" s="718"/>
      <c r="AA1433" s="718"/>
      <c r="AB1433" s="718"/>
      <c r="AC1433" s="378">
        <f t="shared" si="622"/>
        <v>0</v>
      </c>
      <c r="AD1433" s="273"/>
      <c r="AE1433" s="192"/>
      <c r="AF1433" s="194"/>
      <c r="AG1433" s="194"/>
      <c r="AH1433" s="194"/>
      <c r="AI1433" s="194"/>
    </row>
    <row r="1434">
      <c r="A1434" s="391"/>
      <c r="B1434" s="893"/>
      <c r="C1434" s="196">
        <v>18.0</v>
      </c>
      <c r="D1434" s="925" t="s">
        <v>1439</v>
      </c>
      <c r="E1434" s="198" t="s">
        <v>186</v>
      </c>
      <c r="F1434" s="198" t="s">
        <v>103</v>
      </c>
      <c r="G1434" s="198" t="s">
        <v>86</v>
      </c>
      <c r="H1434" s="198" t="s">
        <v>86</v>
      </c>
      <c r="I1434" s="198" t="s">
        <v>253</v>
      </c>
      <c r="J1434" s="198" t="s">
        <v>254</v>
      </c>
      <c r="K1434" s="606" t="s">
        <v>1387</v>
      </c>
      <c r="L1434" s="895"/>
      <c r="M1434" s="240"/>
      <c r="N1434" s="388"/>
      <c r="O1434" s="388"/>
      <c r="P1434" s="388"/>
      <c r="Q1434" s="896"/>
      <c r="R1434" s="896"/>
      <c r="S1434" s="896">
        <v>7638606.0</v>
      </c>
      <c r="T1434" s="896">
        <v>7638606.0</v>
      </c>
      <c r="U1434" s="896">
        <v>7638606.0</v>
      </c>
      <c r="V1434" s="896">
        <v>7638606.0</v>
      </c>
      <c r="W1434" s="896">
        <v>7638606.0</v>
      </c>
      <c r="X1434" s="896">
        <v>7638606.0</v>
      </c>
      <c r="Y1434" s="896">
        <v>7638606.0</v>
      </c>
      <c r="Z1434" s="896">
        <v>7638606.0</v>
      </c>
      <c r="AA1434" s="896">
        <v>7638606.0</v>
      </c>
      <c r="AB1434" s="896">
        <v>7638606.0</v>
      </c>
      <c r="AC1434" s="897">
        <v>7.638606E7</v>
      </c>
      <c r="AD1434" s="273">
        <f>SUM(Q1434:AB1434)-AC1434</f>
        <v>0</v>
      </c>
      <c r="AE1434" s="192"/>
      <c r="AF1434" s="194"/>
      <c r="AG1434" s="194"/>
      <c r="AH1434" s="194"/>
      <c r="AI1434" s="194"/>
    </row>
    <row r="1435" hidden="1">
      <c r="A1435" s="126"/>
      <c r="B1435" s="893"/>
      <c r="C1435" s="206"/>
      <c r="D1435" s="207"/>
      <c r="E1435" s="260"/>
      <c r="F1435" s="207"/>
      <c r="G1435" s="260"/>
      <c r="H1435" s="206"/>
      <c r="I1435" s="206"/>
      <c r="J1435" s="206"/>
      <c r="K1435" s="206" t="s">
        <v>1387</v>
      </c>
      <c r="L1435" s="277"/>
      <c r="M1435" s="244"/>
      <c r="N1435" s="389"/>
      <c r="O1435" s="389"/>
      <c r="P1435" s="389"/>
      <c r="Q1435" s="212"/>
      <c r="R1435" s="212"/>
      <c r="S1435" s="212"/>
      <c r="T1435" s="212"/>
      <c r="U1435" s="212"/>
      <c r="V1435" s="212"/>
      <c r="W1435" s="212"/>
      <c r="X1435" s="212"/>
      <c r="Y1435" s="212"/>
      <c r="Z1435" s="212"/>
      <c r="AA1435" s="212"/>
      <c r="AB1435" s="212"/>
      <c r="AC1435" s="213">
        <f t="shared" ref="AC1435:AC1438" si="623">SUM(Q1435:AB1435)</f>
        <v>0</v>
      </c>
      <c r="AD1435" s="214"/>
      <c r="AE1435" s="241"/>
      <c r="AF1435" s="194"/>
      <c r="AG1435" s="194"/>
      <c r="AH1435" s="194"/>
      <c r="AI1435" s="194"/>
    </row>
    <row r="1436" hidden="1">
      <c r="A1436" s="391"/>
      <c r="B1436" s="893"/>
      <c r="C1436" s="222"/>
      <c r="D1436" s="250" t="s">
        <v>1440</v>
      </c>
      <c r="E1436" s="233"/>
      <c r="F1436" s="224"/>
      <c r="G1436" s="233"/>
      <c r="H1436" s="222"/>
      <c r="I1436" s="222"/>
      <c r="J1436" s="222"/>
      <c r="K1436" s="222" t="s">
        <v>1387</v>
      </c>
      <c r="L1436" s="225"/>
      <c r="M1436" s="236"/>
      <c r="N1436" s="285"/>
      <c r="O1436" s="285"/>
      <c r="P1436" s="285"/>
      <c r="Q1436" s="230"/>
      <c r="R1436" s="230"/>
      <c r="S1436" s="230"/>
      <c r="T1436" s="230"/>
      <c r="U1436" s="230"/>
      <c r="V1436" s="230"/>
      <c r="W1436" s="230"/>
      <c r="X1436" s="230"/>
      <c r="Y1436" s="230"/>
      <c r="Z1436" s="230"/>
      <c r="AA1436" s="230"/>
      <c r="AB1436" s="230"/>
      <c r="AC1436" s="231">
        <f t="shared" si="623"/>
        <v>0</v>
      </c>
      <c r="AD1436" s="548"/>
      <c r="AE1436" s="241"/>
      <c r="AF1436" s="194"/>
      <c r="AG1436" s="194"/>
      <c r="AH1436" s="194"/>
      <c r="AI1436" s="194"/>
    </row>
    <row r="1437" hidden="1">
      <c r="A1437" s="391"/>
      <c r="B1437" s="893"/>
      <c r="C1437" s="196"/>
      <c r="D1437" s="286" t="s">
        <v>194</v>
      </c>
      <c r="E1437" s="233"/>
      <c r="F1437" s="233"/>
      <c r="G1437" s="233"/>
      <c r="H1437" s="234"/>
      <c r="I1437" s="234"/>
      <c r="J1437" s="222"/>
      <c r="K1437" s="222" t="s">
        <v>1387</v>
      </c>
      <c r="L1437" s="225"/>
      <c r="M1437" s="236"/>
      <c r="N1437" s="285"/>
      <c r="O1437" s="285"/>
      <c r="P1437" s="285"/>
      <c r="Q1437" s="718"/>
      <c r="R1437" s="718"/>
      <c r="S1437" s="718"/>
      <c r="T1437" s="718"/>
      <c r="U1437" s="718"/>
      <c r="V1437" s="718"/>
      <c r="W1437" s="718"/>
      <c r="X1437" s="718"/>
      <c r="Y1437" s="718"/>
      <c r="Z1437" s="718"/>
      <c r="AA1437" s="718"/>
      <c r="AB1437" s="718"/>
      <c r="AC1437" s="378">
        <f t="shared" si="623"/>
        <v>0</v>
      </c>
      <c r="AD1437" s="273"/>
      <c r="AE1437" s="192"/>
      <c r="AF1437" s="194"/>
      <c r="AG1437" s="194"/>
      <c r="AH1437" s="194"/>
      <c r="AI1437" s="194"/>
    </row>
    <row r="1438" hidden="1">
      <c r="A1438" s="391"/>
      <c r="B1438" s="893"/>
      <c r="C1438" s="196"/>
      <c r="D1438" s="286" t="s">
        <v>1441</v>
      </c>
      <c r="E1438" s="233"/>
      <c r="F1438" s="233"/>
      <c r="G1438" s="233"/>
      <c r="H1438" s="234"/>
      <c r="I1438" s="234"/>
      <c r="J1438" s="222"/>
      <c r="K1438" s="222" t="s">
        <v>1387</v>
      </c>
      <c r="L1438" s="225"/>
      <c r="M1438" s="236"/>
      <c r="N1438" s="285"/>
      <c r="O1438" s="285"/>
      <c r="P1438" s="285"/>
      <c r="Q1438" s="718"/>
      <c r="R1438" s="718"/>
      <c r="S1438" s="718"/>
      <c r="T1438" s="718"/>
      <c r="U1438" s="718"/>
      <c r="V1438" s="718"/>
      <c r="W1438" s="718"/>
      <c r="X1438" s="718"/>
      <c r="Y1438" s="718"/>
      <c r="Z1438" s="718"/>
      <c r="AA1438" s="718"/>
      <c r="AB1438" s="718"/>
      <c r="AC1438" s="378">
        <f t="shared" si="623"/>
        <v>0</v>
      </c>
      <c r="AD1438" s="273"/>
      <c r="AE1438" s="192"/>
      <c r="AF1438" s="194"/>
      <c r="AG1438" s="194"/>
      <c r="AH1438" s="194"/>
      <c r="AI1438" s="194"/>
    </row>
    <row r="1439">
      <c r="A1439" s="391"/>
      <c r="B1439" s="893"/>
      <c r="C1439" s="196">
        <v>19.0</v>
      </c>
      <c r="D1439" s="925" t="s">
        <v>1442</v>
      </c>
      <c r="E1439" s="198" t="s">
        <v>186</v>
      </c>
      <c r="F1439" s="198" t="s">
        <v>103</v>
      </c>
      <c r="G1439" s="198" t="s">
        <v>86</v>
      </c>
      <c r="H1439" s="198" t="s">
        <v>86</v>
      </c>
      <c r="I1439" s="198" t="s">
        <v>253</v>
      </c>
      <c r="J1439" s="198" t="s">
        <v>254</v>
      </c>
      <c r="K1439" s="606" t="s">
        <v>1387</v>
      </c>
      <c r="L1439" s="895"/>
      <c r="M1439" s="240"/>
      <c r="N1439" s="388"/>
      <c r="O1439" s="388"/>
      <c r="P1439" s="388"/>
      <c r="Q1439" s="896"/>
      <c r="R1439" s="896"/>
      <c r="S1439" s="896"/>
      <c r="T1439" s="896"/>
      <c r="U1439" s="896"/>
      <c r="V1439" s="896"/>
      <c r="W1439" s="896"/>
      <c r="X1439" s="896">
        <v>402273.0</v>
      </c>
      <c r="Y1439" s="896">
        <v>402273.0</v>
      </c>
      <c r="Z1439" s="896">
        <v>402273.0</v>
      </c>
      <c r="AA1439" s="896">
        <v>402273.0</v>
      </c>
      <c r="AB1439" s="896">
        <v>402273.0</v>
      </c>
      <c r="AC1439" s="897">
        <v>2011365.0</v>
      </c>
      <c r="AD1439" s="273">
        <f>SUM(Q1439:AB1439)-AC1439</f>
        <v>0</v>
      </c>
      <c r="AE1439" s="192"/>
      <c r="AF1439" s="194"/>
      <c r="AG1439" s="194"/>
      <c r="AH1439" s="194"/>
      <c r="AI1439" s="194"/>
    </row>
    <row r="1440" hidden="1">
      <c r="A1440" s="126"/>
      <c r="B1440" s="893"/>
      <c r="C1440" s="206"/>
      <c r="D1440" s="207"/>
      <c r="E1440" s="260"/>
      <c r="F1440" s="207"/>
      <c r="G1440" s="260"/>
      <c r="H1440" s="206"/>
      <c r="I1440" s="206"/>
      <c r="J1440" s="206"/>
      <c r="K1440" s="206" t="s">
        <v>1387</v>
      </c>
      <c r="L1440" s="277"/>
      <c r="M1440" s="244"/>
      <c r="N1440" s="389"/>
      <c r="O1440" s="389"/>
      <c r="P1440" s="389"/>
      <c r="Q1440" s="212"/>
      <c r="R1440" s="212"/>
      <c r="S1440" s="212"/>
      <c r="T1440" s="212"/>
      <c r="U1440" s="212"/>
      <c r="V1440" s="212"/>
      <c r="W1440" s="212"/>
      <c r="X1440" s="212"/>
      <c r="Y1440" s="212"/>
      <c r="Z1440" s="212"/>
      <c r="AA1440" s="212"/>
      <c r="AB1440" s="212"/>
      <c r="AC1440" s="213">
        <f t="shared" ref="AC1440:AC1443" si="624">SUM(Q1440:AB1440)</f>
        <v>0</v>
      </c>
      <c r="AD1440" s="214"/>
      <c r="AE1440" s="241"/>
      <c r="AF1440" s="194"/>
      <c r="AG1440" s="194"/>
      <c r="AH1440" s="194"/>
      <c r="AI1440" s="194"/>
    </row>
    <row r="1441" hidden="1">
      <c r="A1441" s="391"/>
      <c r="B1441" s="893"/>
      <c r="C1441" s="222"/>
      <c r="D1441" s="250" t="s">
        <v>1443</v>
      </c>
      <c r="E1441" s="233"/>
      <c r="F1441" s="224"/>
      <c r="G1441" s="233"/>
      <c r="H1441" s="222"/>
      <c r="I1441" s="222"/>
      <c r="J1441" s="222"/>
      <c r="K1441" s="222" t="s">
        <v>1387</v>
      </c>
      <c r="L1441" s="225"/>
      <c r="M1441" s="236"/>
      <c r="N1441" s="285"/>
      <c r="O1441" s="285"/>
      <c r="P1441" s="285"/>
      <c r="Q1441" s="230"/>
      <c r="R1441" s="230"/>
      <c r="S1441" s="230"/>
      <c r="T1441" s="230"/>
      <c r="U1441" s="230"/>
      <c r="V1441" s="230"/>
      <c r="W1441" s="230"/>
      <c r="X1441" s="230"/>
      <c r="Y1441" s="230"/>
      <c r="Z1441" s="230"/>
      <c r="AA1441" s="230"/>
      <c r="AB1441" s="230"/>
      <c r="AC1441" s="231">
        <f t="shared" si="624"/>
        <v>0</v>
      </c>
      <c r="AD1441" s="548"/>
      <c r="AE1441" s="241"/>
      <c r="AF1441" s="194"/>
      <c r="AG1441" s="194"/>
      <c r="AH1441" s="194"/>
      <c r="AI1441" s="194"/>
    </row>
    <row r="1442" hidden="1">
      <c r="A1442" s="391"/>
      <c r="B1442" s="893"/>
      <c r="C1442" s="196"/>
      <c r="D1442" s="286" t="s">
        <v>194</v>
      </c>
      <c r="E1442" s="233"/>
      <c r="F1442" s="233"/>
      <c r="G1442" s="233"/>
      <c r="H1442" s="234"/>
      <c r="I1442" s="234"/>
      <c r="J1442" s="222"/>
      <c r="K1442" s="222" t="s">
        <v>1387</v>
      </c>
      <c r="L1442" s="225"/>
      <c r="M1442" s="236"/>
      <c r="N1442" s="285"/>
      <c r="O1442" s="285"/>
      <c r="P1442" s="285"/>
      <c r="Q1442" s="718"/>
      <c r="R1442" s="718"/>
      <c r="S1442" s="718"/>
      <c r="T1442" s="718"/>
      <c r="U1442" s="718"/>
      <c r="V1442" s="718"/>
      <c r="W1442" s="718"/>
      <c r="X1442" s="718"/>
      <c r="Y1442" s="718"/>
      <c r="Z1442" s="718"/>
      <c r="AA1442" s="718"/>
      <c r="AB1442" s="718"/>
      <c r="AC1442" s="378">
        <f t="shared" si="624"/>
        <v>0</v>
      </c>
      <c r="AD1442" s="273"/>
      <c r="AE1442" s="192"/>
      <c r="AF1442" s="194"/>
      <c r="AG1442" s="194"/>
      <c r="AH1442" s="194"/>
      <c r="AI1442" s="194"/>
    </row>
    <row r="1443" hidden="1">
      <c r="A1443" s="391"/>
      <c r="B1443" s="893"/>
      <c r="C1443" s="196"/>
      <c r="D1443" s="286" t="s">
        <v>1444</v>
      </c>
      <c r="E1443" s="233"/>
      <c r="F1443" s="233"/>
      <c r="G1443" s="233"/>
      <c r="H1443" s="234"/>
      <c r="I1443" s="234"/>
      <c r="J1443" s="222"/>
      <c r="K1443" s="222" t="s">
        <v>1387</v>
      </c>
      <c r="L1443" s="225"/>
      <c r="M1443" s="236"/>
      <c r="N1443" s="285"/>
      <c r="O1443" s="285"/>
      <c r="P1443" s="285"/>
      <c r="Q1443" s="718"/>
      <c r="R1443" s="718"/>
      <c r="S1443" s="718"/>
      <c r="T1443" s="718"/>
      <c r="U1443" s="718"/>
      <c r="V1443" s="718"/>
      <c r="W1443" s="718"/>
      <c r="X1443" s="718"/>
      <c r="Y1443" s="718"/>
      <c r="Z1443" s="718"/>
      <c r="AA1443" s="718"/>
      <c r="AB1443" s="718"/>
      <c r="AC1443" s="378">
        <f t="shared" si="624"/>
        <v>0</v>
      </c>
      <c r="AD1443" s="273"/>
      <c r="AE1443" s="192"/>
      <c r="AF1443" s="194"/>
      <c r="AG1443" s="194"/>
      <c r="AH1443" s="194"/>
      <c r="AI1443" s="194"/>
    </row>
    <row r="1444">
      <c r="A1444" s="391"/>
      <c r="B1444" s="893"/>
      <c r="C1444" s="196">
        <v>20.0</v>
      </c>
      <c r="D1444" s="925" t="s">
        <v>1445</v>
      </c>
      <c r="E1444" s="198" t="s">
        <v>186</v>
      </c>
      <c r="F1444" s="198" t="s">
        <v>103</v>
      </c>
      <c r="G1444" s="198" t="s">
        <v>86</v>
      </c>
      <c r="H1444" s="198" t="s">
        <v>86</v>
      </c>
      <c r="I1444" s="198" t="s">
        <v>253</v>
      </c>
      <c r="J1444" s="198" t="s">
        <v>254</v>
      </c>
      <c r="K1444" s="606" t="s">
        <v>1387</v>
      </c>
      <c r="L1444" s="895"/>
      <c r="M1444" s="240"/>
      <c r="N1444" s="388"/>
      <c r="O1444" s="388"/>
      <c r="P1444" s="388"/>
      <c r="Q1444" s="896"/>
      <c r="R1444" s="896"/>
      <c r="S1444" s="896"/>
      <c r="T1444" s="896"/>
      <c r="U1444" s="896"/>
      <c r="V1444" s="896">
        <v>705396.0</v>
      </c>
      <c r="W1444" s="896">
        <v>705396.0</v>
      </c>
      <c r="X1444" s="896">
        <v>705396.0</v>
      </c>
      <c r="Y1444" s="896">
        <v>705396.0</v>
      </c>
      <c r="Z1444" s="896">
        <v>705396.0</v>
      </c>
      <c r="AA1444" s="896">
        <v>705396.0</v>
      </c>
      <c r="AB1444" s="896">
        <v>705396.0</v>
      </c>
      <c r="AC1444" s="897">
        <v>4937772.0</v>
      </c>
      <c r="AD1444" s="273">
        <f>SUM(Q1444:AB1444)-AC1444</f>
        <v>0</v>
      </c>
      <c r="AE1444" s="192"/>
      <c r="AF1444" s="194"/>
      <c r="AG1444" s="194"/>
      <c r="AH1444" s="194"/>
      <c r="AI1444" s="194"/>
    </row>
    <row r="1445" hidden="1">
      <c r="A1445" s="126"/>
      <c r="B1445" s="893"/>
      <c r="C1445" s="206"/>
      <c r="D1445" s="207"/>
      <c r="E1445" s="260"/>
      <c r="F1445" s="207"/>
      <c r="G1445" s="260"/>
      <c r="H1445" s="206"/>
      <c r="I1445" s="206"/>
      <c r="J1445" s="206"/>
      <c r="K1445" s="206" t="s">
        <v>1387</v>
      </c>
      <c r="L1445" s="277"/>
      <c r="M1445" s="244"/>
      <c r="N1445" s="389"/>
      <c r="O1445" s="389"/>
      <c r="P1445" s="389"/>
      <c r="Q1445" s="212"/>
      <c r="R1445" s="212"/>
      <c r="S1445" s="212"/>
      <c r="T1445" s="212"/>
      <c r="U1445" s="212"/>
      <c r="V1445" s="212"/>
      <c r="W1445" s="212"/>
      <c r="X1445" s="212"/>
      <c r="Y1445" s="212"/>
      <c r="Z1445" s="212"/>
      <c r="AA1445" s="212"/>
      <c r="AB1445" s="212"/>
      <c r="AC1445" s="213">
        <f t="shared" ref="AC1445:AC1448" si="625">SUM(Q1445:AB1445)</f>
        <v>0</v>
      </c>
      <c r="AD1445" s="214"/>
      <c r="AE1445" s="241"/>
      <c r="AF1445" s="194"/>
      <c r="AG1445" s="194"/>
      <c r="AH1445" s="194"/>
      <c r="AI1445" s="194"/>
    </row>
    <row r="1446" hidden="1">
      <c r="A1446" s="391"/>
      <c r="B1446" s="893"/>
      <c r="C1446" s="222"/>
      <c r="D1446" s="250" t="s">
        <v>1446</v>
      </c>
      <c r="E1446" s="233"/>
      <c r="F1446" s="224"/>
      <c r="G1446" s="233"/>
      <c r="H1446" s="222"/>
      <c r="I1446" s="222"/>
      <c r="J1446" s="222"/>
      <c r="K1446" s="222" t="s">
        <v>1387</v>
      </c>
      <c r="L1446" s="225"/>
      <c r="M1446" s="236"/>
      <c r="N1446" s="285"/>
      <c r="O1446" s="285"/>
      <c r="P1446" s="285"/>
      <c r="Q1446" s="230"/>
      <c r="R1446" s="230"/>
      <c r="S1446" s="230"/>
      <c r="T1446" s="230"/>
      <c r="U1446" s="230"/>
      <c r="V1446" s="230"/>
      <c r="W1446" s="230"/>
      <c r="X1446" s="230"/>
      <c r="Y1446" s="230"/>
      <c r="Z1446" s="230"/>
      <c r="AA1446" s="230"/>
      <c r="AB1446" s="230"/>
      <c r="AC1446" s="231">
        <f t="shared" si="625"/>
        <v>0</v>
      </c>
      <c r="AD1446" s="548"/>
      <c r="AE1446" s="241"/>
      <c r="AF1446" s="194"/>
      <c r="AG1446" s="194"/>
      <c r="AH1446" s="194"/>
      <c r="AI1446" s="194"/>
    </row>
    <row r="1447" hidden="1">
      <c r="A1447" s="391"/>
      <c r="B1447" s="893"/>
      <c r="C1447" s="196"/>
      <c r="D1447" s="286" t="s">
        <v>194</v>
      </c>
      <c r="E1447" s="233"/>
      <c r="F1447" s="233"/>
      <c r="G1447" s="233"/>
      <c r="H1447" s="234"/>
      <c r="I1447" s="234"/>
      <c r="J1447" s="222"/>
      <c r="K1447" s="222" t="s">
        <v>1387</v>
      </c>
      <c r="L1447" s="225"/>
      <c r="M1447" s="236"/>
      <c r="N1447" s="285"/>
      <c r="O1447" s="285"/>
      <c r="P1447" s="285"/>
      <c r="Q1447" s="718"/>
      <c r="R1447" s="718"/>
      <c r="S1447" s="718"/>
      <c r="T1447" s="718"/>
      <c r="U1447" s="718"/>
      <c r="V1447" s="718"/>
      <c r="W1447" s="718"/>
      <c r="X1447" s="718"/>
      <c r="Y1447" s="718"/>
      <c r="Z1447" s="718"/>
      <c r="AA1447" s="718"/>
      <c r="AB1447" s="718"/>
      <c r="AC1447" s="378">
        <f t="shared" si="625"/>
        <v>0</v>
      </c>
      <c r="AD1447" s="273"/>
      <c r="AE1447" s="192"/>
      <c r="AF1447" s="194"/>
      <c r="AG1447" s="194"/>
      <c r="AH1447" s="194"/>
      <c r="AI1447" s="194"/>
    </row>
    <row r="1448" hidden="1">
      <c r="A1448" s="391"/>
      <c r="B1448" s="893"/>
      <c r="C1448" s="196"/>
      <c r="D1448" s="286" t="s">
        <v>1447</v>
      </c>
      <c r="E1448" s="233"/>
      <c r="F1448" s="233"/>
      <c r="G1448" s="233"/>
      <c r="H1448" s="234"/>
      <c r="I1448" s="234"/>
      <c r="J1448" s="222"/>
      <c r="K1448" s="222" t="s">
        <v>1387</v>
      </c>
      <c r="L1448" s="225"/>
      <c r="M1448" s="236"/>
      <c r="N1448" s="285"/>
      <c r="O1448" s="285"/>
      <c r="P1448" s="285"/>
      <c r="Q1448" s="718"/>
      <c r="R1448" s="718"/>
      <c r="S1448" s="718"/>
      <c r="T1448" s="718"/>
      <c r="U1448" s="718"/>
      <c r="V1448" s="718"/>
      <c r="W1448" s="718"/>
      <c r="X1448" s="718"/>
      <c r="Y1448" s="718"/>
      <c r="Z1448" s="718"/>
      <c r="AA1448" s="718"/>
      <c r="AB1448" s="718"/>
      <c r="AC1448" s="378">
        <f t="shared" si="625"/>
        <v>0</v>
      </c>
      <c r="AD1448" s="273"/>
      <c r="AE1448" s="192"/>
      <c r="AF1448" s="194"/>
      <c r="AG1448" s="194"/>
      <c r="AH1448" s="194"/>
      <c r="AI1448" s="194"/>
    </row>
    <row r="1449">
      <c r="A1449" s="391"/>
      <c r="B1449" s="893"/>
      <c r="C1449" s="196">
        <v>21.0</v>
      </c>
      <c r="D1449" s="925" t="s">
        <v>1448</v>
      </c>
      <c r="E1449" s="198" t="s">
        <v>186</v>
      </c>
      <c r="F1449" s="198" t="s">
        <v>103</v>
      </c>
      <c r="G1449" s="198" t="s">
        <v>86</v>
      </c>
      <c r="H1449" s="198" t="s">
        <v>86</v>
      </c>
      <c r="I1449" s="198" t="s">
        <v>253</v>
      </c>
      <c r="J1449" s="198" t="s">
        <v>254</v>
      </c>
      <c r="K1449" s="606" t="s">
        <v>1387</v>
      </c>
      <c r="L1449" s="895"/>
      <c r="M1449" s="240"/>
      <c r="N1449" s="388"/>
      <c r="O1449" s="388"/>
      <c r="P1449" s="388"/>
      <c r="Q1449" s="896"/>
      <c r="R1449" s="896"/>
      <c r="S1449" s="896"/>
      <c r="T1449" s="896">
        <v>994612.0</v>
      </c>
      <c r="U1449" s="896">
        <v>994612.0</v>
      </c>
      <c r="V1449" s="896">
        <v>994612.0</v>
      </c>
      <c r="W1449" s="896">
        <v>994612.0</v>
      </c>
      <c r="X1449" s="896">
        <v>994612.0</v>
      </c>
      <c r="Y1449" s="896">
        <v>994612.0</v>
      </c>
      <c r="Z1449" s="896">
        <v>994612.0</v>
      </c>
      <c r="AA1449" s="896">
        <v>994612.0</v>
      </c>
      <c r="AB1449" s="896">
        <v>994612.0</v>
      </c>
      <c r="AC1449" s="897">
        <v>8951508.0</v>
      </c>
      <c r="AD1449" s="273">
        <f>SUM(Q1449:AB1449)-AC1449</f>
        <v>0</v>
      </c>
      <c r="AE1449" s="192"/>
      <c r="AF1449" s="194"/>
      <c r="AG1449" s="194"/>
      <c r="AH1449" s="194"/>
      <c r="AI1449" s="194"/>
    </row>
    <row r="1450" hidden="1">
      <c r="A1450" s="126"/>
      <c r="B1450" s="893"/>
      <c r="C1450" s="206"/>
      <c r="D1450" s="207"/>
      <c r="E1450" s="260"/>
      <c r="F1450" s="207"/>
      <c r="G1450" s="260"/>
      <c r="H1450" s="206"/>
      <c r="I1450" s="206"/>
      <c r="J1450" s="206"/>
      <c r="K1450" s="206" t="s">
        <v>1387</v>
      </c>
      <c r="L1450" s="277"/>
      <c r="M1450" s="244"/>
      <c r="N1450" s="389"/>
      <c r="O1450" s="389"/>
      <c r="P1450" s="389"/>
      <c r="Q1450" s="212"/>
      <c r="R1450" s="212"/>
      <c r="S1450" s="212"/>
      <c r="T1450" s="212"/>
      <c r="U1450" s="212"/>
      <c r="V1450" s="212"/>
      <c r="W1450" s="212"/>
      <c r="X1450" s="212"/>
      <c r="Y1450" s="212"/>
      <c r="Z1450" s="212"/>
      <c r="AA1450" s="212"/>
      <c r="AB1450" s="212"/>
      <c r="AC1450" s="213">
        <f t="shared" ref="AC1450:AC1453" si="626">SUM(Q1450:AB1450)</f>
        <v>0</v>
      </c>
      <c r="AD1450" s="214"/>
      <c r="AE1450" s="241"/>
      <c r="AF1450" s="194"/>
      <c r="AG1450" s="194"/>
      <c r="AH1450" s="194"/>
      <c r="AI1450" s="194"/>
    </row>
    <row r="1451" hidden="1">
      <c r="A1451" s="391"/>
      <c r="B1451" s="893"/>
      <c r="C1451" s="222"/>
      <c r="D1451" s="250" t="s">
        <v>1449</v>
      </c>
      <c r="E1451" s="233"/>
      <c r="F1451" s="224"/>
      <c r="G1451" s="233"/>
      <c r="H1451" s="222"/>
      <c r="I1451" s="222"/>
      <c r="J1451" s="222"/>
      <c r="K1451" s="222" t="s">
        <v>1387</v>
      </c>
      <c r="L1451" s="225"/>
      <c r="M1451" s="236"/>
      <c r="N1451" s="285"/>
      <c r="O1451" s="285"/>
      <c r="P1451" s="285"/>
      <c r="Q1451" s="230"/>
      <c r="R1451" s="230"/>
      <c r="S1451" s="230"/>
      <c r="T1451" s="230"/>
      <c r="U1451" s="230"/>
      <c r="V1451" s="230"/>
      <c r="W1451" s="230"/>
      <c r="X1451" s="230"/>
      <c r="Y1451" s="230"/>
      <c r="Z1451" s="230"/>
      <c r="AA1451" s="230"/>
      <c r="AB1451" s="230"/>
      <c r="AC1451" s="231">
        <f t="shared" si="626"/>
        <v>0</v>
      </c>
      <c r="AD1451" s="548"/>
      <c r="AE1451" s="241"/>
      <c r="AF1451" s="194"/>
      <c r="AG1451" s="194"/>
      <c r="AH1451" s="194"/>
      <c r="AI1451" s="194"/>
    </row>
    <row r="1452" hidden="1">
      <c r="A1452" s="391"/>
      <c r="B1452" s="893"/>
      <c r="C1452" s="196"/>
      <c r="D1452" s="286" t="s">
        <v>194</v>
      </c>
      <c r="E1452" s="233"/>
      <c r="F1452" s="233"/>
      <c r="G1452" s="233"/>
      <c r="H1452" s="234"/>
      <c r="I1452" s="234"/>
      <c r="J1452" s="222"/>
      <c r="K1452" s="222" t="s">
        <v>1387</v>
      </c>
      <c r="L1452" s="225"/>
      <c r="M1452" s="236"/>
      <c r="N1452" s="285"/>
      <c r="O1452" s="285"/>
      <c r="P1452" s="285"/>
      <c r="Q1452" s="718"/>
      <c r="R1452" s="718"/>
      <c r="S1452" s="718"/>
      <c r="T1452" s="718"/>
      <c r="U1452" s="718"/>
      <c r="V1452" s="718"/>
      <c r="W1452" s="718"/>
      <c r="X1452" s="718"/>
      <c r="Y1452" s="718"/>
      <c r="Z1452" s="718"/>
      <c r="AA1452" s="718"/>
      <c r="AB1452" s="718"/>
      <c r="AC1452" s="378">
        <f t="shared" si="626"/>
        <v>0</v>
      </c>
      <c r="AD1452" s="273"/>
      <c r="AE1452" s="192"/>
      <c r="AF1452" s="194"/>
      <c r="AG1452" s="194"/>
      <c r="AH1452" s="194"/>
      <c r="AI1452" s="194"/>
    </row>
    <row r="1453" hidden="1">
      <c r="A1453" s="391"/>
      <c r="B1453" s="893"/>
      <c r="C1453" s="196"/>
      <c r="D1453" s="286" t="s">
        <v>1450</v>
      </c>
      <c r="E1453" s="233"/>
      <c r="F1453" s="233"/>
      <c r="G1453" s="233"/>
      <c r="H1453" s="234"/>
      <c r="I1453" s="234"/>
      <c r="J1453" s="222"/>
      <c r="K1453" s="222" t="s">
        <v>1387</v>
      </c>
      <c r="L1453" s="225"/>
      <c r="M1453" s="236"/>
      <c r="N1453" s="285"/>
      <c r="O1453" s="285"/>
      <c r="P1453" s="285"/>
      <c r="Q1453" s="718"/>
      <c r="R1453" s="718"/>
      <c r="S1453" s="718"/>
      <c r="T1453" s="718"/>
      <c r="U1453" s="718"/>
      <c r="V1453" s="718"/>
      <c r="W1453" s="718"/>
      <c r="X1453" s="718"/>
      <c r="Y1453" s="718"/>
      <c r="Z1453" s="718"/>
      <c r="AA1453" s="718"/>
      <c r="AB1453" s="718"/>
      <c r="AC1453" s="378">
        <f t="shared" si="626"/>
        <v>0</v>
      </c>
      <c r="AD1453" s="273"/>
      <c r="AE1453" s="192"/>
      <c r="AF1453" s="194"/>
      <c r="AG1453" s="194"/>
      <c r="AH1453" s="194"/>
      <c r="AI1453" s="194"/>
    </row>
    <row r="1454">
      <c r="A1454" s="391"/>
      <c r="B1454" s="893"/>
      <c r="C1454" s="196">
        <v>22.0</v>
      </c>
      <c r="D1454" s="925" t="s">
        <v>1451</v>
      </c>
      <c r="E1454" s="198" t="s">
        <v>186</v>
      </c>
      <c r="F1454" s="198" t="s">
        <v>103</v>
      </c>
      <c r="G1454" s="198" t="s">
        <v>86</v>
      </c>
      <c r="H1454" s="198" t="s">
        <v>86</v>
      </c>
      <c r="I1454" s="198" t="s">
        <v>253</v>
      </c>
      <c r="J1454" s="198" t="s">
        <v>254</v>
      </c>
      <c r="K1454" s="606" t="s">
        <v>1387</v>
      </c>
      <c r="L1454" s="895"/>
      <c r="M1454" s="240"/>
      <c r="N1454" s="388"/>
      <c r="O1454" s="388"/>
      <c r="P1454" s="388"/>
      <c r="Q1454" s="896"/>
      <c r="R1454" s="896"/>
      <c r="S1454" s="896"/>
      <c r="T1454" s="896">
        <v>3794544.0</v>
      </c>
      <c r="U1454" s="896">
        <v>3794544.0</v>
      </c>
      <c r="V1454" s="896">
        <v>3794544.0</v>
      </c>
      <c r="W1454" s="896">
        <v>3794544.0</v>
      </c>
      <c r="X1454" s="896">
        <v>3794544.0</v>
      </c>
      <c r="Y1454" s="896">
        <v>3794544.0</v>
      </c>
      <c r="Z1454" s="896">
        <v>3794544.0</v>
      </c>
      <c r="AA1454" s="896">
        <v>3794544.0</v>
      </c>
      <c r="AB1454" s="896">
        <v>3794544.0</v>
      </c>
      <c r="AC1454" s="897">
        <v>3.4150896E7</v>
      </c>
      <c r="AD1454" s="273">
        <f>SUM(Q1454:AB1454)-AC1454</f>
        <v>0</v>
      </c>
      <c r="AE1454" s="192"/>
      <c r="AF1454" s="194"/>
      <c r="AG1454" s="194"/>
      <c r="AH1454" s="194"/>
      <c r="AI1454" s="194"/>
    </row>
    <row r="1455" hidden="1">
      <c r="A1455" s="126"/>
      <c r="B1455" s="893"/>
      <c r="C1455" s="206"/>
      <c r="D1455" s="207"/>
      <c r="E1455" s="260"/>
      <c r="F1455" s="207"/>
      <c r="G1455" s="260"/>
      <c r="H1455" s="206"/>
      <c r="I1455" s="206"/>
      <c r="J1455" s="206"/>
      <c r="K1455" s="206" t="s">
        <v>1387</v>
      </c>
      <c r="L1455" s="277"/>
      <c r="M1455" s="244"/>
      <c r="N1455" s="389"/>
      <c r="O1455" s="389"/>
      <c r="P1455" s="389"/>
      <c r="Q1455" s="212"/>
      <c r="R1455" s="212"/>
      <c r="S1455" s="212"/>
      <c r="T1455" s="212"/>
      <c r="U1455" s="212"/>
      <c r="V1455" s="212"/>
      <c r="W1455" s="212"/>
      <c r="X1455" s="212"/>
      <c r="Y1455" s="212"/>
      <c r="Z1455" s="212"/>
      <c r="AA1455" s="212"/>
      <c r="AB1455" s="212"/>
      <c r="AC1455" s="213">
        <f t="shared" ref="AC1455:AC1458" si="627">SUM(Q1455:AB1455)</f>
        <v>0</v>
      </c>
      <c r="AD1455" s="214"/>
      <c r="AE1455" s="241"/>
      <c r="AF1455" s="194"/>
      <c r="AG1455" s="194"/>
      <c r="AH1455" s="194"/>
      <c r="AI1455" s="194"/>
    </row>
    <row r="1456" hidden="1">
      <c r="A1456" s="391"/>
      <c r="B1456" s="893"/>
      <c r="C1456" s="222"/>
      <c r="D1456" s="250" t="s">
        <v>1452</v>
      </c>
      <c r="E1456" s="233"/>
      <c r="F1456" s="224"/>
      <c r="G1456" s="233"/>
      <c r="H1456" s="222"/>
      <c r="I1456" s="222"/>
      <c r="J1456" s="222"/>
      <c r="K1456" s="222" t="s">
        <v>1387</v>
      </c>
      <c r="L1456" s="225"/>
      <c r="M1456" s="236"/>
      <c r="N1456" s="285"/>
      <c r="O1456" s="285"/>
      <c r="P1456" s="285"/>
      <c r="Q1456" s="230"/>
      <c r="R1456" s="230"/>
      <c r="S1456" s="230"/>
      <c r="T1456" s="230"/>
      <c r="U1456" s="230"/>
      <c r="V1456" s="230"/>
      <c r="W1456" s="230"/>
      <c r="X1456" s="230"/>
      <c r="Y1456" s="230"/>
      <c r="Z1456" s="230"/>
      <c r="AA1456" s="230"/>
      <c r="AB1456" s="230"/>
      <c r="AC1456" s="231">
        <f t="shared" si="627"/>
        <v>0</v>
      </c>
      <c r="AD1456" s="548"/>
      <c r="AE1456" s="241"/>
      <c r="AF1456" s="194"/>
      <c r="AG1456" s="194"/>
      <c r="AH1456" s="194"/>
      <c r="AI1456" s="194"/>
    </row>
    <row r="1457" hidden="1">
      <c r="A1457" s="391"/>
      <c r="B1457" s="893"/>
      <c r="C1457" s="196"/>
      <c r="D1457" s="286" t="s">
        <v>194</v>
      </c>
      <c r="E1457" s="233"/>
      <c r="F1457" s="233"/>
      <c r="G1457" s="233"/>
      <c r="H1457" s="234"/>
      <c r="I1457" s="234"/>
      <c r="J1457" s="222"/>
      <c r="K1457" s="222" t="s">
        <v>1387</v>
      </c>
      <c r="L1457" s="225"/>
      <c r="M1457" s="236"/>
      <c r="N1457" s="285"/>
      <c r="O1457" s="285"/>
      <c r="P1457" s="285"/>
      <c r="Q1457" s="718"/>
      <c r="R1457" s="718"/>
      <c r="S1457" s="718"/>
      <c r="T1457" s="718"/>
      <c r="U1457" s="718"/>
      <c r="V1457" s="718"/>
      <c r="W1457" s="718"/>
      <c r="X1457" s="718"/>
      <c r="Y1457" s="718"/>
      <c r="Z1457" s="718"/>
      <c r="AA1457" s="718"/>
      <c r="AB1457" s="718"/>
      <c r="AC1457" s="378">
        <f t="shared" si="627"/>
        <v>0</v>
      </c>
      <c r="AD1457" s="273"/>
      <c r="AE1457" s="192"/>
      <c r="AF1457" s="194"/>
      <c r="AG1457" s="194"/>
      <c r="AH1457" s="194"/>
      <c r="AI1457" s="194"/>
    </row>
    <row r="1458" hidden="1">
      <c r="A1458" s="391"/>
      <c r="B1458" s="893"/>
      <c r="C1458" s="196"/>
      <c r="D1458" s="286" t="s">
        <v>1453</v>
      </c>
      <c r="E1458" s="233"/>
      <c r="F1458" s="233"/>
      <c r="G1458" s="233"/>
      <c r="H1458" s="234"/>
      <c r="I1458" s="234"/>
      <c r="J1458" s="222"/>
      <c r="K1458" s="222" t="s">
        <v>1387</v>
      </c>
      <c r="L1458" s="225"/>
      <c r="M1458" s="236"/>
      <c r="N1458" s="285"/>
      <c r="O1458" s="285"/>
      <c r="P1458" s="285"/>
      <c r="Q1458" s="718"/>
      <c r="R1458" s="718"/>
      <c r="S1458" s="718"/>
      <c r="T1458" s="718"/>
      <c r="U1458" s="718"/>
      <c r="V1458" s="718"/>
      <c r="W1458" s="718"/>
      <c r="X1458" s="718"/>
      <c r="Y1458" s="718"/>
      <c r="Z1458" s="718"/>
      <c r="AA1458" s="718"/>
      <c r="AB1458" s="718"/>
      <c r="AC1458" s="378">
        <f t="shared" si="627"/>
        <v>0</v>
      </c>
      <c r="AD1458" s="273"/>
      <c r="AE1458" s="192"/>
      <c r="AF1458" s="194"/>
      <c r="AG1458" s="194"/>
      <c r="AH1458" s="194"/>
      <c r="AI1458" s="194"/>
    </row>
    <row r="1459">
      <c r="A1459" s="391"/>
      <c r="B1459" s="893"/>
      <c r="C1459" s="196">
        <v>23.0</v>
      </c>
      <c r="D1459" s="925" t="s">
        <v>1454</v>
      </c>
      <c r="E1459" s="198" t="s">
        <v>186</v>
      </c>
      <c r="F1459" s="198" t="s">
        <v>103</v>
      </c>
      <c r="G1459" s="198" t="s">
        <v>86</v>
      </c>
      <c r="H1459" s="198" t="s">
        <v>86</v>
      </c>
      <c r="I1459" s="198" t="s">
        <v>253</v>
      </c>
      <c r="J1459" s="198" t="s">
        <v>254</v>
      </c>
      <c r="K1459" s="606" t="s">
        <v>1387</v>
      </c>
      <c r="L1459" s="895"/>
      <c r="M1459" s="240"/>
      <c r="N1459" s="388"/>
      <c r="O1459" s="388"/>
      <c r="P1459" s="388"/>
      <c r="Q1459" s="896"/>
      <c r="R1459" s="896"/>
      <c r="S1459" s="896"/>
      <c r="T1459" s="896"/>
      <c r="U1459" s="896"/>
      <c r="V1459" s="896"/>
      <c r="W1459" s="896">
        <v>496422.0</v>
      </c>
      <c r="X1459" s="896">
        <v>496422.0</v>
      </c>
      <c r="Y1459" s="896">
        <v>496422.0</v>
      </c>
      <c r="Z1459" s="896">
        <v>496422.0</v>
      </c>
      <c r="AA1459" s="896">
        <v>496422.0</v>
      </c>
      <c r="AB1459" s="896">
        <v>496422.0</v>
      </c>
      <c r="AC1459" s="897">
        <v>2978532.0</v>
      </c>
      <c r="AD1459" s="273">
        <f>SUM(Q1459:AB1459)-AC1459</f>
        <v>0</v>
      </c>
      <c r="AE1459" s="192"/>
      <c r="AF1459" s="194"/>
      <c r="AG1459" s="194"/>
      <c r="AH1459" s="194"/>
      <c r="AI1459" s="194"/>
    </row>
    <row r="1460" hidden="1">
      <c r="A1460" s="126"/>
      <c r="B1460" s="893"/>
      <c r="C1460" s="206"/>
      <c r="D1460" s="207"/>
      <c r="E1460" s="260"/>
      <c r="F1460" s="207"/>
      <c r="G1460" s="260"/>
      <c r="H1460" s="206"/>
      <c r="I1460" s="206"/>
      <c r="J1460" s="206"/>
      <c r="K1460" s="206" t="s">
        <v>1387</v>
      </c>
      <c r="L1460" s="277"/>
      <c r="M1460" s="244"/>
      <c r="N1460" s="389"/>
      <c r="O1460" s="389"/>
      <c r="P1460" s="389"/>
      <c r="Q1460" s="212"/>
      <c r="R1460" s="212"/>
      <c r="S1460" s="212"/>
      <c r="T1460" s="212"/>
      <c r="U1460" s="212"/>
      <c r="V1460" s="212"/>
      <c r="W1460" s="212"/>
      <c r="X1460" s="212"/>
      <c r="Y1460" s="212"/>
      <c r="Z1460" s="212"/>
      <c r="AA1460" s="212"/>
      <c r="AB1460" s="212"/>
      <c r="AC1460" s="213">
        <f t="shared" ref="AC1460:AC1463" si="628">SUM(Q1460:AB1460)</f>
        <v>0</v>
      </c>
      <c r="AD1460" s="214"/>
      <c r="AE1460" s="241"/>
      <c r="AF1460" s="194"/>
      <c r="AG1460" s="194"/>
      <c r="AH1460" s="194"/>
      <c r="AI1460" s="194"/>
    </row>
    <row r="1461" hidden="1">
      <c r="A1461" s="391"/>
      <c r="B1461" s="893"/>
      <c r="C1461" s="222"/>
      <c r="D1461" s="250" t="s">
        <v>1455</v>
      </c>
      <c r="E1461" s="233"/>
      <c r="F1461" s="224"/>
      <c r="G1461" s="233"/>
      <c r="H1461" s="222"/>
      <c r="I1461" s="222"/>
      <c r="J1461" s="222"/>
      <c r="K1461" s="222" t="s">
        <v>1387</v>
      </c>
      <c r="L1461" s="225"/>
      <c r="M1461" s="236"/>
      <c r="N1461" s="285"/>
      <c r="O1461" s="285"/>
      <c r="P1461" s="285"/>
      <c r="Q1461" s="230"/>
      <c r="R1461" s="230"/>
      <c r="S1461" s="230"/>
      <c r="T1461" s="230"/>
      <c r="U1461" s="230"/>
      <c r="V1461" s="230"/>
      <c r="W1461" s="230"/>
      <c r="X1461" s="230"/>
      <c r="Y1461" s="230"/>
      <c r="Z1461" s="230"/>
      <c r="AA1461" s="230"/>
      <c r="AB1461" s="230"/>
      <c r="AC1461" s="231">
        <f t="shared" si="628"/>
        <v>0</v>
      </c>
      <c r="AD1461" s="548"/>
      <c r="AE1461" s="241"/>
      <c r="AF1461" s="194"/>
      <c r="AG1461" s="194"/>
      <c r="AH1461" s="194"/>
      <c r="AI1461" s="194"/>
    </row>
    <row r="1462" hidden="1">
      <c r="A1462" s="391"/>
      <c r="B1462" s="893"/>
      <c r="C1462" s="196"/>
      <c r="D1462" s="286" t="s">
        <v>194</v>
      </c>
      <c r="E1462" s="233"/>
      <c r="F1462" s="233"/>
      <c r="G1462" s="233"/>
      <c r="H1462" s="234"/>
      <c r="I1462" s="234"/>
      <c r="J1462" s="222"/>
      <c r="K1462" s="222" t="s">
        <v>1387</v>
      </c>
      <c r="L1462" s="225"/>
      <c r="M1462" s="236"/>
      <c r="N1462" s="285"/>
      <c r="O1462" s="285"/>
      <c r="P1462" s="285"/>
      <c r="Q1462" s="718"/>
      <c r="R1462" s="718"/>
      <c r="S1462" s="718"/>
      <c r="T1462" s="718"/>
      <c r="U1462" s="718"/>
      <c r="V1462" s="718"/>
      <c r="W1462" s="718"/>
      <c r="X1462" s="718"/>
      <c r="Y1462" s="718"/>
      <c r="Z1462" s="718"/>
      <c r="AA1462" s="718"/>
      <c r="AB1462" s="718"/>
      <c r="AC1462" s="378">
        <f t="shared" si="628"/>
        <v>0</v>
      </c>
      <c r="AD1462" s="273"/>
      <c r="AE1462" s="192"/>
      <c r="AF1462" s="194"/>
      <c r="AG1462" s="194"/>
      <c r="AH1462" s="194"/>
      <c r="AI1462" s="194"/>
    </row>
    <row r="1463" hidden="1">
      <c r="A1463" s="391"/>
      <c r="B1463" s="893"/>
      <c r="C1463" s="196"/>
      <c r="D1463" s="286" t="s">
        <v>1456</v>
      </c>
      <c r="E1463" s="233"/>
      <c r="F1463" s="233"/>
      <c r="G1463" s="233"/>
      <c r="H1463" s="234"/>
      <c r="I1463" s="234"/>
      <c r="J1463" s="222"/>
      <c r="K1463" s="222" t="s">
        <v>1387</v>
      </c>
      <c r="L1463" s="225"/>
      <c r="M1463" s="236"/>
      <c r="N1463" s="285"/>
      <c r="O1463" s="285"/>
      <c r="P1463" s="285"/>
      <c r="Q1463" s="718"/>
      <c r="R1463" s="718"/>
      <c r="S1463" s="718"/>
      <c r="T1463" s="718"/>
      <c r="U1463" s="718"/>
      <c r="V1463" s="718"/>
      <c r="W1463" s="718"/>
      <c r="X1463" s="718"/>
      <c r="Y1463" s="718"/>
      <c r="Z1463" s="718"/>
      <c r="AA1463" s="718"/>
      <c r="AB1463" s="718"/>
      <c r="AC1463" s="378">
        <f t="shared" si="628"/>
        <v>0</v>
      </c>
      <c r="AD1463" s="273"/>
      <c r="AE1463" s="192"/>
      <c r="AF1463" s="194"/>
      <c r="AG1463" s="194"/>
      <c r="AH1463" s="194"/>
      <c r="AI1463" s="194"/>
    </row>
    <row r="1464">
      <c r="A1464" s="391"/>
      <c r="B1464" s="893"/>
      <c r="C1464" s="196">
        <v>24.0</v>
      </c>
      <c r="D1464" s="925" t="s">
        <v>1457</v>
      </c>
      <c r="E1464" s="198" t="s">
        <v>186</v>
      </c>
      <c r="F1464" s="198" t="s">
        <v>103</v>
      </c>
      <c r="G1464" s="198" t="s">
        <v>86</v>
      </c>
      <c r="H1464" s="198" t="s">
        <v>86</v>
      </c>
      <c r="I1464" s="198" t="s">
        <v>253</v>
      </c>
      <c r="J1464" s="198" t="s">
        <v>254</v>
      </c>
      <c r="K1464" s="606" t="s">
        <v>1387</v>
      </c>
      <c r="L1464" s="895"/>
      <c r="M1464" s="240"/>
      <c r="N1464" s="388"/>
      <c r="O1464" s="388"/>
      <c r="P1464" s="388"/>
      <c r="Q1464" s="896"/>
      <c r="R1464" s="896"/>
      <c r="S1464" s="896"/>
      <c r="T1464" s="896"/>
      <c r="U1464" s="896"/>
      <c r="V1464" s="896"/>
      <c r="W1464" s="896"/>
      <c r="X1464" s="896">
        <v>222534.0</v>
      </c>
      <c r="Y1464" s="896">
        <v>222534.0</v>
      </c>
      <c r="Z1464" s="896">
        <v>222534.0</v>
      </c>
      <c r="AA1464" s="896">
        <v>222534.0</v>
      </c>
      <c r="AB1464" s="896">
        <v>222534.0</v>
      </c>
      <c r="AC1464" s="897">
        <v>1112670.0</v>
      </c>
      <c r="AD1464" s="273">
        <f>SUM(Q1464:AB1464)-AC1464</f>
        <v>0</v>
      </c>
      <c r="AE1464" s="192"/>
      <c r="AF1464" s="194"/>
      <c r="AG1464" s="194"/>
      <c r="AH1464" s="194"/>
      <c r="AI1464" s="194"/>
    </row>
    <row r="1465" hidden="1">
      <c r="A1465" s="126"/>
      <c r="B1465" s="893"/>
      <c r="C1465" s="206"/>
      <c r="D1465" s="207"/>
      <c r="E1465" s="260"/>
      <c r="F1465" s="207"/>
      <c r="G1465" s="260"/>
      <c r="H1465" s="206"/>
      <c r="I1465" s="206"/>
      <c r="J1465" s="206"/>
      <c r="K1465" s="206" t="s">
        <v>1387</v>
      </c>
      <c r="L1465" s="277"/>
      <c r="M1465" s="244"/>
      <c r="N1465" s="389"/>
      <c r="O1465" s="389"/>
      <c r="P1465" s="389"/>
      <c r="Q1465" s="212"/>
      <c r="R1465" s="212"/>
      <c r="S1465" s="212"/>
      <c r="T1465" s="212"/>
      <c r="U1465" s="212"/>
      <c r="V1465" s="212"/>
      <c r="W1465" s="212"/>
      <c r="X1465" s="212"/>
      <c r="Y1465" s="212"/>
      <c r="Z1465" s="212"/>
      <c r="AA1465" s="212"/>
      <c r="AB1465" s="212"/>
      <c r="AC1465" s="213">
        <f t="shared" ref="AC1465:AC1468" si="629">SUM(Q1465:AB1465)</f>
        <v>0</v>
      </c>
      <c r="AD1465" s="214"/>
      <c r="AE1465" s="241"/>
      <c r="AF1465" s="194"/>
      <c r="AG1465" s="194"/>
      <c r="AH1465" s="194"/>
      <c r="AI1465" s="194"/>
    </row>
    <row r="1466" hidden="1">
      <c r="A1466" s="391"/>
      <c r="B1466" s="893"/>
      <c r="C1466" s="222"/>
      <c r="D1466" s="250" t="s">
        <v>1458</v>
      </c>
      <c r="E1466" s="233"/>
      <c r="F1466" s="224"/>
      <c r="G1466" s="233"/>
      <c r="H1466" s="222"/>
      <c r="I1466" s="222"/>
      <c r="J1466" s="222"/>
      <c r="K1466" s="222" t="s">
        <v>1387</v>
      </c>
      <c r="L1466" s="225"/>
      <c r="M1466" s="236"/>
      <c r="N1466" s="285"/>
      <c r="O1466" s="285"/>
      <c r="P1466" s="285"/>
      <c r="Q1466" s="230"/>
      <c r="R1466" s="230"/>
      <c r="S1466" s="230"/>
      <c r="T1466" s="230"/>
      <c r="U1466" s="230"/>
      <c r="V1466" s="230"/>
      <c r="W1466" s="230"/>
      <c r="X1466" s="230"/>
      <c r="Y1466" s="230"/>
      <c r="Z1466" s="230"/>
      <c r="AA1466" s="230"/>
      <c r="AB1466" s="230"/>
      <c r="AC1466" s="231">
        <f t="shared" si="629"/>
        <v>0</v>
      </c>
      <c r="AD1466" s="548"/>
      <c r="AE1466" s="241"/>
      <c r="AF1466" s="194"/>
      <c r="AG1466" s="194"/>
      <c r="AH1466" s="194"/>
      <c r="AI1466" s="194"/>
    </row>
    <row r="1467" hidden="1">
      <c r="A1467" s="391"/>
      <c r="B1467" s="893"/>
      <c r="C1467" s="196"/>
      <c r="D1467" s="286" t="s">
        <v>194</v>
      </c>
      <c r="E1467" s="233"/>
      <c r="F1467" s="233"/>
      <c r="G1467" s="233"/>
      <c r="H1467" s="234"/>
      <c r="I1467" s="234"/>
      <c r="J1467" s="222"/>
      <c r="K1467" s="222" t="s">
        <v>1387</v>
      </c>
      <c r="L1467" s="225"/>
      <c r="M1467" s="236"/>
      <c r="N1467" s="285"/>
      <c r="O1467" s="285"/>
      <c r="P1467" s="285"/>
      <c r="Q1467" s="718"/>
      <c r="R1467" s="718"/>
      <c r="S1467" s="718"/>
      <c r="T1467" s="718"/>
      <c r="U1467" s="718"/>
      <c r="V1467" s="718"/>
      <c r="W1467" s="718"/>
      <c r="X1467" s="718"/>
      <c r="Y1467" s="718"/>
      <c r="Z1467" s="718"/>
      <c r="AA1467" s="718"/>
      <c r="AB1467" s="718"/>
      <c r="AC1467" s="378">
        <f t="shared" si="629"/>
        <v>0</v>
      </c>
      <c r="AD1467" s="273"/>
      <c r="AE1467" s="192"/>
      <c r="AF1467" s="194"/>
      <c r="AG1467" s="194"/>
      <c r="AH1467" s="194"/>
      <c r="AI1467" s="194"/>
    </row>
    <row r="1468" hidden="1">
      <c r="A1468" s="391"/>
      <c r="B1468" s="893"/>
      <c r="C1468" s="196"/>
      <c r="D1468" s="286" t="s">
        <v>1459</v>
      </c>
      <c r="E1468" s="233"/>
      <c r="F1468" s="233"/>
      <c r="G1468" s="233"/>
      <c r="H1468" s="234"/>
      <c r="I1468" s="234"/>
      <c r="J1468" s="222"/>
      <c r="K1468" s="222" t="s">
        <v>1387</v>
      </c>
      <c r="L1468" s="225"/>
      <c r="M1468" s="236"/>
      <c r="N1468" s="285"/>
      <c r="O1468" s="285"/>
      <c r="P1468" s="285"/>
      <c r="Q1468" s="718"/>
      <c r="R1468" s="718"/>
      <c r="S1468" s="718"/>
      <c r="T1468" s="718"/>
      <c r="U1468" s="718"/>
      <c r="V1468" s="718"/>
      <c r="W1468" s="718"/>
      <c r="X1468" s="718"/>
      <c r="Y1468" s="718"/>
      <c r="Z1468" s="718"/>
      <c r="AA1468" s="718"/>
      <c r="AB1468" s="718"/>
      <c r="AC1468" s="378">
        <f t="shared" si="629"/>
        <v>0</v>
      </c>
      <c r="AD1468" s="273"/>
      <c r="AE1468" s="192"/>
      <c r="AF1468" s="194"/>
      <c r="AG1468" s="194"/>
      <c r="AH1468" s="194"/>
      <c r="AI1468" s="194"/>
    </row>
    <row r="1469">
      <c r="A1469" s="391"/>
      <c r="B1469" s="893"/>
      <c r="C1469" s="196">
        <v>25.0</v>
      </c>
      <c r="D1469" s="925" t="s">
        <v>1460</v>
      </c>
      <c r="E1469" s="198" t="s">
        <v>186</v>
      </c>
      <c r="F1469" s="198" t="s">
        <v>103</v>
      </c>
      <c r="G1469" s="198" t="s">
        <v>86</v>
      </c>
      <c r="H1469" s="198" t="s">
        <v>86</v>
      </c>
      <c r="I1469" s="198" t="s">
        <v>253</v>
      </c>
      <c r="J1469" s="198" t="s">
        <v>254</v>
      </c>
      <c r="K1469" s="606" t="s">
        <v>1387</v>
      </c>
      <c r="L1469" s="895"/>
      <c r="M1469" s="240"/>
      <c r="N1469" s="388"/>
      <c r="O1469" s="388"/>
      <c r="P1469" s="388"/>
      <c r="Q1469" s="896"/>
      <c r="R1469" s="896"/>
      <c r="S1469" s="896"/>
      <c r="T1469" s="896"/>
      <c r="U1469" s="896">
        <v>1495926.0</v>
      </c>
      <c r="V1469" s="896">
        <v>1495926.0</v>
      </c>
      <c r="W1469" s="896">
        <v>1495926.0</v>
      </c>
      <c r="X1469" s="896">
        <v>1495926.0</v>
      </c>
      <c r="Y1469" s="896">
        <v>1495926.0</v>
      </c>
      <c r="Z1469" s="896">
        <v>1495926.0</v>
      </c>
      <c r="AA1469" s="896">
        <v>1495926.0</v>
      </c>
      <c r="AB1469" s="896">
        <v>1495926.0</v>
      </c>
      <c r="AC1469" s="897">
        <v>1.1967408E7</v>
      </c>
      <c r="AD1469" s="273">
        <f>SUM(Q1469:AB1469)-AC1469</f>
        <v>0</v>
      </c>
      <c r="AE1469" s="192"/>
      <c r="AF1469" s="194"/>
      <c r="AG1469" s="194"/>
      <c r="AH1469" s="194"/>
      <c r="AI1469" s="194"/>
    </row>
    <row r="1470" hidden="1">
      <c r="A1470" s="126"/>
      <c r="B1470" s="893"/>
      <c r="C1470" s="206"/>
      <c r="D1470" s="207"/>
      <c r="E1470" s="260"/>
      <c r="F1470" s="207"/>
      <c r="G1470" s="260"/>
      <c r="H1470" s="206"/>
      <c r="I1470" s="206"/>
      <c r="J1470" s="206"/>
      <c r="K1470" s="206" t="s">
        <v>1387</v>
      </c>
      <c r="L1470" s="277"/>
      <c r="M1470" s="244"/>
      <c r="N1470" s="389"/>
      <c r="O1470" s="389"/>
      <c r="P1470" s="389"/>
      <c r="Q1470" s="212"/>
      <c r="R1470" s="212"/>
      <c r="S1470" s="212"/>
      <c r="T1470" s="212"/>
      <c r="U1470" s="212"/>
      <c r="V1470" s="212"/>
      <c r="W1470" s="212"/>
      <c r="X1470" s="212"/>
      <c r="Y1470" s="212"/>
      <c r="Z1470" s="212"/>
      <c r="AA1470" s="212"/>
      <c r="AB1470" s="212"/>
      <c r="AC1470" s="213">
        <f t="shared" ref="AC1470:AC1473" si="630">SUM(Q1470:AB1470)</f>
        <v>0</v>
      </c>
      <c r="AD1470" s="214"/>
      <c r="AE1470" s="241"/>
      <c r="AF1470" s="194"/>
      <c r="AG1470" s="194"/>
      <c r="AH1470" s="194"/>
      <c r="AI1470" s="194"/>
    </row>
    <row r="1471" hidden="1">
      <c r="A1471" s="391"/>
      <c r="B1471" s="893"/>
      <c r="C1471" s="222"/>
      <c r="D1471" s="250" t="s">
        <v>1461</v>
      </c>
      <c r="E1471" s="233"/>
      <c r="F1471" s="224"/>
      <c r="G1471" s="233"/>
      <c r="H1471" s="222"/>
      <c r="I1471" s="222"/>
      <c r="J1471" s="222"/>
      <c r="K1471" s="222" t="s">
        <v>1387</v>
      </c>
      <c r="L1471" s="225"/>
      <c r="M1471" s="236"/>
      <c r="N1471" s="285"/>
      <c r="O1471" s="285"/>
      <c r="P1471" s="285"/>
      <c r="Q1471" s="230"/>
      <c r="R1471" s="230"/>
      <c r="S1471" s="230"/>
      <c r="T1471" s="230"/>
      <c r="U1471" s="230"/>
      <c r="V1471" s="230"/>
      <c r="W1471" s="230"/>
      <c r="X1471" s="230"/>
      <c r="Y1471" s="230"/>
      <c r="Z1471" s="230"/>
      <c r="AA1471" s="230"/>
      <c r="AB1471" s="230"/>
      <c r="AC1471" s="231">
        <f t="shared" si="630"/>
        <v>0</v>
      </c>
      <c r="AD1471" s="548"/>
      <c r="AE1471" s="241"/>
      <c r="AF1471" s="194"/>
      <c r="AG1471" s="194"/>
      <c r="AH1471" s="194"/>
      <c r="AI1471" s="194"/>
    </row>
    <row r="1472" hidden="1">
      <c r="A1472" s="391"/>
      <c r="B1472" s="893"/>
      <c r="C1472" s="196"/>
      <c r="D1472" s="286" t="s">
        <v>194</v>
      </c>
      <c r="E1472" s="233"/>
      <c r="F1472" s="233"/>
      <c r="G1472" s="233"/>
      <c r="H1472" s="234"/>
      <c r="I1472" s="234"/>
      <c r="J1472" s="222"/>
      <c r="K1472" s="222" t="s">
        <v>1387</v>
      </c>
      <c r="L1472" s="225"/>
      <c r="M1472" s="236"/>
      <c r="N1472" s="285"/>
      <c r="O1472" s="285"/>
      <c r="P1472" s="285"/>
      <c r="Q1472" s="718"/>
      <c r="R1472" s="718"/>
      <c r="S1472" s="718"/>
      <c r="T1472" s="718"/>
      <c r="U1472" s="718"/>
      <c r="V1472" s="718"/>
      <c r="W1472" s="718"/>
      <c r="X1472" s="718"/>
      <c r="Y1472" s="718"/>
      <c r="Z1472" s="718"/>
      <c r="AA1472" s="718"/>
      <c r="AB1472" s="718"/>
      <c r="AC1472" s="378">
        <f t="shared" si="630"/>
        <v>0</v>
      </c>
      <c r="AD1472" s="273"/>
      <c r="AE1472" s="192"/>
      <c r="AF1472" s="194"/>
      <c r="AG1472" s="194"/>
      <c r="AH1472" s="194"/>
      <c r="AI1472" s="194"/>
    </row>
    <row r="1473" hidden="1">
      <c r="A1473" s="391"/>
      <c r="B1473" s="893"/>
      <c r="C1473" s="196"/>
      <c r="D1473" s="286" t="s">
        <v>1462</v>
      </c>
      <c r="E1473" s="233"/>
      <c r="F1473" s="233"/>
      <c r="G1473" s="233"/>
      <c r="H1473" s="234"/>
      <c r="I1473" s="234"/>
      <c r="J1473" s="222"/>
      <c r="K1473" s="222" t="s">
        <v>1387</v>
      </c>
      <c r="L1473" s="225"/>
      <c r="M1473" s="236"/>
      <c r="N1473" s="285"/>
      <c r="O1473" s="285"/>
      <c r="P1473" s="285"/>
      <c r="Q1473" s="718"/>
      <c r="R1473" s="718"/>
      <c r="S1473" s="718"/>
      <c r="T1473" s="718"/>
      <c r="U1473" s="718"/>
      <c r="V1473" s="718"/>
      <c r="W1473" s="718"/>
      <c r="X1473" s="718"/>
      <c r="Y1473" s="718"/>
      <c r="Z1473" s="718"/>
      <c r="AA1473" s="718"/>
      <c r="AB1473" s="718"/>
      <c r="AC1473" s="378">
        <f t="shared" si="630"/>
        <v>0</v>
      </c>
      <c r="AD1473" s="273"/>
      <c r="AE1473" s="192"/>
      <c r="AF1473" s="194"/>
      <c r="AG1473" s="194"/>
      <c r="AH1473" s="194"/>
      <c r="AI1473" s="194"/>
    </row>
    <row r="1474">
      <c r="A1474" s="391"/>
      <c r="B1474" s="893"/>
      <c r="C1474" s="196">
        <v>26.0</v>
      </c>
      <c r="D1474" s="925" t="s">
        <v>1463</v>
      </c>
      <c r="E1474" s="198" t="s">
        <v>186</v>
      </c>
      <c r="F1474" s="198" t="s">
        <v>103</v>
      </c>
      <c r="G1474" s="198" t="s">
        <v>86</v>
      </c>
      <c r="H1474" s="198" t="s">
        <v>86</v>
      </c>
      <c r="I1474" s="198" t="s">
        <v>253</v>
      </c>
      <c r="J1474" s="198" t="s">
        <v>254</v>
      </c>
      <c r="K1474" s="606" t="s">
        <v>1387</v>
      </c>
      <c r="L1474" s="895"/>
      <c r="M1474" s="240"/>
      <c r="N1474" s="388"/>
      <c r="O1474" s="388"/>
      <c r="P1474" s="388"/>
      <c r="Q1474" s="896"/>
      <c r="R1474" s="896"/>
      <c r="S1474" s="896"/>
      <c r="T1474" s="896"/>
      <c r="U1474" s="896"/>
      <c r="V1474" s="896">
        <v>3502656.0</v>
      </c>
      <c r="W1474" s="896">
        <v>3502656.0</v>
      </c>
      <c r="X1474" s="896">
        <v>3502656.0</v>
      </c>
      <c r="Y1474" s="896">
        <v>3502656.0</v>
      </c>
      <c r="Z1474" s="896">
        <v>3502656.0</v>
      </c>
      <c r="AA1474" s="896">
        <v>3502656.0</v>
      </c>
      <c r="AB1474" s="896">
        <v>3502656.0</v>
      </c>
      <c r="AC1474" s="897">
        <v>2.4518592E7</v>
      </c>
      <c r="AD1474" s="273">
        <f>SUM(Q1474:AB1474)-AC1474</f>
        <v>0</v>
      </c>
      <c r="AE1474" s="192"/>
      <c r="AF1474" s="194"/>
      <c r="AG1474" s="194"/>
      <c r="AH1474" s="194"/>
      <c r="AI1474" s="194"/>
    </row>
    <row r="1475" hidden="1">
      <c r="A1475" s="126"/>
      <c r="B1475" s="893"/>
      <c r="C1475" s="206"/>
      <c r="D1475" s="207"/>
      <c r="E1475" s="260"/>
      <c r="F1475" s="207"/>
      <c r="G1475" s="260"/>
      <c r="H1475" s="206"/>
      <c r="I1475" s="206"/>
      <c r="J1475" s="206"/>
      <c r="K1475" s="206" t="s">
        <v>1387</v>
      </c>
      <c r="L1475" s="277"/>
      <c r="M1475" s="244"/>
      <c r="N1475" s="389"/>
      <c r="O1475" s="389"/>
      <c r="P1475" s="389"/>
      <c r="Q1475" s="212"/>
      <c r="R1475" s="212"/>
      <c r="S1475" s="212"/>
      <c r="T1475" s="212"/>
      <c r="U1475" s="212"/>
      <c r="V1475" s="212"/>
      <c r="W1475" s="212"/>
      <c r="X1475" s="212"/>
      <c r="Y1475" s="212"/>
      <c r="Z1475" s="212"/>
      <c r="AA1475" s="212"/>
      <c r="AB1475" s="212"/>
      <c r="AC1475" s="213">
        <f t="shared" ref="AC1475:AC1478" si="631">SUM(Q1475:AB1475)</f>
        <v>0</v>
      </c>
      <c r="AD1475" s="273"/>
      <c r="AE1475" s="241"/>
      <c r="AF1475" s="194"/>
      <c r="AG1475" s="194"/>
      <c r="AH1475" s="194"/>
      <c r="AI1475" s="194"/>
    </row>
    <row r="1476" hidden="1">
      <c r="A1476" s="391"/>
      <c r="B1476" s="893"/>
      <c r="C1476" s="222"/>
      <c r="D1476" s="250" t="s">
        <v>1464</v>
      </c>
      <c r="E1476" s="233"/>
      <c r="F1476" s="224"/>
      <c r="G1476" s="233"/>
      <c r="H1476" s="222"/>
      <c r="I1476" s="222"/>
      <c r="J1476" s="222"/>
      <c r="K1476" s="222" t="s">
        <v>1387</v>
      </c>
      <c r="L1476" s="225"/>
      <c r="M1476" s="236"/>
      <c r="N1476" s="285"/>
      <c r="O1476" s="285"/>
      <c r="P1476" s="285"/>
      <c r="Q1476" s="230"/>
      <c r="R1476" s="230"/>
      <c r="S1476" s="230"/>
      <c r="T1476" s="230"/>
      <c r="U1476" s="230"/>
      <c r="V1476" s="230"/>
      <c r="W1476" s="230"/>
      <c r="X1476" s="230"/>
      <c r="Y1476" s="230"/>
      <c r="Z1476" s="230"/>
      <c r="AA1476" s="230"/>
      <c r="AB1476" s="230"/>
      <c r="AC1476" s="231">
        <f t="shared" si="631"/>
        <v>0</v>
      </c>
      <c r="AD1476" s="264"/>
      <c r="AE1476" s="241"/>
      <c r="AF1476" s="194"/>
      <c r="AG1476" s="194"/>
      <c r="AH1476" s="194"/>
      <c r="AI1476" s="194"/>
    </row>
    <row r="1477" hidden="1">
      <c r="A1477" s="391"/>
      <c r="B1477" s="893"/>
      <c r="C1477" s="196"/>
      <c r="D1477" s="286" t="s">
        <v>194</v>
      </c>
      <c r="E1477" s="233"/>
      <c r="F1477" s="233"/>
      <c r="G1477" s="233"/>
      <c r="H1477" s="234"/>
      <c r="I1477" s="234"/>
      <c r="J1477" s="222"/>
      <c r="K1477" s="222" t="s">
        <v>1387</v>
      </c>
      <c r="L1477" s="225"/>
      <c r="M1477" s="236"/>
      <c r="N1477" s="285"/>
      <c r="O1477" s="285"/>
      <c r="P1477" s="285"/>
      <c r="Q1477" s="718"/>
      <c r="R1477" s="718"/>
      <c r="S1477" s="718"/>
      <c r="T1477" s="718"/>
      <c r="U1477" s="718"/>
      <c r="V1477" s="718"/>
      <c r="W1477" s="718"/>
      <c r="X1477" s="718"/>
      <c r="Y1477" s="718"/>
      <c r="Z1477" s="718"/>
      <c r="AA1477" s="718"/>
      <c r="AB1477" s="718"/>
      <c r="AC1477" s="378">
        <f t="shared" si="631"/>
        <v>0</v>
      </c>
      <c r="AD1477" s="273"/>
      <c r="AE1477" s="192"/>
      <c r="AF1477" s="194"/>
      <c r="AG1477" s="194"/>
      <c r="AH1477" s="194"/>
      <c r="AI1477" s="194"/>
    </row>
    <row r="1478" hidden="1">
      <c r="A1478" s="391"/>
      <c r="B1478" s="893"/>
      <c r="C1478" s="196"/>
      <c r="D1478" s="286" t="s">
        <v>1465</v>
      </c>
      <c r="E1478" s="233"/>
      <c r="F1478" s="233"/>
      <c r="G1478" s="233"/>
      <c r="H1478" s="234"/>
      <c r="I1478" s="234"/>
      <c r="J1478" s="222"/>
      <c r="K1478" s="222" t="s">
        <v>1387</v>
      </c>
      <c r="L1478" s="225"/>
      <c r="M1478" s="236"/>
      <c r="N1478" s="285"/>
      <c r="O1478" s="285"/>
      <c r="P1478" s="285"/>
      <c r="Q1478" s="718"/>
      <c r="R1478" s="718"/>
      <c r="S1478" s="718"/>
      <c r="T1478" s="718"/>
      <c r="U1478" s="718"/>
      <c r="V1478" s="718"/>
      <c r="W1478" s="718"/>
      <c r="X1478" s="718"/>
      <c r="Y1478" s="718"/>
      <c r="Z1478" s="718"/>
      <c r="AA1478" s="718"/>
      <c r="AB1478" s="718"/>
      <c r="AC1478" s="378">
        <f t="shared" si="631"/>
        <v>0</v>
      </c>
      <c r="AD1478" s="273"/>
      <c r="AE1478" s="192"/>
      <c r="AF1478" s="194"/>
      <c r="AG1478" s="194"/>
      <c r="AH1478" s="194"/>
      <c r="AI1478" s="194"/>
    </row>
    <row r="1479">
      <c r="A1479" s="391"/>
      <c r="B1479" s="893"/>
      <c r="C1479" s="196">
        <v>27.0</v>
      </c>
      <c r="D1479" s="925" t="s">
        <v>1454</v>
      </c>
      <c r="E1479" s="198" t="s">
        <v>186</v>
      </c>
      <c r="F1479" s="198" t="s">
        <v>103</v>
      </c>
      <c r="G1479" s="198" t="s">
        <v>86</v>
      </c>
      <c r="H1479" s="198" t="s">
        <v>86</v>
      </c>
      <c r="I1479" s="198" t="s">
        <v>253</v>
      </c>
      <c r="J1479" s="198" t="s">
        <v>254</v>
      </c>
      <c r="K1479" s="606" t="s">
        <v>1387</v>
      </c>
      <c r="L1479" s="895"/>
      <c r="M1479" s="240"/>
      <c r="N1479" s="388"/>
      <c r="O1479" s="388"/>
      <c r="P1479" s="388"/>
      <c r="Q1479" s="896"/>
      <c r="R1479" s="896"/>
      <c r="S1479" s="896"/>
      <c r="T1479" s="896"/>
      <c r="U1479" s="896"/>
      <c r="V1479" s="896"/>
      <c r="W1479" s="896">
        <v>496422.0</v>
      </c>
      <c r="X1479" s="896">
        <v>496422.0</v>
      </c>
      <c r="Y1479" s="896">
        <v>496422.0</v>
      </c>
      <c r="Z1479" s="896">
        <v>496422.0</v>
      </c>
      <c r="AA1479" s="896">
        <v>496422.0</v>
      </c>
      <c r="AB1479" s="896">
        <v>496422.0</v>
      </c>
      <c r="AC1479" s="897">
        <v>2978532.0</v>
      </c>
      <c r="AD1479" s="273">
        <f>SUM(Q1479:AB1479)-AC1479</f>
        <v>0</v>
      </c>
      <c r="AE1479" s="192"/>
      <c r="AF1479" s="194"/>
      <c r="AG1479" s="194"/>
      <c r="AH1479" s="194"/>
      <c r="AI1479" s="194"/>
    </row>
    <row r="1480" hidden="1">
      <c r="A1480" s="126"/>
      <c r="B1480" s="893"/>
      <c r="C1480" s="206"/>
      <c r="D1480" s="207"/>
      <c r="E1480" s="260"/>
      <c r="F1480" s="207"/>
      <c r="G1480" s="260"/>
      <c r="H1480" s="206"/>
      <c r="I1480" s="206"/>
      <c r="J1480" s="206"/>
      <c r="K1480" s="206" t="s">
        <v>1387</v>
      </c>
      <c r="L1480" s="277"/>
      <c r="M1480" s="244"/>
      <c r="N1480" s="389"/>
      <c r="O1480" s="389"/>
      <c r="P1480" s="389"/>
      <c r="Q1480" s="212"/>
      <c r="R1480" s="212"/>
      <c r="S1480" s="212"/>
      <c r="T1480" s="212"/>
      <c r="U1480" s="212"/>
      <c r="V1480" s="212"/>
      <c r="W1480" s="212"/>
      <c r="X1480" s="212"/>
      <c r="Y1480" s="212"/>
      <c r="Z1480" s="212"/>
      <c r="AA1480" s="212"/>
      <c r="AB1480" s="212"/>
      <c r="AC1480" s="213">
        <f t="shared" ref="AC1480:AC1483" si="632">SUM(Q1480:AB1480)</f>
        <v>0</v>
      </c>
      <c r="AD1480" s="273"/>
      <c r="AE1480" s="241"/>
      <c r="AF1480" s="194"/>
      <c r="AG1480" s="194"/>
      <c r="AH1480" s="194"/>
      <c r="AI1480" s="194"/>
    </row>
    <row r="1481" hidden="1">
      <c r="A1481" s="391"/>
      <c r="B1481" s="893"/>
      <c r="C1481" s="222"/>
      <c r="D1481" s="250" t="s">
        <v>1466</v>
      </c>
      <c r="E1481" s="233"/>
      <c r="F1481" s="224"/>
      <c r="G1481" s="233"/>
      <c r="H1481" s="222"/>
      <c r="I1481" s="222"/>
      <c r="J1481" s="222"/>
      <c r="K1481" s="222" t="s">
        <v>1387</v>
      </c>
      <c r="L1481" s="225"/>
      <c r="M1481" s="236"/>
      <c r="N1481" s="285"/>
      <c r="O1481" s="285"/>
      <c r="P1481" s="285"/>
      <c r="Q1481" s="230"/>
      <c r="R1481" s="230"/>
      <c r="S1481" s="230"/>
      <c r="T1481" s="230"/>
      <c r="U1481" s="230"/>
      <c r="V1481" s="230"/>
      <c r="W1481" s="230"/>
      <c r="X1481" s="230"/>
      <c r="Y1481" s="230"/>
      <c r="Z1481" s="230"/>
      <c r="AA1481" s="230"/>
      <c r="AB1481" s="230"/>
      <c r="AC1481" s="231">
        <f t="shared" si="632"/>
        <v>0</v>
      </c>
      <c r="AD1481" s="273"/>
      <c r="AE1481" s="241"/>
      <c r="AF1481" s="194"/>
      <c r="AG1481" s="194"/>
      <c r="AH1481" s="194"/>
      <c r="AI1481" s="194"/>
    </row>
    <row r="1482" hidden="1">
      <c r="A1482" s="391"/>
      <c r="B1482" s="893"/>
      <c r="C1482" s="196"/>
      <c r="D1482" s="286" t="s">
        <v>194</v>
      </c>
      <c r="E1482" s="233"/>
      <c r="F1482" s="233"/>
      <c r="G1482" s="233"/>
      <c r="H1482" s="234"/>
      <c r="I1482" s="234"/>
      <c r="J1482" s="222"/>
      <c r="K1482" s="222" t="s">
        <v>1387</v>
      </c>
      <c r="L1482" s="225"/>
      <c r="M1482" s="236"/>
      <c r="N1482" s="285"/>
      <c r="O1482" s="285"/>
      <c r="P1482" s="285"/>
      <c r="Q1482" s="718"/>
      <c r="R1482" s="718"/>
      <c r="S1482" s="718"/>
      <c r="T1482" s="718"/>
      <c r="U1482" s="718"/>
      <c r="V1482" s="718"/>
      <c r="W1482" s="718"/>
      <c r="X1482" s="718"/>
      <c r="Y1482" s="718"/>
      <c r="Z1482" s="718"/>
      <c r="AA1482" s="718"/>
      <c r="AB1482" s="718"/>
      <c r="AC1482" s="378">
        <f t="shared" si="632"/>
        <v>0</v>
      </c>
      <c r="AD1482" s="273"/>
      <c r="AE1482" s="192"/>
      <c r="AF1482" s="194"/>
      <c r="AG1482" s="194"/>
      <c r="AH1482" s="194"/>
      <c r="AI1482" s="194"/>
    </row>
    <row r="1483" hidden="1">
      <c r="A1483" s="391"/>
      <c r="B1483" s="893"/>
      <c r="C1483" s="196"/>
      <c r="D1483" s="286" t="s">
        <v>1467</v>
      </c>
      <c r="E1483" s="233"/>
      <c r="F1483" s="233"/>
      <c r="G1483" s="233"/>
      <c r="H1483" s="234"/>
      <c r="I1483" s="234"/>
      <c r="J1483" s="222"/>
      <c r="K1483" s="222" t="s">
        <v>1387</v>
      </c>
      <c r="L1483" s="225"/>
      <c r="M1483" s="236"/>
      <c r="N1483" s="285"/>
      <c r="O1483" s="285"/>
      <c r="P1483" s="285"/>
      <c r="Q1483" s="718"/>
      <c r="R1483" s="718"/>
      <c r="S1483" s="718"/>
      <c r="T1483" s="718"/>
      <c r="U1483" s="718"/>
      <c r="V1483" s="718"/>
      <c r="W1483" s="718"/>
      <c r="X1483" s="718"/>
      <c r="Y1483" s="718"/>
      <c r="Z1483" s="718"/>
      <c r="AA1483" s="718"/>
      <c r="AB1483" s="718"/>
      <c r="AC1483" s="378">
        <f t="shared" si="632"/>
        <v>0</v>
      </c>
      <c r="AD1483" s="273"/>
      <c r="AE1483" s="192"/>
      <c r="AF1483" s="194"/>
      <c r="AG1483" s="194"/>
      <c r="AH1483" s="194"/>
      <c r="AI1483" s="194"/>
    </row>
    <row r="1484">
      <c r="A1484" s="391"/>
      <c r="B1484" s="893"/>
      <c r="C1484" s="196">
        <v>28.0</v>
      </c>
      <c r="D1484" s="925" t="s">
        <v>1468</v>
      </c>
      <c r="E1484" s="198" t="s">
        <v>186</v>
      </c>
      <c r="F1484" s="198" t="s">
        <v>103</v>
      </c>
      <c r="G1484" s="198" t="s">
        <v>86</v>
      </c>
      <c r="H1484" s="198" t="s">
        <v>86</v>
      </c>
      <c r="I1484" s="198" t="s">
        <v>253</v>
      </c>
      <c r="J1484" s="198" t="s">
        <v>254</v>
      </c>
      <c r="K1484" s="606" t="s">
        <v>1387</v>
      </c>
      <c r="L1484" s="895"/>
      <c r="M1484" s="240"/>
      <c r="N1484" s="388"/>
      <c r="O1484" s="388"/>
      <c r="P1484" s="388"/>
      <c r="Q1484" s="896"/>
      <c r="R1484" s="896">
        <v>5071554.0</v>
      </c>
      <c r="S1484" s="896">
        <v>5071554.0</v>
      </c>
      <c r="T1484" s="896">
        <v>5071554.0</v>
      </c>
      <c r="U1484" s="896">
        <v>5071554.0</v>
      </c>
      <c r="V1484" s="896">
        <v>5071554.0</v>
      </c>
      <c r="W1484" s="896">
        <v>5071554.0</v>
      </c>
      <c r="X1484" s="896">
        <v>5071554.0</v>
      </c>
      <c r="Y1484" s="896">
        <v>5071554.0</v>
      </c>
      <c r="Z1484" s="896">
        <v>5071554.0</v>
      </c>
      <c r="AA1484" s="896">
        <v>5071554.0</v>
      </c>
      <c r="AB1484" s="896">
        <v>5071554.0</v>
      </c>
      <c r="AC1484" s="897">
        <v>5.5787094E7</v>
      </c>
      <c r="AD1484" s="273">
        <f>SUM(Q1484:AB1484)-AC1484</f>
        <v>0</v>
      </c>
      <c r="AE1484" s="192"/>
      <c r="AF1484" s="194"/>
      <c r="AG1484" s="194"/>
      <c r="AH1484" s="194"/>
      <c r="AI1484" s="194"/>
    </row>
    <row r="1485" hidden="1">
      <c r="A1485" s="126"/>
      <c r="B1485" s="893"/>
      <c r="C1485" s="206"/>
      <c r="D1485" s="207"/>
      <c r="E1485" s="260"/>
      <c r="F1485" s="207"/>
      <c r="G1485" s="260"/>
      <c r="H1485" s="206"/>
      <c r="I1485" s="206"/>
      <c r="J1485" s="206"/>
      <c r="K1485" s="206" t="s">
        <v>1387</v>
      </c>
      <c r="L1485" s="277"/>
      <c r="M1485" s="244"/>
      <c r="N1485" s="389"/>
      <c r="O1485" s="389"/>
      <c r="P1485" s="389"/>
      <c r="Q1485" s="212"/>
      <c r="R1485" s="212"/>
      <c r="S1485" s="212"/>
      <c r="T1485" s="212"/>
      <c r="U1485" s="212"/>
      <c r="V1485" s="212"/>
      <c r="W1485" s="212"/>
      <c r="X1485" s="212"/>
      <c r="Y1485" s="212"/>
      <c r="Z1485" s="212"/>
      <c r="AA1485" s="212"/>
      <c r="AB1485" s="212"/>
      <c r="AC1485" s="213">
        <f t="shared" ref="AC1485:AC1488" si="633">SUM(Q1485:AB1485)</f>
        <v>0</v>
      </c>
      <c r="AD1485" s="273"/>
      <c r="AE1485" s="241"/>
      <c r="AF1485" s="194"/>
      <c r="AG1485" s="194"/>
      <c r="AH1485" s="194"/>
      <c r="AI1485" s="194"/>
    </row>
    <row r="1486" hidden="1">
      <c r="A1486" s="391"/>
      <c r="B1486" s="893"/>
      <c r="C1486" s="222"/>
      <c r="D1486" s="250" t="s">
        <v>1469</v>
      </c>
      <c r="E1486" s="233"/>
      <c r="F1486" s="224"/>
      <c r="G1486" s="233"/>
      <c r="H1486" s="222"/>
      <c r="I1486" s="222"/>
      <c r="J1486" s="222"/>
      <c r="K1486" s="222" t="s">
        <v>1387</v>
      </c>
      <c r="L1486" s="225"/>
      <c r="M1486" s="236"/>
      <c r="N1486" s="285"/>
      <c r="O1486" s="285"/>
      <c r="P1486" s="285"/>
      <c r="Q1486" s="230"/>
      <c r="R1486" s="230"/>
      <c r="S1486" s="230"/>
      <c r="T1486" s="230"/>
      <c r="U1486" s="230"/>
      <c r="V1486" s="230"/>
      <c r="W1486" s="230"/>
      <c r="X1486" s="230"/>
      <c r="Y1486" s="230"/>
      <c r="Z1486" s="230"/>
      <c r="AA1486" s="230"/>
      <c r="AB1486" s="230"/>
      <c r="AC1486" s="231">
        <f t="shared" si="633"/>
        <v>0</v>
      </c>
      <c r="AD1486" s="994"/>
      <c r="AE1486" s="241"/>
      <c r="AF1486" s="194"/>
      <c r="AG1486" s="194"/>
      <c r="AH1486" s="194"/>
      <c r="AI1486" s="194"/>
    </row>
    <row r="1487" hidden="1">
      <c r="A1487" s="391"/>
      <c r="B1487" s="195"/>
      <c r="C1487" s="196"/>
      <c r="D1487" s="286" t="s">
        <v>194</v>
      </c>
      <c r="E1487" s="233"/>
      <c r="F1487" s="233"/>
      <c r="G1487" s="233"/>
      <c r="H1487" s="234"/>
      <c r="I1487" s="234"/>
      <c r="J1487" s="222"/>
      <c r="K1487" s="222" t="s">
        <v>1387</v>
      </c>
      <c r="L1487" s="225"/>
      <c r="M1487" s="236"/>
      <c r="N1487" s="285"/>
      <c r="O1487" s="285"/>
      <c r="P1487" s="285"/>
      <c r="Q1487" s="238"/>
      <c r="R1487" s="238"/>
      <c r="S1487" s="238"/>
      <c r="T1487" s="238"/>
      <c r="U1487" s="238"/>
      <c r="V1487" s="238"/>
      <c r="W1487" s="238"/>
      <c r="X1487" s="238"/>
      <c r="Y1487" s="238"/>
      <c r="Z1487" s="238"/>
      <c r="AA1487" s="238"/>
      <c r="AB1487" s="238"/>
      <c r="AC1487" s="378">
        <f t="shared" si="633"/>
        <v>0</v>
      </c>
      <c r="AD1487" s="214"/>
      <c r="AE1487" s="241"/>
      <c r="AF1487" s="194"/>
      <c r="AG1487" s="194"/>
      <c r="AH1487" s="194"/>
      <c r="AI1487" s="194"/>
    </row>
    <row r="1488" hidden="1">
      <c r="A1488" s="391"/>
      <c r="B1488" s="195"/>
      <c r="C1488" s="196"/>
      <c r="D1488" s="286" t="s">
        <v>1470</v>
      </c>
      <c r="E1488" s="233"/>
      <c r="F1488" s="233"/>
      <c r="G1488" s="233"/>
      <c r="H1488" s="234"/>
      <c r="I1488" s="234"/>
      <c r="J1488" s="222"/>
      <c r="K1488" s="222" t="s">
        <v>1387</v>
      </c>
      <c r="L1488" s="225"/>
      <c r="M1488" s="236"/>
      <c r="N1488" s="285"/>
      <c r="O1488" s="285"/>
      <c r="P1488" s="285"/>
      <c r="Q1488" s="238"/>
      <c r="R1488" s="238"/>
      <c r="S1488" s="238"/>
      <c r="T1488" s="238"/>
      <c r="U1488" s="238"/>
      <c r="V1488" s="238"/>
      <c r="W1488" s="238"/>
      <c r="X1488" s="238"/>
      <c r="Y1488" s="238"/>
      <c r="Z1488" s="238"/>
      <c r="AA1488" s="238"/>
      <c r="AB1488" s="238"/>
      <c r="AC1488" s="378">
        <f t="shared" si="633"/>
        <v>0</v>
      </c>
      <c r="AD1488" s="214"/>
      <c r="AE1488" s="241"/>
      <c r="AF1488" s="194"/>
      <c r="AG1488" s="194"/>
      <c r="AH1488" s="194"/>
      <c r="AI1488" s="194"/>
    </row>
    <row r="1489">
      <c r="A1489" s="391"/>
      <c r="B1489" s="195"/>
      <c r="C1489" s="196">
        <v>29.0</v>
      </c>
      <c r="D1489" s="184" t="s">
        <v>1471</v>
      </c>
      <c r="E1489" s="198" t="s">
        <v>186</v>
      </c>
      <c r="F1489" s="198" t="s">
        <v>103</v>
      </c>
      <c r="G1489" s="198" t="s">
        <v>86</v>
      </c>
      <c r="H1489" s="198" t="s">
        <v>86</v>
      </c>
      <c r="I1489" s="198" t="s">
        <v>253</v>
      </c>
      <c r="J1489" s="198" t="s">
        <v>254</v>
      </c>
      <c r="K1489" s="937" t="s">
        <v>1387</v>
      </c>
      <c r="L1489" s="895"/>
      <c r="M1489" s="240"/>
      <c r="N1489" s="388"/>
      <c r="O1489" s="388"/>
      <c r="P1489" s="388"/>
      <c r="Q1489" s="204">
        <v>2.0833333333333334E8</v>
      </c>
      <c r="R1489" s="204">
        <v>2.0833333333333334E8</v>
      </c>
      <c r="S1489" s="204">
        <v>2.0833333333333334E8</v>
      </c>
      <c r="T1489" s="204">
        <v>2.0833333333333334E8</v>
      </c>
      <c r="U1489" s="204">
        <v>2.0833333333333334E8</v>
      </c>
      <c r="V1489" s="204">
        <v>2.0833333333333334E8</v>
      </c>
      <c r="W1489" s="204">
        <v>2.0833333333333334E8</v>
      </c>
      <c r="X1489" s="204">
        <v>2.0833333333333334E8</v>
      </c>
      <c r="Y1489" s="204">
        <v>2.0833333333333334E8</v>
      </c>
      <c r="Z1489" s="204">
        <v>2.0833333333333334E8</v>
      </c>
      <c r="AA1489" s="204">
        <v>2.0833333333333334E8</v>
      </c>
      <c r="AB1489" s="204">
        <v>2.0833333333333334E8</v>
      </c>
      <c r="AC1489" s="205">
        <v>2.5E9</v>
      </c>
      <c r="AD1489" s="178">
        <f>SUM(Q1489:AB1489)-AC1489</f>
        <v>0</v>
      </c>
      <c r="AE1489" s="241"/>
      <c r="AF1489" s="194"/>
      <c r="AG1489" s="194"/>
      <c r="AH1489" s="194"/>
      <c r="AI1489" s="194"/>
    </row>
    <row r="1490" hidden="1">
      <c r="A1490" s="126"/>
      <c r="B1490" s="195"/>
      <c r="C1490" s="206"/>
      <c r="D1490" s="207"/>
      <c r="E1490" s="260"/>
      <c r="F1490" s="207"/>
      <c r="G1490" s="260"/>
      <c r="H1490" s="206"/>
      <c r="I1490" s="206"/>
      <c r="J1490" s="206"/>
      <c r="K1490" s="206" t="s">
        <v>1387</v>
      </c>
      <c r="L1490" s="277"/>
      <c r="M1490" s="244"/>
      <c r="N1490" s="389"/>
      <c r="O1490" s="389"/>
      <c r="P1490" s="389"/>
      <c r="Q1490" s="212"/>
      <c r="R1490" s="212"/>
      <c r="S1490" s="212"/>
      <c r="T1490" s="212"/>
      <c r="U1490" s="212"/>
      <c r="V1490" s="212"/>
      <c r="W1490" s="212"/>
      <c r="X1490" s="212"/>
      <c r="Y1490" s="212"/>
      <c r="Z1490" s="212"/>
      <c r="AA1490" s="212"/>
      <c r="AB1490" s="212"/>
      <c r="AC1490" s="213">
        <f t="shared" ref="AC1490:AC1493" si="634">SUM(Q1490:AB1490)</f>
        <v>0</v>
      </c>
      <c r="AD1490" s="995"/>
      <c r="AE1490" s="241"/>
      <c r="AF1490" s="194"/>
      <c r="AG1490" s="194"/>
      <c r="AH1490" s="194"/>
      <c r="AI1490" s="194"/>
    </row>
    <row r="1491" hidden="1">
      <c r="A1491" s="391"/>
      <c r="B1491" s="195"/>
      <c r="C1491" s="222"/>
      <c r="D1491" s="250" t="s">
        <v>1472</v>
      </c>
      <c r="E1491" s="233"/>
      <c r="F1491" s="224"/>
      <c r="G1491" s="233"/>
      <c r="H1491" s="222"/>
      <c r="I1491" s="222"/>
      <c r="J1491" s="222"/>
      <c r="K1491" s="222" t="s">
        <v>1387</v>
      </c>
      <c r="L1491" s="225"/>
      <c r="M1491" s="236"/>
      <c r="N1491" s="285"/>
      <c r="O1491" s="285"/>
      <c r="P1491" s="285"/>
      <c r="Q1491" s="230"/>
      <c r="R1491" s="230"/>
      <c r="S1491" s="230"/>
      <c r="T1491" s="230"/>
      <c r="U1491" s="230"/>
      <c r="V1491" s="230"/>
      <c r="W1491" s="230"/>
      <c r="X1491" s="230"/>
      <c r="Y1491" s="230"/>
      <c r="Z1491" s="230"/>
      <c r="AA1491" s="230"/>
      <c r="AB1491" s="230"/>
      <c r="AC1491" s="231">
        <f t="shared" si="634"/>
        <v>0</v>
      </c>
      <c r="AD1491" s="548"/>
      <c r="AE1491" s="241"/>
      <c r="AF1491" s="194"/>
      <c r="AG1491" s="194"/>
      <c r="AH1491" s="194"/>
      <c r="AI1491" s="194"/>
    </row>
    <row r="1492" hidden="1">
      <c r="A1492" s="391"/>
      <c r="B1492" s="421"/>
      <c r="C1492" s="433"/>
      <c r="D1492" s="286" t="s">
        <v>194</v>
      </c>
      <c r="E1492" s="527"/>
      <c r="F1492" s="527"/>
      <c r="G1492" s="527"/>
      <c r="H1492" s="510"/>
      <c r="I1492" s="510"/>
      <c r="J1492" s="511"/>
      <c r="K1492" s="222" t="s">
        <v>1387</v>
      </c>
      <c r="L1492" s="536"/>
      <c r="M1492" s="552"/>
      <c r="N1492" s="553"/>
      <c r="O1492" s="553"/>
      <c r="P1492" s="553"/>
      <c r="Q1492" s="452"/>
      <c r="R1492" s="600"/>
      <c r="S1492" s="600"/>
      <c r="T1492" s="600"/>
      <c r="U1492" s="600"/>
      <c r="V1492" s="600"/>
      <c r="W1492" s="600"/>
      <c r="X1492" s="600"/>
      <c r="Y1492" s="600"/>
      <c r="Z1492" s="600"/>
      <c r="AA1492" s="600"/>
      <c r="AB1492" s="600"/>
      <c r="AC1492" s="378">
        <f t="shared" si="634"/>
        <v>0</v>
      </c>
      <c r="AD1492" s="273"/>
      <c r="AE1492" s="192"/>
      <c r="AF1492" s="194"/>
      <c r="AG1492" s="194"/>
      <c r="AH1492" s="194"/>
      <c r="AI1492" s="194"/>
    </row>
    <row r="1493" hidden="1">
      <c r="A1493" s="391"/>
      <c r="B1493" s="421"/>
      <c r="C1493" s="433"/>
      <c r="D1493" s="286" t="s">
        <v>1473</v>
      </c>
      <c r="E1493" s="527"/>
      <c r="F1493" s="527"/>
      <c r="G1493" s="527"/>
      <c r="H1493" s="510"/>
      <c r="I1493" s="510"/>
      <c r="J1493" s="511"/>
      <c r="K1493" s="222" t="s">
        <v>1387</v>
      </c>
      <c r="L1493" s="536"/>
      <c r="M1493" s="552"/>
      <c r="N1493" s="553"/>
      <c r="O1493" s="553"/>
      <c r="P1493" s="553"/>
      <c r="Q1493" s="452"/>
      <c r="R1493" s="600"/>
      <c r="S1493" s="600"/>
      <c r="T1493" s="600"/>
      <c r="U1493" s="600"/>
      <c r="V1493" s="600"/>
      <c r="W1493" s="600"/>
      <c r="X1493" s="600"/>
      <c r="Y1493" s="600"/>
      <c r="Z1493" s="600"/>
      <c r="AA1493" s="600"/>
      <c r="AB1493" s="600"/>
      <c r="AC1493" s="378">
        <f t="shared" si="634"/>
        <v>0</v>
      </c>
      <c r="AD1493" s="273"/>
      <c r="AE1493" s="192"/>
      <c r="AF1493" s="194"/>
      <c r="AG1493" s="194"/>
      <c r="AH1493" s="194"/>
      <c r="AI1493" s="194"/>
    </row>
    <row r="1494">
      <c r="A1494" s="391"/>
      <c r="B1494" s="195"/>
      <c r="C1494" s="196">
        <v>30.0</v>
      </c>
      <c r="D1494" s="996" t="s">
        <v>1474</v>
      </c>
      <c r="E1494" s="198" t="s">
        <v>186</v>
      </c>
      <c r="F1494" s="198" t="s">
        <v>305</v>
      </c>
      <c r="G1494" s="198" t="s">
        <v>94</v>
      </c>
      <c r="H1494" s="198" t="s">
        <v>963</v>
      </c>
      <c r="I1494" s="198" t="s">
        <v>187</v>
      </c>
      <c r="J1494" s="198" t="s">
        <v>188</v>
      </c>
      <c r="K1494" s="937" t="s">
        <v>1387</v>
      </c>
      <c r="L1494" s="895"/>
      <c r="M1494" s="240"/>
      <c r="N1494" s="388"/>
      <c r="O1494" s="388"/>
      <c r="P1494" s="388"/>
      <c r="Q1494" s="886"/>
      <c r="R1494" s="886"/>
      <c r="S1494" s="886"/>
      <c r="T1494" s="886"/>
      <c r="U1494" s="886"/>
      <c r="V1494" s="886"/>
      <c r="W1494" s="997">
        <v>1.5E9</v>
      </c>
      <c r="X1494" s="997">
        <v>1.5E9</v>
      </c>
      <c r="Y1494" s="997">
        <v>1.5E9</v>
      </c>
      <c r="Z1494" s="997">
        <v>1.5E9</v>
      </c>
      <c r="AA1494" s="40"/>
      <c r="AB1494" s="40"/>
      <c r="AC1494" s="998">
        <v>6.0E9</v>
      </c>
      <c r="AD1494" s="178">
        <f>SUM(Q1494:AB1494)-AC1494</f>
        <v>0</v>
      </c>
      <c r="AE1494" s="241"/>
      <c r="AF1494" s="194"/>
      <c r="AG1494" s="194"/>
      <c r="AH1494" s="194"/>
      <c r="AI1494" s="194"/>
    </row>
    <row r="1495" hidden="1">
      <c r="A1495" s="126"/>
      <c r="B1495" s="195"/>
      <c r="C1495" s="206"/>
      <c r="D1495" s="207"/>
      <c r="E1495" s="260"/>
      <c r="F1495" s="207"/>
      <c r="G1495" s="260"/>
      <c r="H1495" s="206"/>
      <c r="I1495" s="206"/>
      <c r="J1495" s="206"/>
      <c r="K1495" s="206" t="s">
        <v>1387</v>
      </c>
      <c r="L1495" s="277"/>
      <c r="M1495" s="244"/>
      <c r="N1495" s="389"/>
      <c r="O1495" s="389"/>
      <c r="P1495" s="389"/>
      <c r="Q1495" s="212"/>
      <c r="R1495" s="212"/>
      <c r="S1495" s="212"/>
      <c r="T1495" s="212"/>
      <c r="U1495" s="212"/>
      <c r="V1495" s="212"/>
      <c r="W1495" s="212"/>
      <c r="X1495" s="212"/>
      <c r="Y1495" s="212"/>
      <c r="Z1495" s="212"/>
      <c r="AA1495" s="212"/>
      <c r="AB1495" s="212"/>
      <c r="AC1495" s="213">
        <f t="shared" ref="AC1495:AC1503" si="635">SUM(Q1495:AB1495)</f>
        <v>0</v>
      </c>
      <c r="AD1495" s="995"/>
      <c r="AE1495" s="241"/>
      <c r="AF1495" s="194"/>
      <c r="AG1495" s="194"/>
      <c r="AH1495" s="194"/>
      <c r="AI1495" s="194"/>
    </row>
    <row r="1496" hidden="1">
      <c r="A1496" s="391"/>
      <c r="B1496" s="195"/>
      <c r="C1496" s="222"/>
      <c r="D1496" s="250" t="s">
        <v>1475</v>
      </c>
      <c r="E1496" s="233"/>
      <c r="F1496" s="224"/>
      <c r="G1496" s="233"/>
      <c r="H1496" s="222"/>
      <c r="I1496" s="222"/>
      <c r="J1496" s="222"/>
      <c r="K1496" s="222" t="s">
        <v>1387</v>
      </c>
      <c r="L1496" s="225"/>
      <c r="M1496" s="236"/>
      <c r="N1496" s="285"/>
      <c r="O1496" s="285"/>
      <c r="P1496" s="285"/>
      <c r="Q1496" s="230"/>
      <c r="R1496" s="230"/>
      <c r="S1496" s="230"/>
      <c r="T1496" s="230"/>
      <c r="U1496" s="230"/>
      <c r="V1496" s="230"/>
      <c r="W1496" s="230"/>
      <c r="X1496" s="230"/>
      <c r="Y1496" s="230"/>
      <c r="Z1496" s="230"/>
      <c r="AA1496" s="230"/>
      <c r="AB1496" s="230"/>
      <c r="AC1496" s="231">
        <f t="shared" si="635"/>
        <v>0</v>
      </c>
      <c r="AD1496" s="548"/>
      <c r="AE1496" s="241"/>
      <c r="AF1496" s="194"/>
      <c r="AG1496" s="194"/>
      <c r="AH1496" s="194"/>
      <c r="AI1496" s="194"/>
    </row>
    <row r="1497" hidden="1">
      <c r="A1497" s="391"/>
      <c r="B1497" s="421"/>
      <c r="C1497" s="433"/>
      <c r="D1497" s="286" t="s">
        <v>194</v>
      </c>
      <c r="E1497" s="527"/>
      <c r="F1497" s="527"/>
      <c r="G1497" s="527"/>
      <c r="H1497" s="510"/>
      <c r="I1497" s="510"/>
      <c r="J1497" s="511"/>
      <c r="K1497" s="222" t="s">
        <v>1387</v>
      </c>
      <c r="L1497" s="536"/>
      <c r="M1497" s="552"/>
      <c r="N1497" s="553"/>
      <c r="O1497" s="553"/>
      <c r="P1497" s="553"/>
      <c r="Q1497" s="452"/>
      <c r="R1497" s="600"/>
      <c r="S1497" s="600"/>
      <c r="T1497" s="600"/>
      <c r="U1497" s="600"/>
      <c r="V1497" s="600"/>
      <c r="W1497" s="600"/>
      <c r="X1497" s="600"/>
      <c r="Y1497" s="600"/>
      <c r="Z1497" s="600"/>
      <c r="AA1497" s="600"/>
      <c r="AB1497" s="600"/>
      <c r="AC1497" s="378">
        <f t="shared" si="635"/>
        <v>0</v>
      </c>
      <c r="AD1497" s="273"/>
      <c r="AE1497" s="192"/>
      <c r="AF1497" s="194"/>
      <c r="AG1497" s="194"/>
      <c r="AH1497" s="194"/>
      <c r="AI1497" s="194"/>
    </row>
    <row r="1498" hidden="1">
      <c r="A1498" s="391"/>
      <c r="B1498" s="421"/>
      <c r="C1498" s="433"/>
      <c r="D1498" s="286" t="s">
        <v>1476</v>
      </c>
      <c r="E1498" s="527"/>
      <c r="F1498" s="527"/>
      <c r="G1498" s="527"/>
      <c r="H1498" s="510"/>
      <c r="I1498" s="510"/>
      <c r="J1498" s="511"/>
      <c r="K1498" s="222" t="s">
        <v>1387</v>
      </c>
      <c r="L1498" s="536"/>
      <c r="M1498" s="552"/>
      <c r="N1498" s="553"/>
      <c r="O1498" s="553"/>
      <c r="P1498" s="553"/>
      <c r="Q1498" s="452"/>
      <c r="R1498" s="600"/>
      <c r="S1498" s="600"/>
      <c r="T1498" s="600"/>
      <c r="U1498" s="600"/>
      <c r="V1498" s="600"/>
      <c r="W1498" s="600"/>
      <c r="X1498" s="600"/>
      <c r="Y1498" s="600"/>
      <c r="Z1498" s="600"/>
      <c r="AA1498" s="600"/>
      <c r="AB1498" s="600"/>
      <c r="AC1498" s="378">
        <f t="shared" si="635"/>
        <v>0</v>
      </c>
      <c r="AD1498" s="273"/>
      <c r="AE1498" s="192"/>
      <c r="AF1498" s="194"/>
      <c r="AG1498" s="194"/>
      <c r="AH1498" s="194"/>
      <c r="AI1498" s="194"/>
    </row>
    <row r="1499">
      <c r="A1499" s="391"/>
      <c r="B1499" s="432"/>
      <c r="C1499" s="433">
        <v>31.0</v>
      </c>
      <c r="D1499" s="528" t="s">
        <v>1477</v>
      </c>
      <c r="E1499" s="198" t="s">
        <v>186</v>
      </c>
      <c r="F1499" s="198" t="s">
        <v>135</v>
      </c>
      <c r="G1499" s="198" t="s">
        <v>135</v>
      </c>
      <c r="H1499" s="198" t="s">
        <v>203</v>
      </c>
      <c r="I1499" s="198" t="s">
        <v>1010</v>
      </c>
      <c r="J1499" s="198" t="s">
        <v>188</v>
      </c>
      <c r="K1499" s="529" t="s">
        <v>1387</v>
      </c>
      <c r="L1499" s="604">
        <f>5500366776</f>
        <v>5500366776</v>
      </c>
      <c r="M1499" s="558" t="s">
        <v>1478</v>
      </c>
      <c r="N1499" s="399"/>
      <c r="O1499" s="399">
        <v>45627.0</v>
      </c>
      <c r="P1499" s="399">
        <v>46356.0</v>
      </c>
      <c r="Q1499" s="439"/>
      <c r="R1499" s="710"/>
      <c r="S1499" s="710"/>
      <c r="T1499" s="710"/>
      <c r="U1499" s="710"/>
      <c r="V1499" s="710"/>
      <c r="W1499" s="710"/>
      <c r="X1499" s="710"/>
      <c r="Y1499" s="710"/>
      <c r="Z1499" s="710"/>
      <c r="AA1499" s="710"/>
      <c r="AB1499" s="710"/>
      <c r="AC1499" s="440">
        <f t="shared" si="635"/>
        <v>0</v>
      </c>
      <c r="AD1499" s="273"/>
      <c r="AE1499" s="353"/>
      <c r="AF1499" s="273"/>
      <c r="AG1499" s="273"/>
      <c r="AH1499" s="273"/>
      <c r="AI1499" s="273"/>
    </row>
    <row r="1500" hidden="1">
      <c r="A1500" s="126"/>
      <c r="B1500" s="432"/>
      <c r="C1500" s="441"/>
      <c r="D1500" s="999" t="s">
        <v>1479</v>
      </c>
      <c r="E1500" s="534"/>
      <c r="F1500" s="534"/>
      <c r="G1500" s="534"/>
      <c r="H1500" s="523"/>
      <c r="I1500" s="523"/>
      <c r="J1500" s="523"/>
      <c r="K1500" s="523" t="s">
        <v>1387</v>
      </c>
      <c r="L1500" s="463"/>
      <c r="M1500" s="535"/>
      <c r="N1500" s="464"/>
      <c r="O1500" s="464"/>
      <c r="P1500" s="464"/>
      <c r="Q1500" s="447">
        <f>L1499/24</f>
        <v>229181949</v>
      </c>
      <c r="R1500" s="448">
        <f t="shared" ref="R1500:AB1500" si="636">Q1500</f>
        <v>229181949</v>
      </c>
      <c r="S1500" s="448">
        <f t="shared" si="636"/>
        <v>229181949</v>
      </c>
      <c r="T1500" s="448">
        <f t="shared" si="636"/>
        <v>229181949</v>
      </c>
      <c r="U1500" s="448">
        <f t="shared" si="636"/>
        <v>229181949</v>
      </c>
      <c r="V1500" s="448">
        <f t="shared" si="636"/>
        <v>229181949</v>
      </c>
      <c r="W1500" s="448">
        <f t="shared" si="636"/>
        <v>229181949</v>
      </c>
      <c r="X1500" s="448">
        <f t="shared" si="636"/>
        <v>229181949</v>
      </c>
      <c r="Y1500" s="448">
        <f t="shared" si="636"/>
        <v>229181949</v>
      </c>
      <c r="Z1500" s="448">
        <f t="shared" si="636"/>
        <v>229181949</v>
      </c>
      <c r="AA1500" s="448">
        <f t="shared" si="636"/>
        <v>229181949</v>
      </c>
      <c r="AB1500" s="448">
        <f t="shared" si="636"/>
        <v>229181949</v>
      </c>
      <c r="AC1500" s="449">
        <f t="shared" si="635"/>
        <v>2750183388</v>
      </c>
      <c r="AD1500" s="273"/>
      <c r="AE1500" s="353"/>
      <c r="AF1500" s="273"/>
      <c r="AG1500" s="273"/>
      <c r="AH1500" s="273"/>
      <c r="AI1500" s="273"/>
    </row>
    <row r="1501" hidden="1">
      <c r="A1501" s="391"/>
      <c r="B1501" s="432"/>
      <c r="C1501" s="182"/>
      <c r="D1501" s="250" t="s">
        <v>1480</v>
      </c>
      <c r="E1501" s="470"/>
      <c r="F1501" s="470"/>
      <c r="G1501" s="470"/>
      <c r="H1501" s="456"/>
      <c r="I1501" s="456"/>
      <c r="J1501" s="222"/>
      <c r="K1501" s="222" t="s">
        <v>1387</v>
      </c>
      <c r="L1501" s="536"/>
      <c r="M1501" s="926"/>
      <c r="N1501" s="537"/>
      <c r="O1501" s="537"/>
      <c r="P1501" s="537"/>
      <c r="Q1501" s="452">
        <f t="shared" ref="Q1501:S1501" si="637">Q1500</f>
        <v>229181949</v>
      </c>
      <c r="R1501" s="452">
        <f t="shared" si="637"/>
        <v>229181949</v>
      </c>
      <c r="S1501" s="452">
        <f t="shared" si="637"/>
        <v>229181949</v>
      </c>
      <c r="T1501" s="452">
        <f t="shared" ref="T1501:T1503" si="639">S1501</f>
        <v>229181949</v>
      </c>
      <c r="U1501" s="452"/>
      <c r="V1501" s="452"/>
      <c r="W1501" s="452"/>
      <c r="X1501" s="452"/>
      <c r="Y1501" s="452"/>
      <c r="Z1501" s="452"/>
      <c r="AA1501" s="452"/>
      <c r="AB1501" s="452"/>
      <c r="AC1501" s="538">
        <f t="shared" si="635"/>
        <v>916727796</v>
      </c>
      <c r="AD1501" s="273"/>
      <c r="AE1501" s="692"/>
      <c r="AF1501" s="273"/>
      <c r="AG1501" s="273"/>
      <c r="AH1501" s="273"/>
      <c r="AI1501" s="273"/>
    </row>
    <row r="1502" hidden="1">
      <c r="A1502" s="391"/>
      <c r="B1502" s="432"/>
      <c r="C1502" s="182"/>
      <c r="D1502" s="286" t="s">
        <v>194</v>
      </c>
      <c r="E1502" s="233"/>
      <c r="F1502" s="233"/>
      <c r="G1502" s="233"/>
      <c r="H1502" s="234"/>
      <c r="I1502" s="234"/>
      <c r="J1502" s="222"/>
      <c r="K1502" s="222" t="s">
        <v>1387</v>
      </c>
      <c r="L1502" s="287"/>
      <c r="M1502" s="236"/>
      <c r="N1502" s="285"/>
      <c r="O1502" s="285"/>
      <c r="P1502" s="285"/>
      <c r="Q1502" s="452">
        <f t="shared" ref="Q1502:S1502" si="638">Q1501</f>
        <v>229181949</v>
      </c>
      <c r="R1502" s="452">
        <f t="shared" si="638"/>
        <v>229181949</v>
      </c>
      <c r="S1502" s="452">
        <f t="shared" si="638"/>
        <v>229181949</v>
      </c>
      <c r="T1502" s="452">
        <f t="shared" si="639"/>
        <v>229181949</v>
      </c>
      <c r="U1502" s="288"/>
      <c r="V1502" s="288"/>
      <c r="W1502" s="288"/>
      <c r="X1502" s="288"/>
      <c r="Y1502" s="288"/>
      <c r="Z1502" s="288"/>
      <c r="AA1502" s="288"/>
      <c r="AB1502" s="288"/>
      <c r="AC1502" s="378">
        <f t="shared" si="635"/>
        <v>916727796</v>
      </c>
      <c r="AD1502" s="284"/>
      <c r="AE1502" s="692"/>
      <c r="AF1502" s="273"/>
      <c r="AG1502" s="273"/>
      <c r="AH1502" s="273"/>
      <c r="AI1502" s="273"/>
    </row>
    <row r="1503" hidden="1">
      <c r="A1503" s="391"/>
      <c r="B1503" s="432"/>
      <c r="C1503" s="182"/>
      <c r="D1503" s="286" t="s">
        <v>1481</v>
      </c>
      <c r="E1503" s="233"/>
      <c r="F1503" s="233"/>
      <c r="G1503" s="233"/>
      <c r="H1503" s="234"/>
      <c r="I1503" s="234"/>
      <c r="J1503" s="222"/>
      <c r="K1503" s="222" t="s">
        <v>1387</v>
      </c>
      <c r="L1503" s="287"/>
      <c r="M1503" s="236"/>
      <c r="N1503" s="285"/>
      <c r="O1503" s="285"/>
      <c r="P1503" s="285"/>
      <c r="Q1503" s="452">
        <f t="shared" ref="Q1503:S1503" si="640">Q1502</f>
        <v>229181949</v>
      </c>
      <c r="R1503" s="452">
        <f t="shared" si="640"/>
        <v>229181949</v>
      </c>
      <c r="S1503" s="452">
        <f t="shared" si="640"/>
        <v>229181949</v>
      </c>
      <c r="T1503" s="452">
        <f t="shared" si="639"/>
        <v>229181949</v>
      </c>
      <c r="U1503" s="288"/>
      <c r="V1503" s="288"/>
      <c r="W1503" s="288"/>
      <c r="X1503" s="288"/>
      <c r="Y1503" s="288"/>
      <c r="Z1503" s="288"/>
      <c r="AA1503" s="288"/>
      <c r="AB1503" s="288"/>
      <c r="AC1503" s="378">
        <f t="shared" si="635"/>
        <v>916727796</v>
      </c>
      <c r="AD1503" s="284"/>
      <c r="AE1503" s="692"/>
      <c r="AF1503" s="273"/>
      <c r="AG1503" s="273"/>
      <c r="AH1503" s="273"/>
      <c r="AI1503" s="273"/>
    </row>
    <row r="1504" hidden="1">
      <c r="A1504" s="126"/>
      <c r="B1504" s="181"/>
      <c r="C1504" s="289"/>
      <c r="D1504" s="290" t="s">
        <v>1482</v>
      </c>
      <c r="E1504" s="487"/>
      <c r="F1504" s="487"/>
      <c r="G1504" s="487"/>
      <c r="H1504" s="291"/>
      <c r="I1504" s="291"/>
      <c r="J1504" s="292"/>
      <c r="K1504" s="292" t="s">
        <v>1387</v>
      </c>
      <c r="L1504" s="293"/>
      <c r="M1504" s="294"/>
      <c r="N1504" s="295"/>
      <c r="O1504" s="295"/>
      <c r="P1504" s="295"/>
      <c r="Q1504" s="296">
        <f t="shared" ref="Q1504:AC1504" si="641">Q1490+Q1495</f>
        <v>0</v>
      </c>
      <c r="R1504" s="296">
        <f t="shared" si="641"/>
        <v>0</v>
      </c>
      <c r="S1504" s="296">
        <f t="shared" si="641"/>
        <v>0</v>
      </c>
      <c r="T1504" s="296">
        <f t="shared" si="641"/>
        <v>0</v>
      </c>
      <c r="U1504" s="296">
        <f t="shared" si="641"/>
        <v>0</v>
      </c>
      <c r="V1504" s="296">
        <f t="shared" si="641"/>
        <v>0</v>
      </c>
      <c r="W1504" s="296">
        <f t="shared" si="641"/>
        <v>0</v>
      </c>
      <c r="X1504" s="296">
        <f t="shared" si="641"/>
        <v>0</v>
      </c>
      <c r="Y1504" s="296">
        <f t="shared" si="641"/>
        <v>0</v>
      </c>
      <c r="Z1504" s="296">
        <f t="shared" si="641"/>
        <v>0</v>
      </c>
      <c r="AA1504" s="296">
        <f t="shared" si="641"/>
        <v>0</v>
      </c>
      <c r="AB1504" s="296">
        <f t="shared" si="641"/>
        <v>0</v>
      </c>
      <c r="AC1504" s="297">
        <f t="shared" si="641"/>
        <v>0</v>
      </c>
      <c r="AD1504" s="284"/>
      <c r="AE1504" s="241"/>
      <c r="AF1504" s="194"/>
      <c r="AG1504" s="194"/>
      <c r="AH1504" s="194"/>
      <c r="AI1504" s="194"/>
    </row>
    <row r="1505" hidden="1">
      <c r="A1505" s="391"/>
      <c r="B1505" s="298"/>
      <c r="C1505" s="299"/>
      <c r="D1505" s="300" t="s">
        <v>1483</v>
      </c>
      <c r="E1505" s="488"/>
      <c r="F1505" s="488"/>
      <c r="G1505" s="488"/>
      <c r="H1505" s="301"/>
      <c r="I1505" s="301"/>
      <c r="J1505" s="489"/>
      <c r="K1505" s="489" t="s">
        <v>1387</v>
      </c>
      <c r="L1505" s="304"/>
      <c r="M1505" s="305"/>
      <c r="N1505" s="306"/>
      <c r="O1505" s="306"/>
      <c r="P1505" s="306"/>
      <c r="Q1505" s="307">
        <f t="shared" ref="Q1505:AB1505" si="642">Q1351+Q1356+Q1361+Q1366+Q1371+Q1376+Q1381+Q1386+Q1391+Q1396+Q1401+Q1406+Q1411+Q1416+Q1421+Q1426+Q1431+Q1436+Q1441+Q1446+Q1451+Q1456+Q1461+Q1466+Q1471+Q1476+Q1481+Q1486+Q1491+Q1501</f>
        <v>229181949</v>
      </c>
      <c r="R1505" s="307">
        <f t="shared" si="642"/>
        <v>229181949</v>
      </c>
      <c r="S1505" s="307">
        <f t="shared" si="642"/>
        <v>229181949</v>
      </c>
      <c r="T1505" s="307">
        <f t="shared" si="642"/>
        <v>229181949</v>
      </c>
      <c r="U1505" s="307">
        <f t="shared" si="642"/>
        <v>0</v>
      </c>
      <c r="V1505" s="307">
        <f t="shared" si="642"/>
        <v>0</v>
      </c>
      <c r="W1505" s="307">
        <f t="shared" si="642"/>
        <v>0</v>
      </c>
      <c r="X1505" s="307">
        <f t="shared" si="642"/>
        <v>0</v>
      </c>
      <c r="Y1505" s="307">
        <f t="shared" si="642"/>
        <v>0</v>
      </c>
      <c r="Z1505" s="307">
        <f t="shared" si="642"/>
        <v>0</v>
      </c>
      <c r="AA1505" s="307">
        <f t="shared" si="642"/>
        <v>0</v>
      </c>
      <c r="AB1505" s="307">
        <f t="shared" si="642"/>
        <v>0</v>
      </c>
      <c r="AC1505" s="309">
        <f t="shared" ref="AC1505:AC1508" si="644">SUM(Q1505:AB1505)</f>
        <v>916727796</v>
      </c>
      <c r="AD1505" s="284"/>
      <c r="AE1505" s="241"/>
      <c r="AF1505" s="310">
        <f t="shared" ref="AF1505:AF1506" si="645">AC1505-AC1506</f>
        <v>0</v>
      </c>
      <c r="AG1505" s="311" t="s">
        <v>226</v>
      </c>
      <c r="AH1505" s="194"/>
      <c r="AI1505" s="194"/>
    </row>
    <row r="1506" hidden="1">
      <c r="A1506" s="391"/>
      <c r="B1506" s="923"/>
      <c r="C1506" s="312"/>
      <c r="D1506" s="313" t="s">
        <v>1484</v>
      </c>
      <c r="E1506" s="331"/>
      <c r="F1506" s="331"/>
      <c r="G1506" s="331"/>
      <c r="H1506" s="199"/>
      <c r="I1506" s="199"/>
      <c r="J1506" s="222"/>
      <c r="K1506" s="222" t="s">
        <v>1387</v>
      </c>
      <c r="L1506" s="287"/>
      <c r="M1506" s="236"/>
      <c r="N1506" s="285"/>
      <c r="O1506" s="285"/>
      <c r="P1506" s="285"/>
      <c r="Q1506" s="288">
        <f t="shared" ref="Q1506:W1506" si="643">Q1352+Q1357+Q1362+Q1367+Q1372+Q1377+Q1382+Q1387+Q1392+Q1397+Q1402+Q1407+Q1412+Q1417+Q1422+Q1427+Q1432+Q1437+Q1442+Q1447+Q1452+Q1457+Q1462+Q1467+Q1472+Q1477+Q1482+Q1487+Q1492+Q1502</f>
        <v>229181949</v>
      </c>
      <c r="R1506" s="288">
        <f t="shared" si="643"/>
        <v>229181949</v>
      </c>
      <c r="S1506" s="288">
        <f t="shared" si="643"/>
        <v>229181949</v>
      </c>
      <c r="T1506" s="288">
        <f t="shared" si="643"/>
        <v>229181949</v>
      </c>
      <c r="U1506" s="288">
        <f t="shared" si="643"/>
        <v>0</v>
      </c>
      <c r="V1506" s="288">
        <f t="shared" si="643"/>
        <v>0</v>
      </c>
      <c r="W1506" s="288">
        <f t="shared" si="643"/>
        <v>0</v>
      </c>
      <c r="X1506" s="288"/>
      <c r="Y1506" s="288"/>
      <c r="Z1506" s="288"/>
      <c r="AA1506" s="288"/>
      <c r="AB1506" s="288"/>
      <c r="AC1506" s="378">
        <f t="shared" si="644"/>
        <v>916727796</v>
      </c>
      <c r="AD1506" s="214"/>
      <c r="AE1506" s="241"/>
      <c r="AF1506" s="316">
        <f t="shared" si="645"/>
        <v>0</v>
      </c>
      <c r="AG1506" s="311" t="s">
        <v>228</v>
      </c>
      <c r="AH1506" s="194"/>
      <c r="AI1506" s="194"/>
    </row>
    <row r="1507" hidden="1">
      <c r="A1507" s="391"/>
      <c r="B1507" s="923"/>
      <c r="C1507" s="317"/>
      <c r="D1507" s="318" t="s">
        <v>1485</v>
      </c>
      <c r="E1507" s="493"/>
      <c r="F1507" s="493"/>
      <c r="G1507" s="493"/>
      <c r="H1507" s="494"/>
      <c r="I1507" s="494"/>
      <c r="J1507" s="320"/>
      <c r="K1507" s="320" t="s">
        <v>1387</v>
      </c>
      <c r="L1507" s="321"/>
      <c r="M1507" s="322"/>
      <c r="N1507" s="323"/>
      <c r="O1507" s="323"/>
      <c r="P1507" s="323"/>
      <c r="Q1507" s="324">
        <f t="shared" ref="Q1507:W1507" si="646">Q1353+Q1358+Q1363+Q1368+Q1373+Q1378+Q1383+Q1388+Q1393+Q1398+Q1403+Q1408+Q1413+Q1418+Q1423+Q1428+Q1433+Q1438+Q1443+Q1448+Q1453+Q1458+Q1463+Q1468+Q1473+Q1478+Q1483+Q1488+Q1493+Q1503</f>
        <v>229181949</v>
      </c>
      <c r="R1507" s="324">
        <f t="shared" si="646"/>
        <v>229181949</v>
      </c>
      <c r="S1507" s="324">
        <f t="shared" si="646"/>
        <v>229181949</v>
      </c>
      <c r="T1507" s="324">
        <f t="shared" si="646"/>
        <v>229181949</v>
      </c>
      <c r="U1507" s="324">
        <f t="shared" si="646"/>
        <v>0</v>
      </c>
      <c r="V1507" s="324">
        <f t="shared" si="646"/>
        <v>0</v>
      </c>
      <c r="W1507" s="324">
        <f t="shared" si="646"/>
        <v>0</v>
      </c>
      <c r="X1507" s="324"/>
      <c r="Y1507" s="324"/>
      <c r="Z1507" s="324"/>
      <c r="AA1507" s="324"/>
      <c r="AB1507" s="324"/>
      <c r="AC1507" s="539">
        <f t="shared" si="644"/>
        <v>916727796</v>
      </c>
      <c r="AD1507" s="214"/>
      <c r="AE1507" s="241"/>
      <c r="AF1507" s="328">
        <f>AC1507</f>
        <v>916727796</v>
      </c>
      <c r="AG1507" s="311" t="s">
        <v>148</v>
      </c>
      <c r="AH1507" s="194"/>
      <c r="AI1507" s="194"/>
    </row>
    <row r="1508">
      <c r="A1508" s="391"/>
      <c r="B1508" s="924">
        <v>19.0</v>
      </c>
      <c r="C1508" s="329" t="s">
        <v>50</v>
      </c>
      <c r="D1508" s="724"/>
      <c r="E1508" s="496"/>
      <c r="F1508" s="496"/>
      <c r="G1508" s="496"/>
      <c r="H1508" s="332"/>
      <c r="I1508" s="332"/>
      <c r="J1508" s="333"/>
      <c r="K1508" s="928" t="s">
        <v>1486</v>
      </c>
      <c r="L1508" s="929"/>
      <c r="M1508" s="930"/>
      <c r="N1508" s="931"/>
      <c r="O1508" s="931"/>
      <c r="P1508" s="931"/>
      <c r="Q1508" s="337" t="str">
        <f t="shared" ref="Q1508:AB1508" si="647">Q1509</f>
        <v/>
      </c>
      <c r="R1508" s="337" t="str">
        <f t="shared" si="647"/>
        <v/>
      </c>
      <c r="S1508" s="337" t="str">
        <f t="shared" si="647"/>
        <v/>
      </c>
      <c r="T1508" s="337">
        <f t="shared" si="647"/>
        <v>47369000</v>
      </c>
      <c r="U1508" s="337">
        <f t="shared" si="647"/>
        <v>47369000</v>
      </c>
      <c r="V1508" s="337">
        <f t="shared" si="647"/>
        <v>47369000</v>
      </c>
      <c r="W1508" s="337">
        <f t="shared" si="647"/>
        <v>47369000</v>
      </c>
      <c r="X1508" s="337">
        <f t="shared" si="647"/>
        <v>47369000</v>
      </c>
      <c r="Y1508" s="337">
        <f t="shared" si="647"/>
        <v>47369000</v>
      </c>
      <c r="Z1508" s="337">
        <f t="shared" si="647"/>
        <v>47369000</v>
      </c>
      <c r="AA1508" s="337">
        <f t="shared" si="647"/>
        <v>47369000</v>
      </c>
      <c r="AB1508" s="337">
        <f t="shared" si="647"/>
        <v>47369000</v>
      </c>
      <c r="AC1508" s="338">
        <f t="shared" si="644"/>
        <v>426321000</v>
      </c>
      <c r="AD1508" s="178">
        <f>AC1508-AE1508</f>
        <v>0</v>
      </c>
      <c r="AE1508" s="241">
        <f>'Proker New'!Y265</f>
        <v>426321000</v>
      </c>
      <c r="AF1508" s="193" t="str">
        <f>C1508</f>
        <v>Nusa Tenggara Barat - Mataram (</v>
      </c>
      <c r="AG1508" s="194"/>
      <c r="AH1508" s="194"/>
      <c r="AI1508" s="194"/>
    </row>
    <row r="1509">
      <c r="A1509" s="391"/>
      <c r="B1509" s="893"/>
      <c r="C1509" s="196">
        <v>1.0</v>
      </c>
      <c r="D1509" s="925" t="s">
        <v>1487</v>
      </c>
      <c r="E1509" s="198" t="s">
        <v>186</v>
      </c>
      <c r="F1509" s="198" t="s">
        <v>135</v>
      </c>
      <c r="G1509" s="198" t="s">
        <v>135</v>
      </c>
      <c r="H1509" s="198" t="s">
        <v>203</v>
      </c>
      <c r="I1509" s="198" t="s">
        <v>187</v>
      </c>
      <c r="J1509" s="198" t="s">
        <v>188</v>
      </c>
      <c r="K1509" s="606" t="s">
        <v>1486</v>
      </c>
      <c r="L1509" s="895"/>
      <c r="M1509" s="240"/>
      <c r="N1509" s="388"/>
      <c r="O1509" s="388"/>
      <c r="P1509" s="388"/>
      <c r="Q1509" s="896"/>
      <c r="R1509" s="896"/>
      <c r="S1509" s="896"/>
      <c r="T1509" s="896">
        <v>4.7369E7</v>
      </c>
      <c r="U1509" s="896">
        <v>4.7369E7</v>
      </c>
      <c r="V1509" s="896">
        <v>4.7369E7</v>
      </c>
      <c r="W1509" s="896">
        <v>4.7369E7</v>
      </c>
      <c r="X1509" s="896">
        <v>4.7369E7</v>
      </c>
      <c r="Y1509" s="896">
        <v>4.7369E7</v>
      </c>
      <c r="Z1509" s="896">
        <v>4.7369E7</v>
      </c>
      <c r="AA1509" s="896">
        <v>4.7369E7</v>
      </c>
      <c r="AB1509" s="896">
        <v>4.7369E7</v>
      </c>
      <c r="AC1509" s="897">
        <v>4.26321E8</v>
      </c>
      <c r="AD1509" s="273">
        <f>SUM(Q1509:AB1509)-AC1509</f>
        <v>0</v>
      </c>
      <c r="AE1509" s="241"/>
      <c r="AF1509" s="194"/>
      <c r="AG1509" s="194"/>
      <c r="AH1509" s="194"/>
      <c r="AI1509" s="194"/>
    </row>
    <row r="1510" hidden="1">
      <c r="A1510" s="126"/>
      <c r="B1510" s="893"/>
      <c r="C1510" s="206"/>
      <c r="D1510" s="207"/>
      <c r="E1510" s="260"/>
      <c r="F1510" s="207"/>
      <c r="G1510" s="260"/>
      <c r="H1510" s="206"/>
      <c r="I1510" s="206"/>
      <c r="J1510" s="206"/>
      <c r="K1510" s="206" t="s">
        <v>1486</v>
      </c>
      <c r="L1510" s="277"/>
      <c r="M1510" s="244"/>
      <c r="N1510" s="389"/>
      <c r="O1510" s="389"/>
      <c r="P1510" s="389"/>
      <c r="Q1510" s="212"/>
      <c r="R1510" s="212"/>
      <c r="S1510" s="212"/>
      <c r="T1510" s="212"/>
      <c r="U1510" s="212"/>
      <c r="V1510" s="212"/>
      <c r="W1510" s="212"/>
      <c r="X1510" s="212"/>
      <c r="Y1510" s="212"/>
      <c r="Z1510" s="212"/>
      <c r="AA1510" s="212"/>
      <c r="AB1510" s="212"/>
      <c r="AC1510" s="213">
        <f t="shared" ref="AC1510:AC1518" si="648">SUM(Q1510:AB1510)</f>
        <v>0</v>
      </c>
      <c r="AD1510" s="273"/>
      <c r="AE1510" s="192"/>
      <c r="AF1510" s="194"/>
      <c r="AG1510" s="194"/>
      <c r="AH1510" s="194"/>
      <c r="AI1510" s="194"/>
    </row>
    <row r="1511" hidden="1">
      <c r="A1511" s="391"/>
      <c r="B1511" s="893"/>
      <c r="C1511" s="222"/>
      <c r="D1511" s="250" t="s">
        <v>1488</v>
      </c>
      <c r="E1511" s="233"/>
      <c r="F1511" s="224"/>
      <c r="G1511" s="233"/>
      <c r="H1511" s="222"/>
      <c r="I1511" s="222"/>
      <c r="J1511" s="222"/>
      <c r="K1511" s="222" t="s">
        <v>1486</v>
      </c>
      <c r="L1511" s="225"/>
      <c r="M1511" s="236"/>
      <c r="N1511" s="285"/>
      <c r="O1511" s="285"/>
      <c r="P1511" s="285"/>
      <c r="Q1511" s="230"/>
      <c r="R1511" s="230"/>
      <c r="S1511" s="230"/>
      <c r="T1511" s="230"/>
      <c r="U1511" s="230"/>
      <c r="V1511" s="230"/>
      <c r="W1511" s="230"/>
      <c r="X1511" s="230"/>
      <c r="Y1511" s="230"/>
      <c r="Z1511" s="230"/>
      <c r="AA1511" s="230"/>
      <c r="AB1511" s="230"/>
      <c r="AC1511" s="231">
        <f t="shared" si="648"/>
        <v>0</v>
      </c>
      <c r="AD1511" s="273"/>
      <c r="AE1511" s="241"/>
      <c r="AF1511" s="194"/>
      <c r="AG1511" s="194"/>
      <c r="AH1511" s="194"/>
      <c r="AI1511" s="194"/>
    </row>
    <row r="1512" hidden="1">
      <c r="A1512" s="391"/>
      <c r="B1512" s="902"/>
      <c r="C1512" s="222"/>
      <c r="D1512" s="286" t="s">
        <v>194</v>
      </c>
      <c r="E1512" s="233"/>
      <c r="F1512" s="233"/>
      <c r="G1512" s="233"/>
      <c r="H1512" s="234"/>
      <c r="I1512" s="234"/>
      <c r="J1512" s="222"/>
      <c r="K1512" s="222" t="s">
        <v>1486</v>
      </c>
      <c r="L1512" s="287"/>
      <c r="M1512" s="236"/>
      <c r="N1512" s="285"/>
      <c r="O1512" s="285"/>
      <c r="P1512" s="285"/>
      <c r="Q1512" s="288"/>
      <c r="R1512" s="288"/>
      <c r="S1512" s="288"/>
      <c r="T1512" s="288"/>
      <c r="U1512" s="288"/>
      <c r="V1512" s="288"/>
      <c r="W1512" s="288"/>
      <c r="X1512" s="288"/>
      <c r="Y1512" s="288"/>
      <c r="Z1512" s="288"/>
      <c r="AA1512" s="288"/>
      <c r="AB1512" s="288"/>
      <c r="AC1512" s="378">
        <f t="shared" si="648"/>
        <v>0</v>
      </c>
      <c r="AD1512" s="271"/>
      <c r="AE1512" s="241"/>
      <c r="AF1512" s="194"/>
      <c r="AG1512" s="194"/>
      <c r="AH1512" s="194"/>
      <c r="AI1512" s="194"/>
    </row>
    <row r="1513" hidden="1">
      <c r="A1513" s="391"/>
      <c r="B1513" s="902"/>
      <c r="C1513" s="222"/>
      <c r="D1513" s="286" t="s">
        <v>1489</v>
      </c>
      <c r="E1513" s="233"/>
      <c r="F1513" s="233"/>
      <c r="G1513" s="233"/>
      <c r="H1513" s="234"/>
      <c r="I1513" s="234"/>
      <c r="J1513" s="222"/>
      <c r="K1513" s="222" t="s">
        <v>1486</v>
      </c>
      <c r="L1513" s="287"/>
      <c r="M1513" s="236"/>
      <c r="N1513" s="285"/>
      <c r="O1513" s="285"/>
      <c r="P1513" s="285"/>
      <c r="Q1513" s="288"/>
      <c r="R1513" s="288"/>
      <c r="S1513" s="288"/>
      <c r="T1513" s="288"/>
      <c r="U1513" s="288"/>
      <c r="V1513" s="288"/>
      <c r="W1513" s="288"/>
      <c r="X1513" s="288"/>
      <c r="Y1513" s="288"/>
      <c r="Z1513" s="288"/>
      <c r="AA1513" s="288"/>
      <c r="AB1513" s="288"/>
      <c r="AC1513" s="378">
        <f t="shared" si="648"/>
        <v>0</v>
      </c>
      <c r="AD1513" s="271"/>
      <c r="AE1513" s="241"/>
      <c r="AF1513" s="194"/>
      <c r="AG1513" s="194"/>
      <c r="AH1513" s="194"/>
      <c r="AI1513" s="194"/>
    </row>
    <row r="1514" hidden="1">
      <c r="A1514" s="126"/>
      <c r="B1514" s="181"/>
      <c r="C1514" s="289"/>
      <c r="D1514" s="290" t="s">
        <v>1490</v>
      </c>
      <c r="E1514" s="487"/>
      <c r="F1514" s="487"/>
      <c r="G1514" s="487"/>
      <c r="H1514" s="291"/>
      <c r="I1514" s="291"/>
      <c r="J1514" s="292"/>
      <c r="K1514" s="292" t="s">
        <v>1486</v>
      </c>
      <c r="L1514" s="293"/>
      <c r="M1514" s="294"/>
      <c r="N1514" s="295"/>
      <c r="O1514" s="295"/>
      <c r="P1514" s="295"/>
      <c r="Q1514" s="296" t="str">
        <f t="shared" ref="Q1514:AB1514" si="649">Q1510</f>
        <v/>
      </c>
      <c r="R1514" s="296" t="str">
        <f t="shared" si="649"/>
        <v/>
      </c>
      <c r="S1514" s="296" t="str">
        <f t="shared" si="649"/>
        <v/>
      </c>
      <c r="T1514" s="296" t="str">
        <f t="shared" si="649"/>
        <v/>
      </c>
      <c r="U1514" s="296" t="str">
        <f t="shared" si="649"/>
        <v/>
      </c>
      <c r="V1514" s="296" t="str">
        <f t="shared" si="649"/>
        <v/>
      </c>
      <c r="W1514" s="296" t="str">
        <f t="shared" si="649"/>
        <v/>
      </c>
      <c r="X1514" s="296" t="str">
        <f t="shared" si="649"/>
        <v/>
      </c>
      <c r="Y1514" s="296" t="str">
        <f t="shared" si="649"/>
        <v/>
      </c>
      <c r="Z1514" s="296" t="str">
        <f t="shared" si="649"/>
        <v/>
      </c>
      <c r="AA1514" s="296" t="str">
        <f t="shared" si="649"/>
        <v/>
      </c>
      <c r="AB1514" s="296" t="str">
        <f t="shared" si="649"/>
        <v/>
      </c>
      <c r="AC1514" s="547">
        <f t="shared" si="648"/>
        <v>0</v>
      </c>
      <c r="AD1514" s="264"/>
      <c r="AE1514" s="241"/>
      <c r="AF1514" s="194"/>
      <c r="AG1514" s="194"/>
      <c r="AH1514" s="194"/>
      <c r="AI1514" s="194"/>
    </row>
    <row r="1515" hidden="1">
      <c r="A1515" s="391"/>
      <c r="B1515" s="298"/>
      <c r="C1515" s="299"/>
      <c r="D1515" s="300" t="s">
        <v>1491</v>
      </c>
      <c r="E1515" s="488"/>
      <c r="F1515" s="488"/>
      <c r="G1515" s="488"/>
      <c r="H1515" s="301"/>
      <c r="I1515" s="301"/>
      <c r="J1515" s="489"/>
      <c r="K1515" s="489" t="s">
        <v>1486</v>
      </c>
      <c r="L1515" s="304"/>
      <c r="M1515" s="305"/>
      <c r="N1515" s="306"/>
      <c r="O1515" s="306"/>
      <c r="P1515" s="306"/>
      <c r="Q1515" s="307" t="str">
        <f t="shared" ref="Q1515:AB1515" si="650">Q1511</f>
        <v/>
      </c>
      <c r="R1515" s="307" t="str">
        <f t="shared" si="650"/>
        <v/>
      </c>
      <c r="S1515" s="307" t="str">
        <f t="shared" si="650"/>
        <v/>
      </c>
      <c r="T1515" s="307" t="str">
        <f t="shared" si="650"/>
        <v/>
      </c>
      <c r="U1515" s="307" t="str">
        <f t="shared" si="650"/>
        <v/>
      </c>
      <c r="V1515" s="307" t="str">
        <f t="shared" si="650"/>
        <v/>
      </c>
      <c r="W1515" s="307" t="str">
        <f t="shared" si="650"/>
        <v/>
      </c>
      <c r="X1515" s="307" t="str">
        <f t="shared" si="650"/>
        <v/>
      </c>
      <c r="Y1515" s="307" t="str">
        <f t="shared" si="650"/>
        <v/>
      </c>
      <c r="Z1515" s="307" t="str">
        <f t="shared" si="650"/>
        <v/>
      </c>
      <c r="AA1515" s="307" t="str">
        <f t="shared" si="650"/>
        <v/>
      </c>
      <c r="AB1515" s="307" t="str">
        <f t="shared" si="650"/>
        <v/>
      </c>
      <c r="AC1515" s="309">
        <f t="shared" si="648"/>
        <v>0</v>
      </c>
      <c r="AD1515" s="273"/>
      <c r="AE1515" s="192"/>
      <c r="AF1515" s="310">
        <f t="shared" ref="AF1515:AF1516" si="651">AC1515-AC1516</f>
        <v>0</v>
      </c>
      <c r="AG1515" s="311" t="s">
        <v>226</v>
      </c>
      <c r="AH1515" s="194"/>
      <c r="AI1515" s="194"/>
    </row>
    <row r="1516" hidden="1">
      <c r="A1516" s="391"/>
      <c r="B1516" s="923"/>
      <c r="C1516" s="653"/>
      <c r="D1516" s="313" t="s">
        <v>1492</v>
      </c>
      <c r="E1516" s="331"/>
      <c r="F1516" s="331"/>
      <c r="G1516" s="331"/>
      <c r="H1516" s="199"/>
      <c r="I1516" s="199"/>
      <c r="J1516" s="222"/>
      <c r="K1516" s="222" t="s">
        <v>1486</v>
      </c>
      <c r="L1516" s="287"/>
      <c r="M1516" s="236"/>
      <c r="N1516" s="285"/>
      <c r="O1516" s="285"/>
      <c r="P1516" s="285"/>
      <c r="Q1516" s="288"/>
      <c r="R1516" s="288"/>
      <c r="S1516" s="288"/>
      <c r="T1516" s="288"/>
      <c r="U1516" s="288"/>
      <c r="V1516" s="288"/>
      <c r="W1516" s="288"/>
      <c r="X1516" s="288"/>
      <c r="Y1516" s="288"/>
      <c r="Z1516" s="288"/>
      <c r="AA1516" s="288"/>
      <c r="AB1516" s="288"/>
      <c r="AC1516" s="378">
        <f t="shared" si="648"/>
        <v>0</v>
      </c>
      <c r="AD1516" s="214"/>
      <c r="AE1516" s="192"/>
      <c r="AF1516" s="316">
        <f t="shared" si="651"/>
        <v>0</v>
      </c>
      <c r="AG1516" s="311" t="s">
        <v>228</v>
      </c>
      <c r="AH1516" s="194"/>
      <c r="AI1516" s="194"/>
    </row>
    <row r="1517" hidden="1">
      <c r="A1517" s="391"/>
      <c r="B1517" s="923"/>
      <c r="C1517" s="654"/>
      <c r="D1517" s="318" t="s">
        <v>1493</v>
      </c>
      <c r="E1517" s="493"/>
      <c r="F1517" s="493"/>
      <c r="G1517" s="493"/>
      <c r="H1517" s="494"/>
      <c r="I1517" s="494"/>
      <c r="J1517" s="320"/>
      <c r="K1517" s="320" t="s">
        <v>1486</v>
      </c>
      <c r="L1517" s="321"/>
      <c r="M1517" s="322"/>
      <c r="N1517" s="323"/>
      <c r="O1517" s="323"/>
      <c r="P1517" s="323"/>
      <c r="Q1517" s="324"/>
      <c r="R1517" s="324"/>
      <c r="S1517" s="324"/>
      <c r="T1517" s="324"/>
      <c r="U1517" s="324"/>
      <c r="V1517" s="324"/>
      <c r="W1517" s="324"/>
      <c r="X1517" s="324"/>
      <c r="Y1517" s="324"/>
      <c r="Z1517" s="324"/>
      <c r="AA1517" s="324"/>
      <c r="AB1517" s="324"/>
      <c r="AC1517" s="539">
        <f t="shared" si="648"/>
        <v>0</v>
      </c>
      <c r="AD1517" s="214"/>
      <c r="AE1517" s="192"/>
      <c r="AF1517" s="328">
        <f>AC1517</f>
        <v>0</v>
      </c>
      <c r="AG1517" s="311" t="s">
        <v>148</v>
      </c>
      <c r="AH1517" s="194"/>
      <c r="AI1517" s="194"/>
    </row>
    <row r="1518">
      <c r="A1518" s="391"/>
      <c r="B1518" s="924">
        <v>20.0</v>
      </c>
      <c r="C1518" s="656" t="s">
        <v>1494</v>
      </c>
      <c r="D1518" s="724"/>
      <c r="E1518" s="496"/>
      <c r="F1518" s="496"/>
      <c r="G1518" s="496"/>
      <c r="H1518" s="332"/>
      <c r="I1518" s="332"/>
      <c r="J1518" s="333"/>
      <c r="K1518" s="928" t="s">
        <v>1495</v>
      </c>
      <c r="L1518" s="929" t="str">
        <f>L1519+#REF!</f>
        <v>#REF!</v>
      </c>
      <c r="M1518" s="930"/>
      <c r="N1518" s="931"/>
      <c r="O1518" s="931"/>
      <c r="P1518" s="931"/>
      <c r="Q1518" s="337">
        <f t="shared" ref="Q1518:AB1518" si="652">Q1519+Q1524</f>
        <v>833333333.3</v>
      </c>
      <c r="R1518" s="337">
        <f t="shared" si="652"/>
        <v>833333333.3</v>
      </c>
      <c r="S1518" s="337">
        <f t="shared" si="652"/>
        <v>833333333.3</v>
      </c>
      <c r="T1518" s="337">
        <f t="shared" si="652"/>
        <v>890169517.3</v>
      </c>
      <c r="U1518" s="337">
        <f t="shared" si="652"/>
        <v>890169517.3</v>
      </c>
      <c r="V1518" s="337">
        <f t="shared" si="652"/>
        <v>890169517.3</v>
      </c>
      <c r="W1518" s="337">
        <f t="shared" si="652"/>
        <v>890169517.3</v>
      </c>
      <c r="X1518" s="337">
        <f t="shared" si="652"/>
        <v>890169517.3</v>
      </c>
      <c r="Y1518" s="337">
        <f t="shared" si="652"/>
        <v>890169517.3</v>
      </c>
      <c r="Z1518" s="337">
        <f t="shared" si="652"/>
        <v>890169517.3</v>
      </c>
      <c r="AA1518" s="337">
        <f t="shared" si="652"/>
        <v>890169517.3</v>
      </c>
      <c r="AB1518" s="337">
        <f t="shared" si="652"/>
        <v>890169517.3</v>
      </c>
      <c r="AC1518" s="338">
        <f t="shared" si="648"/>
        <v>10511525656</v>
      </c>
      <c r="AD1518" s="178">
        <f>AC1518-AE1518</f>
        <v>0</v>
      </c>
      <c r="AE1518" s="241">
        <f>'Proker New'!Y267</f>
        <v>10511525656</v>
      </c>
      <c r="AF1518" s="193" t="str">
        <f>C1518</f>
        <v>Nusa Tenggara Timur-  Kupang (</v>
      </c>
      <c r="AG1518" s="194"/>
      <c r="AH1518" s="194"/>
      <c r="AI1518" s="194"/>
    </row>
    <row r="1519">
      <c r="A1519" s="391"/>
      <c r="B1519" s="893"/>
      <c r="C1519" s="196">
        <v>1.0</v>
      </c>
      <c r="D1519" s="925" t="s">
        <v>1496</v>
      </c>
      <c r="E1519" s="198" t="s">
        <v>186</v>
      </c>
      <c r="F1519" s="198" t="s">
        <v>103</v>
      </c>
      <c r="G1519" s="198" t="s">
        <v>86</v>
      </c>
      <c r="H1519" s="198" t="s">
        <v>86</v>
      </c>
      <c r="I1519" s="198" t="s">
        <v>187</v>
      </c>
      <c r="J1519" s="198" t="s">
        <v>188</v>
      </c>
      <c r="K1519" s="606" t="s">
        <v>1497</v>
      </c>
      <c r="L1519" s="895"/>
      <c r="M1519" s="240"/>
      <c r="N1519" s="388"/>
      <c r="O1519" s="388"/>
      <c r="P1519" s="388"/>
      <c r="Q1519" s="896"/>
      <c r="R1519" s="896"/>
      <c r="S1519" s="896"/>
      <c r="T1519" s="896">
        <v>5.6836184E7</v>
      </c>
      <c r="U1519" s="896">
        <v>5.6836184E7</v>
      </c>
      <c r="V1519" s="896">
        <v>5.6836184E7</v>
      </c>
      <c r="W1519" s="896">
        <v>5.6836184E7</v>
      </c>
      <c r="X1519" s="896">
        <v>5.6836184E7</v>
      </c>
      <c r="Y1519" s="896">
        <v>5.6836184E7</v>
      </c>
      <c r="Z1519" s="896">
        <v>5.6836184E7</v>
      </c>
      <c r="AA1519" s="896">
        <v>5.6836184E7</v>
      </c>
      <c r="AB1519" s="896">
        <v>5.6836184E7</v>
      </c>
      <c r="AC1519" s="897">
        <v>5.11525656E8</v>
      </c>
      <c r="AD1519" s="273">
        <f>SUM(Q1519:AB1519)-AC1519</f>
        <v>0</v>
      </c>
      <c r="AE1519" s="241"/>
      <c r="AF1519" s="194"/>
      <c r="AG1519" s="194"/>
      <c r="AH1519" s="194"/>
      <c r="AI1519" s="194"/>
    </row>
    <row r="1520" hidden="1">
      <c r="A1520" s="126"/>
      <c r="B1520" s="893"/>
      <c r="C1520" s="206"/>
      <c r="D1520" s="207"/>
      <c r="E1520" s="260"/>
      <c r="F1520" s="207"/>
      <c r="G1520" s="260"/>
      <c r="H1520" s="206"/>
      <c r="I1520" s="206"/>
      <c r="J1520" s="206"/>
      <c r="K1520" s="206" t="s">
        <v>1497</v>
      </c>
      <c r="L1520" s="277"/>
      <c r="M1520" s="244"/>
      <c r="N1520" s="389"/>
      <c r="O1520" s="389"/>
      <c r="P1520" s="389"/>
      <c r="Q1520" s="212"/>
      <c r="R1520" s="212"/>
      <c r="S1520" s="212"/>
      <c r="T1520" s="212"/>
      <c r="U1520" s="212"/>
      <c r="V1520" s="212"/>
      <c r="W1520" s="212"/>
      <c r="X1520" s="212"/>
      <c r="Y1520" s="212"/>
      <c r="Z1520" s="212"/>
      <c r="AA1520" s="212"/>
      <c r="AB1520" s="212"/>
      <c r="AC1520" s="213">
        <f t="shared" ref="AC1520:AC1523" si="653">SUM(Q1520:AB1520)</f>
        <v>0</v>
      </c>
      <c r="AD1520" s="974"/>
      <c r="AE1520" s="241"/>
      <c r="AF1520" s="194"/>
      <c r="AG1520" s="194"/>
      <c r="AH1520" s="194"/>
      <c r="AI1520" s="194"/>
    </row>
    <row r="1521" hidden="1">
      <c r="A1521" s="391"/>
      <c r="B1521" s="893"/>
      <c r="C1521" s="222"/>
      <c r="D1521" s="250" t="s">
        <v>1498</v>
      </c>
      <c r="E1521" s="233"/>
      <c r="F1521" s="224"/>
      <c r="G1521" s="233"/>
      <c r="H1521" s="222"/>
      <c r="I1521" s="222"/>
      <c r="J1521" s="222"/>
      <c r="K1521" s="222" t="s">
        <v>1497</v>
      </c>
      <c r="L1521" s="225"/>
      <c r="M1521" s="236"/>
      <c r="N1521" s="285"/>
      <c r="O1521" s="285"/>
      <c r="P1521" s="285"/>
      <c r="Q1521" s="230"/>
      <c r="R1521" s="230"/>
      <c r="S1521" s="230"/>
      <c r="T1521" s="230"/>
      <c r="U1521" s="230"/>
      <c r="V1521" s="230"/>
      <c r="W1521" s="230"/>
      <c r="X1521" s="230"/>
      <c r="Y1521" s="230"/>
      <c r="Z1521" s="230"/>
      <c r="AA1521" s="230"/>
      <c r="AB1521" s="230"/>
      <c r="AC1521" s="231">
        <f t="shared" si="653"/>
        <v>0</v>
      </c>
      <c r="AD1521" s="974" t="s">
        <v>1108</v>
      </c>
      <c r="AE1521" s="241"/>
      <c r="AF1521" s="194"/>
      <c r="AG1521" s="194"/>
      <c r="AH1521" s="194"/>
      <c r="AI1521" s="194"/>
    </row>
    <row r="1522" hidden="1">
      <c r="A1522" s="391"/>
      <c r="B1522" s="893"/>
      <c r="C1522" s="196"/>
      <c r="D1522" s="286" t="s">
        <v>194</v>
      </c>
      <c r="E1522" s="233"/>
      <c r="F1522" s="233"/>
      <c r="G1522" s="233"/>
      <c r="H1522" s="234"/>
      <c r="I1522" s="234"/>
      <c r="J1522" s="222"/>
      <c r="K1522" s="222" t="s">
        <v>1497</v>
      </c>
      <c r="L1522" s="225"/>
      <c r="M1522" s="255"/>
      <c r="N1522" s="365"/>
      <c r="O1522" s="365"/>
      <c r="P1522" s="365"/>
      <c r="Q1522" s="238"/>
      <c r="R1522" s="238"/>
      <c r="S1522" s="238"/>
      <c r="T1522" s="238"/>
      <c r="U1522" s="238"/>
      <c r="V1522" s="238"/>
      <c r="W1522" s="238"/>
      <c r="X1522" s="238"/>
      <c r="Y1522" s="238"/>
      <c r="Z1522" s="238"/>
      <c r="AA1522" s="238"/>
      <c r="AB1522" s="238"/>
      <c r="AC1522" s="378">
        <f t="shared" si="653"/>
        <v>0</v>
      </c>
      <c r="AD1522" s="214"/>
      <c r="AE1522" s="241"/>
      <c r="AF1522" s="194"/>
      <c r="AG1522" s="194"/>
      <c r="AH1522" s="194"/>
      <c r="AI1522" s="194"/>
    </row>
    <row r="1523" hidden="1">
      <c r="A1523" s="391"/>
      <c r="B1523" s="893"/>
      <c r="C1523" s="196"/>
      <c r="D1523" s="286" t="s">
        <v>1499</v>
      </c>
      <c r="E1523" s="233"/>
      <c r="F1523" s="233"/>
      <c r="G1523" s="233"/>
      <c r="H1523" s="234"/>
      <c r="I1523" s="234"/>
      <c r="J1523" s="222"/>
      <c r="K1523" s="222" t="s">
        <v>1497</v>
      </c>
      <c r="L1523" s="225"/>
      <c r="M1523" s="255"/>
      <c r="N1523" s="365"/>
      <c r="O1523" s="365"/>
      <c r="P1523" s="365"/>
      <c r="Q1523" s="238"/>
      <c r="R1523" s="238"/>
      <c r="S1523" s="238"/>
      <c r="T1523" s="238"/>
      <c r="U1523" s="238"/>
      <c r="V1523" s="238"/>
      <c r="W1523" s="238"/>
      <c r="X1523" s="238"/>
      <c r="Y1523" s="238"/>
      <c r="Z1523" s="238"/>
      <c r="AA1523" s="238"/>
      <c r="AB1523" s="238"/>
      <c r="AC1523" s="378">
        <f t="shared" si="653"/>
        <v>0</v>
      </c>
      <c r="AD1523" s="214"/>
      <c r="AE1523" s="241"/>
      <c r="AF1523" s="194"/>
      <c r="AG1523" s="194"/>
      <c r="AH1523" s="194"/>
      <c r="AI1523" s="194"/>
    </row>
    <row r="1524">
      <c r="A1524" s="391"/>
      <c r="B1524" s="195"/>
      <c r="C1524" s="196">
        <v>2.0</v>
      </c>
      <c r="D1524" s="730" t="s">
        <v>1500</v>
      </c>
      <c r="E1524" s="198" t="s">
        <v>186</v>
      </c>
      <c r="F1524" s="198" t="s">
        <v>135</v>
      </c>
      <c r="G1524" s="198" t="s">
        <v>135</v>
      </c>
      <c r="H1524" s="198" t="s">
        <v>203</v>
      </c>
      <c r="I1524" s="198" t="s">
        <v>1010</v>
      </c>
      <c r="J1524" s="198" t="s">
        <v>367</v>
      </c>
      <c r="K1524" s="937" t="s">
        <v>1501</v>
      </c>
      <c r="L1524" s="895">
        <f>626402376</f>
        <v>626402376</v>
      </c>
      <c r="M1524" s="201" t="s">
        <v>1502</v>
      </c>
      <c r="N1524" s="541"/>
      <c r="O1524" s="541">
        <v>45505.0</v>
      </c>
      <c r="P1524" s="541">
        <v>46234.0</v>
      </c>
      <c r="Q1524" s="204">
        <v>8.333333333333334E8</v>
      </c>
      <c r="R1524" s="204">
        <v>8.333333333333334E8</v>
      </c>
      <c r="S1524" s="204">
        <v>8.333333333333334E8</v>
      </c>
      <c r="T1524" s="204">
        <v>8.333333333333334E8</v>
      </c>
      <c r="U1524" s="204">
        <v>8.333333333333334E8</v>
      </c>
      <c r="V1524" s="204">
        <v>8.333333333333334E8</v>
      </c>
      <c r="W1524" s="204">
        <v>8.333333333333334E8</v>
      </c>
      <c r="X1524" s="204">
        <v>8.333333333333334E8</v>
      </c>
      <c r="Y1524" s="204">
        <v>8.333333333333334E8</v>
      </c>
      <c r="Z1524" s="204">
        <v>8.333333333333334E8</v>
      </c>
      <c r="AA1524" s="204">
        <v>8.333333333333334E8</v>
      </c>
      <c r="AB1524" s="204">
        <v>8.333333333333334E8</v>
      </c>
      <c r="AC1524" s="205">
        <v>1.0E10</v>
      </c>
      <c r="AD1524" s="178">
        <f>SUM(Q1524:AB1524)-AC1524</f>
        <v>0</v>
      </c>
      <c r="AE1524" s="241"/>
      <c r="AF1524" s="194"/>
      <c r="AG1524" s="194"/>
      <c r="AH1524" s="194"/>
      <c r="AI1524" s="194"/>
    </row>
    <row r="1525" hidden="1">
      <c r="A1525" s="126"/>
      <c r="B1525" s="195"/>
      <c r="C1525" s="206"/>
      <c r="D1525" s="207"/>
      <c r="E1525" s="260"/>
      <c r="F1525" s="207"/>
      <c r="G1525" s="260"/>
      <c r="H1525" s="206"/>
      <c r="I1525" s="206"/>
      <c r="J1525" s="206"/>
      <c r="K1525" s="206" t="s">
        <v>1501</v>
      </c>
      <c r="L1525" s="277"/>
      <c r="M1525" s="244"/>
      <c r="N1525" s="389"/>
      <c r="O1525" s="389"/>
      <c r="P1525" s="389"/>
      <c r="Q1525" s="212">
        <f>L1524/24</f>
        <v>26100099</v>
      </c>
      <c r="R1525" s="212">
        <f t="shared" ref="R1525:AB1525" si="654">Q1525</f>
        <v>26100099</v>
      </c>
      <c r="S1525" s="212">
        <f t="shared" si="654"/>
        <v>26100099</v>
      </c>
      <c r="T1525" s="212">
        <f t="shared" si="654"/>
        <v>26100099</v>
      </c>
      <c r="U1525" s="212">
        <f t="shared" si="654"/>
        <v>26100099</v>
      </c>
      <c r="V1525" s="212">
        <f t="shared" si="654"/>
        <v>26100099</v>
      </c>
      <c r="W1525" s="212">
        <f t="shared" si="654"/>
        <v>26100099</v>
      </c>
      <c r="X1525" s="212">
        <f t="shared" si="654"/>
        <v>26100099</v>
      </c>
      <c r="Y1525" s="212">
        <f t="shared" si="654"/>
        <v>26100099</v>
      </c>
      <c r="Z1525" s="212">
        <f t="shared" si="654"/>
        <v>26100099</v>
      </c>
      <c r="AA1525" s="212">
        <f t="shared" si="654"/>
        <v>26100099</v>
      </c>
      <c r="AB1525" s="212">
        <f t="shared" si="654"/>
        <v>26100099</v>
      </c>
      <c r="AC1525" s="213">
        <f t="shared" ref="AC1525:AC1532" si="656">SUM(Q1525:AB1525)</f>
        <v>313201188</v>
      </c>
      <c r="AD1525" s="548"/>
      <c r="AE1525" s="241"/>
      <c r="AF1525" s="194"/>
      <c r="AG1525" s="194"/>
      <c r="AH1525" s="194"/>
      <c r="AI1525" s="194"/>
    </row>
    <row r="1526" hidden="1">
      <c r="A1526" s="391"/>
      <c r="B1526" s="195"/>
      <c r="C1526" s="222"/>
      <c r="D1526" s="250" t="s">
        <v>1503</v>
      </c>
      <c r="E1526" s="233"/>
      <c r="F1526" s="224"/>
      <c r="G1526" s="233"/>
      <c r="H1526" s="222"/>
      <c r="I1526" s="222"/>
      <c r="J1526" s="222"/>
      <c r="K1526" s="222" t="s">
        <v>1501</v>
      </c>
      <c r="L1526" s="225"/>
      <c r="M1526" s="236"/>
      <c r="N1526" s="285"/>
      <c r="O1526" s="285"/>
      <c r="P1526" s="285"/>
      <c r="Q1526" s="230">
        <f t="shared" ref="Q1526:Q1528" si="657">26100099</f>
        <v>26100099</v>
      </c>
      <c r="R1526" s="230">
        <f t="shared" ref="R1526:V1526" si="655">Q1526</f>
        <v>26100099</v>
      </c>
      <c r="S1526" s="230">
        <f t="shared" si="655"/>
        <v>26100099</v>
      </c>
      <c r="T1526" s="230">
        <f t="shared" si="655"/>
        <v>26100099</v>
      </c>
      <c r="U1526" s="230">
        <f t="shared" si="655"/>
        <v>26100099</v>
      </c>
      <c r="V1526" s="230">
        <f t="shared" si="655"/>
        <v>26100099</v>
      </c>
      <c r="W1526" s="230"/>
      <c r="X1526" s="230"/>
      <c r="Y1526" s="230"/>
      <c r="Z1526" s="230"/>
      <c r="AA1526" s="230"/>
      <c r="AB1526" s="230"/>
      <c r="AC1526" s="231">
        <f t="shared" si="656"/>
        <v>156600594</v>
      </c>
      <c r="AD1526" s="548"/>
      <c r="AE1526" s="192"/>
      <c r="AF1526" s="194"/>
      <c r="AG1526" s="194"/>
      <c r="AH1526" s="194"/>
      <c r="AI1526" s="194"/>
    </row>
    <row r="1527" hidden="1">
      <c r="A1527" s="391"/>
      <c r="B1527" s="982"/>
      <c r="C1527" s="222"/>
      <c r="D1527" s="286" t="s">
        <v>194</v>
      </c>
      <c r="E1527" s="233"/>
      <c r="F1527" s="233"/>
      <c r="G1527" s="233"/>
      <c r="H1527" s="234"/>
      <c r="I1527" s="234"/>
      <c r="J1527" s="222"/>
      <c r="K1527" s="222" t="s">
        <v>1501</v>
      </c>
      <c r="L1527" s="287"/>
      <c r="M1527" s="236"/>
      <c r="N1527" s="285"/>
      <c r="O1527" s="285"/>
      <c r="P1527" s="285"/>
      <c r="Q1527" s="230">
        <f t="shared" si="657"/>
        <v>26100099</v>
      </c>
      <c r="R1527" s="230">
        <f t="shared" ref="R1527:V1527" si="658">Q1527</f>
        <v>26100099</v>
      </c>
      <c r="S1527" s="230">
        <f t="shared" si="658"/>
        <v>26100099</v>
      </c>
      <c r="T1527" s="230">
        <f t="shared" si="658"/>
        <v>26100099</v>
      </c>
      <c r="U1527" s="230">
        <f t="shared" si="658"/>
        <v>26100099</v>
      </c>
      <c r="V1527" s="230">
        <f t="shared" si="658"/>
        <v>26100099</v>
      </c>
      <c r="W1527" s="288"/>
      <c r="X1527" s="288"/>
      <c r="Y1527" s="288"/>
      <c r="Z1527" s="288"/>
      <c r="AA1527" s="288"/>
      <c r="AB1527" s="288"/>
      <c r="AC1527" s="378">
        <f t="shared" si="656"/>
        <v>156600594</v>
      </c>
      <c r="AD1527" s="273"/>
      <c r="AE1527" s="192"/>
      <c r="AF1527" s="194"/>
      <c r="AG1527" s="194"/>
      <c r="AH1527" s="194"/>
      <c r="AI1527" s="194"/>
    </row>
    <row r="1528" hidden="1">
      <c r="A1528" s="391"/>
      <c r="B1528" s="982"/>
      <c r="C1528" s="222"/>
      <c r="D1528" s="286" t="s">
        <v>1504</v>
      </c>
      <c r="E1528" s="233"/>
      <c r="F1528" s="233"/>
      <c r="G1528" s="233"/>
      <c r="H1528" s="234"/>
      <c r="I1528" s="234"/>
      <c r="J1528" s="222"/>
      <c r="K1528" s="222" t="s">
        <v>1501</v>
      </c>
      <c r="L1528" s="287"/>
      <c r="M1528" s="236"/>
      <c r="N1528" s="285"/>
      <c r="O1528" s="285"/>
      <c r="P1528" s="285"/>
      <c r="Q1528" s="230">
        <f t="shared" si="657"/>
        <v>26100099</v>
      </c>
      <c r="R1528" s="230">
        <f t="shared" ref="R1528:V1528" si="659">Q1528</f>
        <v>26100099</v>
      </c>
      <c r="S1528" s="230">
        <f t="shared" si="659"/>
        <v>26100099</v>
      </c>
      <c r="T1528" s="230">
        <f t="shared" si="659"/>
        <v>26100099</v>
      </c>
      <c r="U1528" s="230">
        <f t="shared" si="659"/>
        <v>26100099</v>
      </c>
      <c r="V1528" s="230">
        <f t="shared" si="659"/>
        <v>26100099</v>
      </c>
      <c r="W1528" s="288"/>
      <c r="X1528" s="288"/>
      <c r="Y1528" s="288"/>
      <c r="Z1528" s="288"/>
      <c r="AA1528" s="288"/>
      <c r="AB1528" s="288"/>
      <c r="AC1528" s="378">
        <f t="shared" si="656"/>
        <v>156600594</v>
      </c>
      <c r="AD1528" s="273"/>
      <c r="AE1528" s="192"/>
      <c r="AF1528" s="194"/>
      <c r="AG1528" s="194"/>
      <c r="AH1528" s="194"/>
      <c r="AI1528" s="194"/>
    </row>
    <row r="1529" hidden="1">
      <c r="A1529" s="126"/>
      <c r="B1529" s="982"/>
      <c r="C1529" s="289"/>
      <c r="D1529" s="290" t="s">
        <v>1505</v>
      </c>
      <c r="E1529" s="487"/>
      <c r="F1529" s="487"/>
      <c r="G1529" s="487"/>
      <c r="H1529" s="291"/>
      <c r="I1529" s="291"/>
      <c r="J1529" s="292"/>
      <c r="K1529" s="292" t="s">
        <v>1495</v>
      </c>
      <c r="L1529" s="293"/>
      <c r="M1529" s="294"/>
      <c r="N1529" s="295"/>
      <c r="O1529" s="295"/>
      <c r="P1529" s="295"/>
      <c r="Q1529" s="296">
        <f t="shared" ref="Q1529:AB1529" si="660">Q1520+Q1525</f>
        <v>26100099</v>
      </c>
      <c r="R1529" s="296">
        <f t="shared" si="660"/>
        <v>26100099</v>
      </c>
      <c r="S1529" s="296">
        <f t="shared" si="660"/>
        <v>26100099</v>
      </c>
      <c r="T1529" s="296">
        <f t="shared" si="660"/>
        <v>26100099</v>
      </c>
      <c r="U1529" s="296">
        <f t="shared" si="660"/>
        <v>26100099</v>
      </c>
      <c r="V1529" s="296">
        <f t="shared" si="660"/>
        <v>26100099</v>
      </c>
      <c r="W1529" s="296">
        <f t="shared" si="660"/>
        <v>26100099</v>
      </c>
      <c r="X1529" s="296">
        <f t="shared" si="660"/>
        <v>26100099</v>
      </c>
      <c r="Y1529" s="296">
        <f t="shared" si="660"/>
        <v>26100099</v>
      </c>
      <c r="Z1529" s="296">
        <f t="shared" si="660"/>
        <v>26100099</v>
      </c>
      <c r="AA1529" s="296">
        <f t="shared" si="660"/>
        <v>26100099</v>
      </c>
      <c r="AB1529" s="296">
        <f t="shared" si="660"/>
        <v>26100099</v>
      </c>
      <c r="AC1529" s="547">
        <f t="shared" si="656"/>
        <v>313201188</v>
      </c>
      <c r="AD1529" s="273"/>
      <c r="AE1529" s="241"/>
      <c r="AF1529" s="194"/>
      <c r="AG1529" s="194"/>
      <c r="AH1529" s="194"/>
      <c r="AI1529" s="194"/>
    </row>
    <row r="1530" hidden="1">
      <c r="A1530" s="391"/>
      <c r="B1530" s="983"/>
      <c r="C1530" s="299"/>
      <c r="D1530" s="300" t="s">
        <v>1506</v>
      </c>
      <c r="E1530" s="488"/>
      <c r="F1530" s="488"/>
      <c r="G1530" s="488"/>
      <c r="H1530" s="301"/>
      <c r="I1530" s="301"/>
      <c r="J1530" s="302"/>
      <c r="K1530" s="303" t="s">
        <v>1495</v>
      </c>
      <c r="L1530" s="304"/>
      <c r="M1530" s="305"/>
      <c r="N1530" s="306"/>
      <c r="O1530" s="306"/>
      <c r="P1530" s="306"/>
      <c r="Q1530" s="307">
        <f t="shared" ref="Q1530:AB1530" si="661">Q1521+Q1526</f>
        <v>26100099</v>
      </c>
      <c r="R1530" s="307">
        <f t="shared" si="661"/>
        <v>26100099</v>
      </c>
      <c r="S1530" s="307">
        <f t="shared" si="661"/>
        <v>26100099</v>
      </c>
      <c r="T1530" s="307">
        <f t="shared" si="661"/>
        <v>26100099</v>
      </c>
      <c r="U1530" s="307">
        <f t="shared" si="661"/>
        <v>26100099</v>
      </c>
      <c r="V1530" s="307">
        <f t="shared" si="661"/>
        <v>26100099</v>
      </c>
      <c r="W1530" s="307">
        <f t="shared" si="661"/>
        <v>0</v>
      </c>
      <c r="X1530" s="307">
        <f t="shared" si="661"/>
        <v>0</v>
      </c>
      <c r="Y1530" s="307">
        <f t="shared" si="661"/>
        <v>0</v>
      </c>
      <c r="Z1530" s="307">
        <f t="shared" si="661"/>
        <v>0</v>
      </c>
      <c r="AA1530" s="307">
        <f t="shared" si="661"/>
        <v>0</v>
      </c>
      <c r="AB1530" s="307">
        <f t="shared" si="661"/>
        <v>0</v>
      </c>
      <c r="AC1530" s="309">
        <f t="shared" si="656"/>
        <v>156600594</v>
      </c>
      <c r="AD1530" s="548"/>
      <c r="AE1530" s="241"/>
      <c r="AF1530" s="310">
        <f t="shared" ref="AF1530:AF1531" si="663">AC1530-AC1531</f>
        <v>0</v>
      </c>
      <c r="AG1530" s="311" t="s">
        <v>226</v>
      </c>
      <c r="AH1530" s="194"/>
      <c r="AI1530" s="194"/>
    </row>
    <row r="1531" hidden="1">
      <c r="A1531" s="391"/>
      <c r="B1531" s="983"/>
      <c r="C1531" s="1000"/>
      <c r="D1531" s="313" t="s">
        <v>1507</v>
      </c>
      <c r="E1531" s="331"/>
      <c r="F1531" s="331"/>
      <c r="G1531" s="331"/>
      <c r="H1531" s="199"/>
      <c r="I1531" s="199"/>
      <c r="J1531" s="377"/>
      <c r="K1531" s="719" t="s">
        <v>1495</v>
      </c>
      <c r="L1531" s="225"/>
      <c r="M1531" s="236"/>
      <c r="N1531" s="285"/>
      <c r="O1531" s="285"/>
      <c r="P1531" s="285"/>
      <c r="Q1531" s="288">
        <f t="shared" ref="Q1531:V1531" si="662">Q1522+Q1527</f>
        <v>26100099</v>
      </c>
      <c r="R1531" s="288">
        <f t="shared" si="662"/>
        <v>26100099</v>
      </c>
      <c r="S1531" s="288">
        <f t="shared" si="662"/>
        <v>26100099</v>
      </c>
      <c r="T1531" s="288">
        <f t="shared" si="662"/>
        <v>26100099</v>
      </c>
      <c r="U1531" s="288">
        <f t="shared" si="662"/>
        <v>26100099</v>
      </c>
      <c r="V1531" s="288">
        <f t="shared" si="662"/>
        <v>26100099</v>
      </c>
      <c r="W1531" s="1001"/>
      <c r="X1531" s="1001"/>
      <c r="Y1531" s="1001"/>
      <c r="Z1531" s="1001"/>
      <c r="AA1531" s="1001"/>
      <c r="AB1531" s="1001"/>
      <c r="AC1531" s="378">
        <f t="shared" si="656"/>
        <v>156600594</v>
      </c>
      <c r="AD1531" s="214"/>
      <c r="AE1531" s="1002"/>
      <c r="AF1531" s="316">
        <f t="shared" si="663"/>
        <v>0</v>
      </c>
      <c r="AG1531" s="311" t="s">
        <v>228</v>
      </c>
      <c r="AH1531" s="180"/>
      <c r="AI1531" s="180"/>
    </row>
    <row r="1532" hidden="1">
      <c r="A1532" s="391"/>
      <c r="B1532" s="983"/>
      <c r="C1532" s="1003"/>
      <c r="D1532" s="318" t="s">
        <v>1508</v>
      </c>
      <c r="E1532" s="493"/>
      <c r="F1532" s="493"/>
      <c r="G1532" s="493"/>
      <c r="H1532" s="494"/>
      <c r="I1532" s="494"/>
      <c r="J1532" s="722"/>
      <c r="K1532" s="723" t="s">
        <v>1495</v>
      </c>
      <c r="L1532" s="675"/>
      <c r="M1532" s="322"/>
      <c r="N1532" s="323"/>
      <c r="O1532" s="323"/>
      <c r="P1532" s="323"/>
      <c r="Q1532" s="324">
        <f t="shared" ref="Q1532:V1532" si="664">Q1523+Q1528</f>
        <v>26100099</v>
      </c>
      <c r="R1532" s="324">
        <f t="shared" si="664"/>
        <v>26100099</v>
      </c>
      <c r="S1532" s="324">
        <f t="shared" si="664"/>
        <v>26100099</v>
      </c>
      <c r="T1532" s="324">
        <f t="shared" si="664"/>
        <v>26100099</v>
      </c>
      <c r="U1532" s="324">
        <f t="shared" si="664"/>
        <v>26100099</v>
      </c>
      <c r="V1532" s="324">
        <f t="shared" si="664"/>
        <v>26100099</v>
      </c>
      <c r="W1532" s="1004"/>
      <c r="X1532" s="1004"/>
      <c r="Y1532" s="1004"/>
      <c r="Z1532" s="1004"/>
      <c r="AA1532" s="1004"/>
      <c r="AB1532" s="1004"/>
      <c r="AC1532" s="539">
        <f t="shared" si="656"/>
        <v>156600594</v>
      </c>
      <c r="AD1532" s="214"/>
      <c r="AE1532" s="1002"/>
      <c r="AF1532" s="328">
        <f>AC1532</f>
        <v>156600594</v>
      </c>
      <c r="AG1532" s="311" t="s">
        <v>148</v>
      </c>
      <c r="AH1532" s="180"/>
      <c r="AI1532" s="180"/>
    </row>
    <row r="1533">
      <c r="A1533" s="391"/>
      <c r="B1533" s="982" t="s">
        <v>52</v>
      </c>
      <c r="C1533" s="1005" t="s">
        <v>53</v>
      </c>
      <c r="D1533" s="679"/>
      <c r="E1533" s="496"/>
      <c r="F1533" s="496"/>
      <c r="G1533" s="496"/>
      <c r="H1533" s="332"/>
      <c r="I1533" s="332"/>
      <c r="J1533" s="332"/>
      <c r="K1533" s="988"/>
      <c r="L1533" s="989"/>
      <c r="M1533" s="930"/>
      <c r="N1533" s="931"/>
      <c r="O1533" s="931"/>
      <c r="P1533" s="931"/>
      <c r="Q1533" s="681">
        <f t="shared" ref="Q1533:AC1533" si="665">Q1534+Q1554+Q1588+Q1612+Q1632</f>
        <v>1257804823</v>
      </c>
      <c r="R1533" s="681">
        <f t="shared" si="665"/>
        <v>1257804823</v>
      </c>
      <c r="S1533" s="681">
        <f t="shared" si="665"/>
        <v>2789320823</v>
      </c>
      <c r="T1533" s="681">
        <f t="shared" si="665"/>
        <v>2958349363</v>
      </c>
      <c r="U1533" s="681">
        <f t="shared" si="665"/>
        <v>2958349363</v>
      </c>
      <c r="V1533" s="681">
        <f t="shared" si="665"/>
        <v>3113057696</v>
      </c>
      <c r="W1533" s="681">
        <f t="shared" si="665"/>
        <v>3113057696</v>
      </c>
      <c r="X1533" s="681">
        <f t="shared" si="665"/>
        <v>3113057696</v>
      </c>
      <c r="Y1533" s="681">
        <f t="shared" si="665"/>
        <v>3187257696</v>
      </c>
      <c r="Z1533" s="681">
        <f t="shared" si="665"/>
        <v>3128057696</v>
      </c>
      <c r="AA1533" s="681">
        <f t="shared" si="665"/>
        <v>3167057696</v>
      </c>
      <c r="AB1533" s="681">
        <f t="shared" si="665"/>
        <v>3128057696</v>
      </c>
      <c r="AC1533" s="682">
        <f t="shared" si="665"/>
        <v>33171233067</v>
      </c>
      <c r="AD1533" s="178">
        <f>SUM(Q1533:AB1533)-AC1533</f>
        <v>0</v>
      </c>
      <c r="AE1533" s="683">
        <f>AE1534+AE1554+AE1588+AE1612+AE1632</f>
        <v>33171233067</v>
      </c>
      <c r="AF1533" s="180"/>
      <c r="AG1533" s="180"/>
      <c r="AH1533" s="180"/>
      <c r="AI1533" s="180"/>
    </row>
    <row r="1534">
      <c r="A1534" s="391"/>
      <c r="B1534" s="924">
        <v>21.0</v>
      </c>
      <c r="C1534" s="182" t="s">
        <v>54</v>
      </c>
      <c r="D1534" s="684"/>
      <c r="E1534" s="331"/>
      <c r="F1534" s="331"/>
      <c r="G1534" s="331"/>
      <c r="H1534" s="199"/>
      <c r="I1534" s="199"/>
      <c r="J1534" s="685"/>
      <c r="K1534" s="396" t="s">
        <v>1509</v>
      </c>
      <c r="L1534" s="993">
        <f>L1535+L1540</f>
        <v>0</v>
      </c>
      <c r="M1534" s="240"/>
      <c r="N1534" s="388"/>
      <c r="O1534" s="388"/>
      <c r="P1534" s="388"/>
      <c r="Q1534" s="190">
        <f t="shared" ref="Q1534:AB1534" si="666">Q1535+Q1540</f>
        <v>0</v>
      </c>
      <c r="R1534" s="190">
        <f t="shared" si="666"/>
        <v>0</v>
      </c>
      <c r="S1534" s="190">
        <f t="shared" si="666"/>
        <v>1531516000</v>
      </c>
      <c r="T1534" s="190">
        <f t="shared" si="666"/>
        <v>1531516000</v>
      </c>
      <c r="U1534" s="190">
        <f t="shared" si="666"/>
        <v>1531516000</v>
      </c>
      <c r="V1534" s="190">
        <f t="shared" si="666"/>
        <v>1686224333</v>
      </c>
      <c r="W1534" s="190">
        <f t="shared" si="666"/>
        <v>1686224333</v>
      </c>
      <c r="X1534" s="190">
        <f t="shared" si="666"/>
        <v>1686224333</v>
      </c>
      <c r="Y1534" s="190">
        <f t="shared" si="666"/>
        <v>1686224333</v>
      </c>
      <c r="Z1534" s="190">
        <f t="shared" si="666"/>
        <v>1686224333</v>
      </c>
      <c r="AA1534" s="190">
        <f t="shared" si="666"/>
        <v>1686224333</v>
      </c>
      <c r="AB1534" s="190">
        <f t="shared" si="666"/>
        <v>1686224333</v>
      </c>
      <c r="AC1534" s="191">
        <f>SUM(Q1534:AB1534)</f>
        <v>16398118331</v>
      </c>
      <c r="AD1534" s="178">
        <f>AC1534-AE1534</f>
        <v>0</v>
      </c>
      <c r="AE1534" s="241">
        <f>'Proker New'!Y271</f>
        <v>16398118331</v>
      </c>
      <c r="AF1534" s="193" t="str">
        <f>C1534</f>
        <v>Kalimantan Timur - Samarinda</v>
      </c>
      <c r="AG1534" s="194"/>
      <c r="AH1534" s="194"/>
      <c r="AI1534" s="194"/>
    </row>
    <row r="1535">
      <c r="A1535" s="391"/>
      <c r="B1535" s="893"/>
      <c r="C1535" s="196">
        <v>1.0</v>
      </c>
      <c r="D1535" s="925" t="s">
        <v>1510</v>
      </c>
      <c r="E1535" s="198" t="s">
        <v>186</v>
      </c>
      <c r="F1535" s="198" t="s">
        <v>103</v>
      </c>
      <c r="G1535" s="198" t="s">
        <v>86</v>
      </c>
      <c r="H1535" s="198" t="s">
        <v>86</v>
      </c>
      <c r="I1535" s="198" t="s">
        <v>187</v>
      </c>
      <c r="J1535" s="198" t="s">
        <v>188</v>
      </c>
      <c r="K1535" s="606" t="s">
        <v>1509</v>
      </c>
      <c r="L1535" s="895"/>
      <c r="M1535" s="240"/>
      <c r="N1535" s="388"/>
      <c r="O1535" s="388"/>
      <c r="P1535" s="388"/>
      <c r="Q1535" s="896"/>
      <c r="R1535" s="896"/>
      <c r="S1535" s="896">
        <v>1.531516E9</v>
      </c>
      <c r="T1535" s="896">
        <v>1.531516E9</v>
      </c>
      <c r="U1535" s="896">
        <v>1.531516E9</v>
      </c>
      <c r="V1535" s="896">
        <v>1.531516E9</v>
      </c>
      <c r="W1535" s="896">
        <v>1.531516E9</v>
      </c>
      <c r="X1535" s="896">
        <v>1.531516E9</v>
      </c>
      <c r="Y1535" s="896">
        <v>1.531516E9</v>
      </c>
      <c r="Z1535" s="896">
        <v>1.531516E9</v>
      </c>
      <c r="AA1535" s="896">
        <v>1.531516E9</v>
      </c>
      <c r="AB1535" s="896">
        <v>1.531516E9</v>
      </c>
      <c r="AC1535" s="897">
        <v>1.531516E10</v>
      </c>
      <c r="AD1535" s="273">
        <f>SUM(Q1535:AB1535)-AC1535</f>
        <v>0</v>
      </c>
      <c r="AE1535" s="241"/>
      <c r="AF1535" s="194"/>
      <c r="AG1535" s="194"/>
      <c r="AH1535" s="194"/>
      <c r="AI1535" s="194"/>
    </row>
    <row r="1536" hidden="1">
      <c r="A1536" s="126"/>
      <c r="B1536" s="893"/>
      <c r="C1536" s="206"/>
      <c r="D1536" s="207"/>
      <c r="E1536" s="260"/>
      <c r="F1536" s="207"/>
      <c r="G1536" s="260"/>
      <c r="H1536" s="206"/>
      <c r="I1536" s="206"/>
      <c r="J1536" s="206"/>
      <c r="K1536" s="206" t="s">
        <v>1509</v>
      </c>
      <c r="L1536" s="277"/>
      <c r="M1536" s="244"/>
      <c r="N1536" s="389"/>
      <c r="O1536" s="389"/>
      <c r="P1536" s="389"/>
      <c r="Q1536" s="212"/>
      <c r="R1536" s="212"/>
      <c r="S1536" s="212"/>
      <c r="T1536" s="212"/>
      <c r="U1536" s="212"/>
      <c r="V1536" s="212"/>
      <c r="W1536" s="212"/>
      <c r="X1536" s="212"/>
      <c r="Y1536" s="212"/>
      <c r="Z1536" s="212"/>
      <c r="AA1536" s="212"/>
      <c r="AB1536" s="212"/>
      <c r="AC1536" s="213">
        <f t="shared" ref="AC1536:AC1539" si="667">SUM(Q1536:AB1536)</f>
        <v>0</v>
      </c>
      <c r="AD1536" s="420"/>
      <c r="AE1536" s="430"/>
      <c r="AF1536" s="431"/>
      <c r="AG1536" s="431"/>
      <c r="AH1536" s="431"/>
      <c r="AI1536" s="431"/>
    </row>
    <row r="1537" hidden="1">
      <c r="A1537" s="391"/>
      <c r="B1537" s="893"/>
      <c r="C1537" s="222"/>
      <c r="D1537" s="250" t="s">
        <v>1511</v>
      </c>
      <c r="E1537" s="233"/>
      <c r="F1537" s="224"/>
      <c r="G1537" s="233"/>
      <c r="H1537" s="222"/>
      <c r="I1537" s="222"/>
      <c r="J1537" s="222"/>
      <c r="K1537" s="222" t="s">
        <v>1509</v>
      </c>
      <c r="L1537" s="225"/>
      <c r="M1537" s="236"/>
      <c r="N1537" s="285"/>
      <c r="O1537" s="285"/>
      <c r="P1537" s="285"/>
      <c r="Q1537" s="230"/>
      <c r="R1537" s="230"/>
      <c r="S1537" s="230"/>
      <c r="T1537" s="230"/>
      <c r="U1537" s="230"/>
      <c r="V1537" s="230"/>
      <c r="W1537" s="230"/>
      <c r="X1537" s="230"/>
      <c r="Y1537" s="230"/>
      <c r="Z1537" s="230"/>
      <c r="AA1537" s="230"/>
      <c r="AB1537" s="230"/>
      <c r="AC1537" s="231">
        <f t="shared" si="667"/>
        <v>0</v>
      </c>
      <c r="AD1537" s="420"/>
      <c r="AE1537" s="241"/>
      <c r="AF1537" s="194"/>
      <c r="AG1537" s="194"/>
      <c r="AH1537" s="194"/>
      <c r="AI1537" s="194"/>
    </row>
    <row r="1538" hidden="1">
      <c r="A1538" s="391"/>
      <c r="B1538" s="893"/>
      <c r="C1538" s="196"/>
      <c r="D1538" s="286" t="s">
        <v>194</v>
      </c>
      <c r="E1538" s="233"/>
      <c r="F1538" s="233"/>
      <c r="G1538" s="233"/>
      <c r="H1538" s="234"/>
      <c r="I1538" s="234"/>
      <c r="J1538" s="222"/>
      <c r="K1538" s="222" t="s">
        <v>1509</v>
      </c>
      <c r="L1538" s="225"/>
      <c r="M1538" s="236"/>
      <c r="N1538" s="285"/>
      <c r="O1538" s="285"/>
      <c r="P1538" s="285"/>
      <c r="Q1538" s="718"/>
      <c r="R1538" s="718"/>
      <c r="S1538" s="718"/>
      <c r="T1538" s="718"/>
      <c r="U1538" s="718"/>
      <c r="V1538" s="718"/>
      <c r="W1538" s="718"/>
      <c r="X1538" s="718"/>
      <c r="Y1538" s="718"/>
      <c r="Z1538" s="718"/>
      <c r="AA1538" s="718"/>
      <c r="AB1538" s="718"/>
      <c r="AC1538" s="378">
        <f t="shared" si="667"/>
        <v>0</v>
      </c>
      <c r="AD1538" s="273"/>
      <c r="AE1538" s="241"/>
      <c r="AF1538" s="194"/>
      <c r="AG1538" s="194"/>
      <c r="AH1538" s="194"/>
      <c r="AI1538" s="194"/>
    </row>
    <row r="1539" hidden="1">
      <c r="A1539" s="391"/>
      <c r="B1539" s="893"/>
      <c r="C1539" s="196"/>
      <c r="D1539" s="286" t="s">
        <v>1512</v>
      </c>
      <c r="E1539" s="233"/>
      <c r="F1539" s="233"/>
      <c r="G1539" s="233"/>
      <c r="H1539" s="234"/>
      <c r="I1539" s="234"/>
      <c r="J1539" s="222"/>
      <c r="K1539" s="222" t="s">
        <v>1509</v>
      </c>
      <c r="L1539" s="225"/>
      <c r="M1539" s="236"/>
      <c r="N1539" s="285"/>
      <c r="O1539" s="285"/>
      <c r="P1539" s="285"/>
      <c r="Q1539" s="718"/>
      <c r="R1539" s="718"/>
      <c r="S1539" s="718"/>
      <c r="T1539" s="718"/>
      <c r="U1539" s="718"/>
      <c r="V1539" s="718"/>
      <c r="W1539" s="718"/>
      <c r="X1539" s="718"/>
      <c r="Y1539" s="718"/>
      <c r="Z1539" s="718"/>
      <c r="AA1539" s="718"/>
      <c r="AB1539" s="718"/>
      <c r="AC1539" s="378">
        <f t="shared" si="667"/>
        <v>0</v>
      </c>
      <c r="AD1539" s="273"/>
      <c r="AE1539" s="241"/>
      <c r="AF1539" s="194"/>
      <c r="AG1539" s="194"/>
      <c r="AH1539" s="194"/>
      <c r="AI1539" s="194"/>
    </row>
    <row r="1540">
      <c r="A1540" s="391"/>
      <c r="B1540" s="893"/>
      <c r="C1540" s="196">
        <v>2.0</v>
      </c>
      <c r="D1540" s="925" t="s">
        <v>1513</v>
      </c>
      <c r="E1540" s="198" t="s">
        <v>186</v>
      </c>
      <c r="F1540" s="198" t="s">
        <v>103</v>
      </c>
      <c r="G1540" s="198" t="s">
        <v>84</v>
      </c>
      <c r="H1540" s="198" t="s">
        <v>84</v>
      </c>
      <c r="I1540" s="198" t="s">
        <v>187</v>
      </c>
      <c r="J1540" s="198" t="s">
        <v>188</v>
      </c>
      <c r="K1540" s="606" t="s">
        <v>1509</v>
      </c>
      <c r="L1540" s="895"/>
      <c r="M1540" s="240"/>
      <c r="N1540" s="388"/>
      <c r="O1540" s="388"/>
      <c r="P1540" s="388"/>
      <c r="Q1540" s="896"/>
      <c r="R1540" s="896"/>
      <c r="S1540" s="896"/>
      <c r="T1540" s="896"/>
      <c r="U1540" s="896"/>
      <c r="V1540" s="896">
        <v>1.54708333E8</v>
      </c>
      <c r="W1540" s="896">
        <v>1.54708333E8</v>
      </c>
      <c r="X1540" s="896">
        <v>1.54708333E8</v>
      </c>
      <c r="Y1540" s="896">
        <v>1.54708333E8</v>
      </c>
      <c r="Z1540" s="896">
        <v>1.54708333E8</v>
      </c>
      <c r="AA1540" s="896">
        <v>1.54708333E8</v>
      </c>
      <c r="AB1540" s="896">
        <v>1.54708333E8</v>
      </c>
      <c r="AC1540" s="897">
        <v>1.082958331E9</v>
      </c>
      <c r="AD1540" s="273">
        <f>SUM(Q1540:AB1540)-AC1540</f>
        <v>0</v>
      </c>
      <c r="AE1540" s="241"/>
      <c r="AF1540" s="194"/>
      <c r="AG1540" s="194"/>
      <c r="AH1540" s="194"/>
      <c r="AI1540" s="194"/>
    </row>
    <row r="1541" hidden="1">
      <c r="A1541" s="126"/>
      <c r="B1541" s="893"/>
      <c r="C1541" s="206"/>
      <c r="D1541" s="207"/>
      <c r="E1541" s="260"/>
      <c r="F1541" s="207"/>
      <c r="G1541" s="260"/>
      <c r="H1541" s="206"/>
      <c r="I1541" s="206"/>
      <c r="J1541" s="206"/>
      <c r="K1541" s="206" t="s">
        <v>1509</v>
      </c>
      <c r="L1541" s="277"/>
      <c r="M1541" s="244"/>
      <c r="N1541" s="389"/>
      <c r="O1541" s="389"/>
      <c r="P1541" s="389"/>
      <c r="Q1541" s="212"/>
      <c r="R1541" s="212"/>
      <c r="S1541" s="212"/>
      <c r="T1541" s="212"/>
      <c r="U1541" s="212"/>
      <c r="V1541" s="212"/>
      <c r="W1541" s="212"/>
      <c r="X1541" s="212"/>
      <c r="Y1541" s="212"/>
      <c r="Z1541" s="212"/>
      <c r="AA1541" s="212"/>
      <c r="AB1541" s="212"/>
      <c r="AC1541" s="213">
        <f t="shared" ref="AC1541:AC1554" si="668">SUM(Q1541:AB1541)</f>
        <v>0</v>
      </c>
      <c r="AD1541" s="284"/>
      <c r="AE1541" s="241"/>
      <c r="AF1541" s="194"/>
      <c r="AG1541" s="194"/>
      <c r="AH1541" s="194"/>
      <c r="AI1541" s="194"/>
    </row>
    <row r="1542" hidden="1">
      <c r="A1542" s="391"/>
      <c r="B1542" s="893"/>
      <c r="C1542" s="222"/>
      <c r="D1542" s="250" t="s">
        <v>1514</v>
      </c>
      <c r="E1542" s="233"/>
      <c r="F1542" s="224"/>
      <c r="G1542" s="233"/>
      <c r="H1542" s="222"/>
      <c r="I1542" s="222"/>
      <c r="J1542" s="222"/>
      <c r="K1542" s="222" t="s">
        <v>1509</v>
      </c>
      <c r="L1542" s="225"/>
      <c r="M1542" s="236"/>
      <c r="N1542" s="285"/>
      <c r="O1542" s="285"/>
      <c r="P1542" s="285"/>
      <c r="Q1542" s="230"/>
      <c r="R1542" s="230"/>
      <c r="S1542" s="230"/>
      <c r="T1542" s="230"/>
      <c r="U1542" s="230"/>
      <c r="V1542" s="230"/>
      <c r="W1542" s="230"/>
      <c r="X1542" s="230"/>
      <c r="Y1542" s="230"/>
      <c r="Z1542" s="230"/>
      <c r="AA1542" s="230"/>
      <c r="AB1542" s="230"/>
      <c r="AC1542" s="231">
        <f t="shared" si="668"/>
        <v>0</v>
      </c>
      <c r="AD1542" s="284"/>
      <c r="AE1542" s="241"/>
      <c r="AF1542" s="194"/>
      <c r="AG1542" s="194"/>
      <c r="AH1542" s="194"/>
      <c r="AI1542" s="194"/>
    </row>
    <row r="1543" hidden="1">
      <c r="A1543" s="391"/>
      <c r="B1543" s="902"/>
      <c r="C1543" s="433"/>
      <c r="D1543" s="286" t="s">
        <v>194</v>
      </c>
      <c r="E1543" s="527"/>
      <c r="F1543" s="527"/>
      <c r="G1543" s="527"/>
      <c r="H1543" s="510"/>
      <c r="I1543" s="510"/>
      <c r="J1543" s="511"/>
      <c r="K1543" s="222" t="s">
        <v>1509</v>
      </c>
      <c r="L1543" s="536"/>
      <c r="M1543" s="513"/>
      <c r="N1543" s="514"/>
      <c r="O1543" s="514"/>
      <c r="P1543" s="514"/>
      <c r="Q1543" s="452"/>
      <c r="R1543" s="452"/>
      <c r="S1543" s="452"/>
      <c r="T1543" s="452"/>
      <c r="U1543" s="452"/>
      <c r="V1543" s="452"/>
      <c r="W1543" s="452"/>
      <c r="X1543" s="452"/>
      <c r="Y1543" s="452"/>
      <c r="Z1543" s="452"/>
      <c r="AA1543" s="452"/>
      <c r="AB1543" s="452"/>
      <c r="AC1543" s="378">
        <f t="shared" si="668"/>
        <v>0</v>
      </c>
      <c r="AD1543" s="271"/>
      <c r="AE1543" s="241"/>
      <c r="AF1543" s="194"/>
      <c r="AG1543" s="194"/>
      <c r="AH1543" s="194"/>
      <c r="AI1543" s="194"/>
    </row>
    <row r="1544" hidden="1">
      <c r="A1544" s="391"/>
      <c r="B1544" s="902"/>
      <c r="C1544" s="433"/>
      <c r="D1544" s="286" t="s">
        <v>1515</v>
      </c>
      <c r="E1544" s="527"/>
      <c r="F1544" s="527"/>
      <c r="G1544" s="527"/>
      <c r="H1544" s="510"/>
      <c r="I1544" s="510"/>
      <c r="J1544" s="511"/>
      <c r="K1544" s="222" t="s">
        <v>1509</v>
      </c>
      <c r="L1544" s="536"/>
      <c r="M1544" s="513"/>
      <c r="N1544" s="514"/>
      <c r="O1544" s="514"/>
      <c r="P1544" s="514"/>
      <c r="Q1544" s="452"/>
      <c r="R1544" s="452"/>
      <c r="S1544" s="452"/>
      <c r="T1544" s="452"/>
      <c r="U1544" s="452"/>
      <c r="V1544" s="452"/>
      <c r="W1544" s="452"/>
      <c r="X1544" s="452"/>
      <c r="Y1544" s="452"/>
      <c r="Z1544" s="452"/>
      <c r="AA1544" s="452"/>
      <c r="AB1544" s="452"/>
      <c r="AC1544" s="378">
        <f t="shared" si="668"/>
        <v>0</v>
      </c>
      <c r="AD1544" s="271"/>
      <c r="AE1544" s="241"/>
      <c r="AF1544" s="194"/>
      <c r="AG1544" s="194"/>
      <c r="AH1544" s="194"/>
      <c r="AI1544" s="194"/>
    </row>
    <row r="1545">
      <c r="A1545" s="391"/>
      <c r="B1545" s="432"/>
      <c r="C1545" s="433">
        <v>3.0</v>
      </c>
      <c r="D1545" s="528" t="s">
        <v>1516</v>
      </c>
      <c r="E1545" s="198" t="s">
        <v>186</v>
      </c>
      <c r="F1545" s="198" t="s">
        <v>135</v>
      </c>
      <c r="G1545" s="198" t="s">
        <v>135</v>
      </c>
      <c r="H1545" s="198" t="s">
        <v>203</v>
      </c>
      <c r="I1545" s="198" t="s">
        <v>1010</v>
      </c>
      <c r="J1545" s="198" t="s">
        <v>367</v>
      </c>
      <c r="K1545" s="529" t="s">
        <v>1509</v>
      </c>
      <c r="L1545" s="604">
        <f>295276920</f>
        <v>295276920</v>
      </c>
      <c r="M1545" s="531" t="s">
        <v>1517</v>
      </c>
      <c r="N1545" s="532"/>
      <c r="O1545" s="532">
        <v>45717.0</v>
      </c>
      <c r="P1545" s="532">
        <v>46022.0</v>
      </c>
      <c r="Q1545" s="439"/>
      <c r="R1545" s="439"/>
      <c r="S1545" s="439"/>
      <c r="T1545" s="439"/>
      <c r="U1545" s="439"/>
      <c r="V1545" s="439"/>
      <c r="W1545" s="439"/>
      <c r="X1545" s="439"/>
      <c r="Y1545" s="439"/>
      <c r="Z1545" s="439"/>
      <c r="AA1545" s="439"/>
      <c r="AB1545" s="439"/>
      <c r="AC1545" s="440">
        <f t="shared" si="668"/>
        <v>0</v>
      </c>
      <c r="AD1545" s="271"/>
      <c r="AE1545" s="692"/>
      <c r="AF1545" s="273"/>
      <c r="AG1545" s="273"/>
      <c r="AH1545" s="273"/>
      <c r="AI1545" s="273"/>
    </row>
    <row r="1546" hidden="1">
      <c r="A1546" s="126"/>
      <c r="B1546" s="432"/>
      <c r="C1546" s="441"/>
      <c r="D1546" s="911" t="s">
        <v>1518</v>
      </c>
      <c r="E1546" s="534"/>
      <c r="F1546" s="534"/>
      <c r="G1546" s="534"/>
      <c r="H1546" s="523"/>
      <c r="I1546" s="523"/>
      <c r="J1546" s="523"/>
      <c r="K1546" s="523" t="s">
        <v>1509</v>
      </c>
      <c r="L1546" s="463"/>
      <c r="M1546" s="535"/>
      <c r="N1546" s="464"/>
      <c r="O1546" s="464"/>
      <c r="P1546" s="464"/>
      <c r="Q1546" s="447"/>
      <c r="R1546" s="447"/>
      <c r="S1546" s="447">
        <f>L1542/10</f>
        <v>0</v>
      </c>
      <c r="T1546" s="447">
        <v>2.9527692E7</v>
      </c>
      <c r="U1546" s="447">
        <v>2.9527692E7</v>
      </c>
      <c r="V1546" s="447">
        <v>2.9527692E7</v>
      </c>
      <c r="W1546" s="447">
        <v>2.9527692E7</v>
      </c>
      <c r="X1546" s="447">
        <v>2.9527692E7</v>
      </c>
      <c r="Y1546" s="447">
        <v>2.9527692E7</v>
      </c>
      <c r="Z1546" s="447">
        <v>2.9527692E7</v>
      </c>
      <c r="AA1546" s="447">
        <v>2.9527692E7</v>
      </c>
      <c r="AB1546" s="447">
        <v>2.9527692E7</v>
      </c>
      <c r="AC1546" s="449">
        <f t="shared" si="668"/>
        <v>265749228</v>
      </c>
      <c r="AD1546" s="264"/>
      <c r="AE1546" s="692"/>
      <c r="AF1546" s="273"/>
      <c r="AG1546" s="273"/>
      <c r="AH1546" s="273"/>
      <c r="AI1546" s="273"/>
    </row>
    <row r="1547" hidden="1">
      <c r="A1547" s="391"/>
      <c r="B1547" s="432"/>
      <c r="C1547" s="182"/>
      <c r="D1547" s="250" t="s">
        <v>1519</v>
      </c>
      <c r="E1547" s="470"/>
      <c r="F1547" s="470"/>
      <c r="G1547" s="470"/>
      <c r="H1547" s="456"/>
      <c r="I1547" s="456"/>
      <c r="J1547" s="222"/>
      <c r="K1547" s="222" t="s">
        <v>1509</v>
      </c>
      <c r="L1547" s="536"/>
      <c r="M1547" s="383"/>
      <c r="N1547" s="537"/>
      <c r="O1547" s="537"/>
      <c r="P1547" s="537"/>
      <c r="Q1547" s="452"/>
      <c r="R1547" s="452"/>
      <c r="S1547" s="600">
        <v>2.9527692E7</v>
      </c>
      <c r="T1547" s="600">
        <v>2.9527692E7</v>
      </c>
      <c r="U1547" s="600">
        <v>2.9527692E7</v>
      </c>
      <c r="V1547" s="600">
        <v>2.9527692E7</v>
      </c>
      <c r="W1547" s="600"/>
      <c r="X1547" s="452"/>
      <c r="Y1547" s="452"/>
      <c r="Z1547" s="452"/>
      <c r="AA1547" s="452"/>
      <c r="AB1547" s="452"/>
      <c r="AC1547" s="538">
        <f t="shared" si="668"/>
        <v>118110768</v>
      </c>
      <c r="AD1547" s="548"/>
      <c r="AE1547" s="353"/>
      <c r="AF1547" s="273"/>
      <c r="AG1547" s="273"/>
      <c r="AH1547" s="273"/>
      <c r="AI1547" s="273"/>
    </row>
    <row r="1548" hidden="1">
      <c r="A1548" s="391"/>
      <c r="B1548" s="432"/>
      <c r="C1548" s="182"/>
      <c r="D1548" s="286" t="s">
        <v>194</v>
      </c>
      <c r="E1548" s="233"/>
      <c r="F1548" s="233"/>
      <c r="G1548" s="233"/>
      <c r="H1548" s="234"/>
      <c r="I1548" s="234"/>
      <c r="J1548" s="222"/>
      <c r="K1548" s="222" t="s">
        <v>1509</v>
      </c>
      <c r="L1548" s="287"/>
      <c r="M1548" s="236"/>
      <c r="N1548" s="285"/>
      <c r="O1548" s="285"/>
      <c r="P1548" s="285"/>
      <c r="Q1548" s="288"/>
      <c r="R1548" s="288"/>
      <c r="S1548" s="288"/>
      <c r="T1548" s="288"/>
      <c r="U1548" s="288"/>
      <c r="V1548" s="288"/>
      <c r="W1548" s="288"/>
      <c r="X1548" s="288"/>
      <c r="Y1548" s="288"/>
      <c r="Z1548" s="288"/>
      <c r="AA1548" s="288"/>
      <c r="AB1548" s="288"/>
      <c r="AC1548" s="378">
        <f t="shared" si="668"/>
        <v>0</v>
      </c>
      <c r="AD1548" s="273"/>
      <c r="AE1548" s="353"/>
      <c r="AF1548" s="273"/>
      <c r="AG1548" s="273"/>
      <c r="AH1548" s="273"/>
      <c r="AI1548" s="273"/>
    </row>
    <row r="1549" hidden="1">
      <c r="A1549" s="391"/>
      <c r="B1549" s="432"/>
      <c r="C1549" s="182"/>
      <c r="D1549" s="286" t="s">
        <v>1520</v>
      </c>
      <c r="E1549" s="233"/>
      <c r="F1549" s="233"/>
      <c r="G1549" s="233"/>
      <c r="H1549" s="234"/>
      <c r="I1549" s="234"/>
      <c r="J1549" s="222"/>
      <c r="K1549" s="222" t="s">
        <v>1509</v>
      </c>
      <c r="L1549" s="287"/>
      <c r="M1549" s="236"/>
      <c r="N1549" s="285"/>
      <c r="O1549" s="285"/>
      <c r="P1549" s="285"/>
      <c r="Q1549" s="288"/>
      <c r="R1549" s="288"/>
      <c r="S1549" s="288"/>
      <c r="T1549" s="288"/>
      <c r="U1549" s="288"/>
      <c r="V1549" s="288"/>
      <c r="W1549" s="288"/>
      <c r="X1549" s="288"/>
      <c r="Y1549" s="288"/>
      <c r="Z1549" s="288"/>
      <c r="AA1549" s="288"/>
      <c r="AB1549" s="288"/>
      <c r="AC1549" s="378">
        <f t="shared" si="668"/>
        <v>0</v>
      </c>
      <c r="AD1549" s="273"/>
      <c r="AE1549" s="353"/>
      <c r="AF1549" s="273"/>
      <c r="AG1549" s="273"/>
      <c r="AH1549" s="273"/>
      <c r="AI1549" s="273"/>
    </row>
    <row r="1550" hidden="1">
      <c r="A1550" s="126"/>
      <c r="B1550" s="181"/>
      <c r="C1550" s="289"/>
      <c r="D1550" s="290" t="s">
        <v>1521</v>
      </c>
      <c r="E1550" s="487"/>
      <c r="F1550" s="487"/>
      <c r="G1550" s="487"/>
      <c r="H1550" s="291"/>
      <c r="I1550" s="291"/>
      <c r="J1550" s="292"/>
      <c r="K1550" s="292" t="s">
        <v>1509</v>
      </c>
      <c r="L1550" s="293"/>
      <c r="M1550" s="294"/>
      <c r="N1550" s="295"/>
      <c r="O1550" s="295"/>
      <c r="P1550" s="295"/>
      <c r="Q1550" s="296">
        <f t="shared" ref="Q1550:AB1550" si="669">Q1536+Q1541+Q1546</f>
        <v>0</v>
      </c>
      <c r="R1550" s="296">
        <f t="shared" si="669"/>
        <v>0</v>
      </c>
      <c r="S1550" s="296">
        <f t="shared" si="669"/>
        <v>0</v>
      </c>
      <c r="T1550" s="296">
        <f t="shared" si="669"/>
        <v>29527692</v>
      </c>
      <c r="U1550" s="296">
        <f t="shared" si="669"/>
        <v>29527692</v>
      </c>
      <c r="V1550" s="296">
        <f t="shared" si="669"/>
        <v>29527692</v>
      </c>
      <c r="W1550" s="296">
        <f t="shared" si="669"/>
        <v>29527692</v>
      </c>
      <c r="X1550" s="296">
        <f t="shared" si="669"/>
        <v>29527692</v>
      </c>
      <c r="Y1550" s="296">
        <f t="shared" si="669"/>
        <v>29527692</v>
      </c>
      <c r="Z1550" s="296">
        <f t="shared" si="669"/>
        <v>29527692</v>
      </c>
      <c r="AA1550" s="296">
        <f t="shared" si="669"/>
        <v>29527692</v>
      </c>
      <c r="AB1550" s="296">
        <f t="shared" si="669"/>
        <v>29527692</v>
      </c>
      <c r="AC1550" s="547">
        <f t="shared" si="668"/>
        <v>265749228</v>
      </c>
      <c r="AD1550" s="273"/>
      <c r="AE1550" s="192"/>
      <c r="AF1550" s="194"/>
      <c r="AG1550" s="194"/>
      <c r="AH1550" s="194"/>
      <c r="AI1550" s="194"/>
    </row>
    <row r="1551" hidden="1">
      <c r="A1551" s="391"/>
      <c r="B1551" s="298"/>
      <c r="C1551" s="299"/>
      <c r="D1551" s="300" t="s">
        <v>1522</v>
      </c>
      <c r="E1551" s="488"/>
      <c r="F1551" s="488"/>
      <c r="G1551" s="488"/>
      <c r="H1551" s="301"/>
      <c r="I1551" s="301"/>
      <c r="J1551" s="489"/>
      <c r="K1551" s="932" t="s">
        <v>1509</v>
      </c>
      <c r="L1551" s="304"/>
      <c r="M1551" s="305"/>
      <c r="N1551" s="306"/>
      <c r="O1551" s="306"/>
      <c r="P1551" s="306"/>
      <c r="Q1551" s="307">
        <f t="shared" ref="Q1551:AB1551" si="670">Q1537+Q1542+Q1547</f>
        <v>0</v>
      </c>
      <c r="R1551" s="307">
        <f t="shared" si="670"/>
        <v>0</v>
      </c>
      <c r="S1551" s="307">
        <f t="shared" si="670"/>
        <v>29527692</v>
      </c>
      <c r="T1551" s="307">
        <f t="shared" si="670"/>
        <v>29527692</v>
      </c>
      <c r="U1551" s="307">
        <f t="shared" si="670"/>
        <v>29527692</v>
      </c>
      <c r="V1551" s="307">
        <f t="shared" si="670"/>
        <v>29527692</v>
      </c>
      <c r="W1551" s="307">
        <f t="shared" si="670"/>
        <v>0</v>
      </c>
      <c r="X1551" s="307">
        <f t="shared" si="670"/>
        <v>0</v>
      </c>
      <c r="Y1551" s="307">
        <f t="shared" si="670"/>
        <v>0</v>
      </c>
      <c r="Z1551" s="307">
        <f t="shared" si="670"/>
        <v>0</v>
      </c>
      <c r="AA1551" s="307">
        <f t="shared" si="670"/>
        <v>0</v>
      </c>
      <c r="AB1551" s="307">
        <f t="shared" si="670"/>
        <v>0</v>
      </c>
      <c r="AC1551" s="309">
        <f t="shared" si="668"/>
        <v>118110768</v>
      </c>
      <c r="AD1551" s="273"/>
      <c r="AE1551" s="241"/>
      <c r="AF1551" s="310">
        <f t="shared" ref="AF1551:AF1552" si="672">AC1551-AC1552</f>
        <v>118110768</v>
      </c>
      <c r="AG1551" s="311" t="s">
        <v>226</v>
      </c>
      <c r="AH1551" s="194"/>
      <c r="AI1551" s="194"/>
    </row>
    <row r="1552" hidden="1">
      <c r="A1552" s="391"/>
      <c r="B1552" s="298"/>
      <c r="C1552" s="312"/>
      <c r="D1552" s="313" t="s">
        <v>1523</v>
      </c>
      <c r="E1552" s="331"/>
      <c r="F1552" s="331"/>
      <c r="G1552" s="331"/>
      <c r="H1552" s="199"/>
      <c r="I1552" s="199"/>
      <c r="J1552" s="222"/>
      <c r="K1552" s="933" t="s">
        <v>1509</v>
      </c>
      <c r="L1552" s="287"/>
      <c r="M1552" s="236"/>
      <c r="N1552" s="285"/>
      <c r="O1552" s="285"/>
      <c r="P1552" s="285"/>
      <c r="Q1552" s="288">
        <f t="shared" ref="Q1552:V1552" si="671">Q1538+Q1543+Q1548</f>
        <v>0</v>
      </c>
      <c r="R1552" s="288">
        <f t="shared" si="671"/>
        <v>0</v>
      </c>
      <c r="S1552" s="288">
        <f t="shared" si="671"/>
        <v>0</v>
      </c>
      <c r="T1552" s="288">
        <f t="shared" si="671"/>
        <v>0</v>
      </c>
      <c r="U1552" s="288">
        <f t="shared" si="671"/>
        <v>0</v>
      </c>
      <c r="V1552" s="288">
        <f t="shared" si="671"/>
        <v>0</v>
      </c>
      <c r="W1552" s="288"/>
      <c r="X1552" s="288"/>
      <c r="Y1552" s="288"/>
      <c r="Z1552" s="288"/>
      <c r="AA1552" s="288"/>
      <c r="AB1552" s="288"/>
      <c r="AC1552" s="378">
        <f t="shared" si="668"/>
        <v>0</v>
      </c>
      <c r="AD1552" s="214"/>
      <c r="AE1552" s="241"/>
      <c r="AF1552" s="316">
        <f t="shared" si="672"/>
        <v>0</v>
      </c>
      <c r="AG1552" s="311" t="s">
        <v>228</v>
      </c>
      <c r="AH1552" s="194"/>
      <c r="AI1552" s="194"/>
    </row>
    <row r="1553" hidden="1">
      <c r="A1553" s="391"/>
      <c r="B1553" s="298"/>
      <c r="C1553" s="317"/>
      <c r="D1553" s="318" t="s">
        <v>1524</v>
      </c>
      <c r="E1553" s="493"/>
      <c r="F1553" s="493"/>
      <c r="G1553" s="493"/>
      <c r="H1553" s="494"/>
      <c r="I1553" s="494"/>
      <c r="J1553" s="320"/>
      <c r="K1553" s="934" t="s">
        <v>1509</v>
      </c>
      <c r="L1553" s="321"/>
      <c r="M1553" s="322"/>
      <c r="N1553" s="323"/>
      <c r="O1553" s="323"/>
      <c r="P1553" s="323"/>
      <c r="Q1553" s="324">
        <f t="shared" ref="Q1553:V1553" si="673">Q1539+Q1544+Q1549</f>
        <v>0</v>
      </c>
      <c r="R1553" s="324">
        <f t="shared" si="673"/>
        <v>0</v>
      </c>
      <c r="S1553" s="324">
        <f t="shared" si="673"/>
        <v>0</v>
      </c>
      <c r="T1553" s="324">
        <f t="shared" si="673"/>
        <v>0</v>
      </c>
      <c r="U1553" s="324">
        <f t="shared" si="673"/>
        <v>0</v>
      </c>
      <c r="V1553" s="324">
        <f t="shared" si="673"/>
        <v>0</v>
      </c>
      <c r="W1553" s="324"/>
      <c r="X1553" s="324"/>
      <c r="Y1553" s="324"/>
      <c r="Z1553" s="324"/>
      <c r="AA1553" s="324"/>
      <c r="AB1553" s="324"/>
      <c r="AC1553" s="539">
        <f t="shared" si="668"/>
        <v>0</v>
      </c>
      <c r="AD1553" s="214"/>
      <c r="AE1553" s="241"/>
      <c r="AF1553" s="328">
        <f>AC1553</f>
        <v>0</v>
      </c>
      <c r="AG1553" s="311" t="s">
        <v>148</v>
      </c>
      <c r="AH1553" s="194"/>
      <c r="AI1553" s="194"/>
    </row>
    <row r="1554">
      <c r="A1554" s="391"/>
      <c r="B1554" s="652">
        <v>22.0</v>
      </c>
      <c r="C1554" s="1006" t="s">
        <v>55</v>
      </c>
      <c r="D1554" s="724"/>
      <c r="E1554" s="496"/>
      <c r="F1554" s="496"/>
      <c r="G1554" s="496"/>
      <c r="H1554" s="332"/>
      <c r="I1554" s="332"/>
      <c r="J1554" s="333"/>
      <c r="K1554" s="928" t="s">
        <v>784</v>
      </c>
      <c r="L1554" s="929">
        <f>L1555+L1561</f>
        <v>7438090647</v>
      </c>
      <c r="M1554" s="930"/>
      <c r="N1554" s="931"/>
      <c r="O1554" s="931"/>
      <c r="P1554" s="931"/>
      <c r="Q1554" s="337">
        <f t="shared" ref="Q1554:AB1554" si="674">Q1555+Q1561</f>
        <v>629366436</v>
      </c>
      <c r="R1554" s="337">
        <f t="shared" si="674"/>
        <v>629366436</v>
      </c>
      <c r="S1554" s="337">
        <f t="shared" si="674"/>
        <v>629366436</v>
      </c>
      <c r="T1554" s="337">
        <f t="shared" si="674"/>
        <v>629366436</v>
      </c>
      <c r="U1554" s="337">
        <f t="shared" si="674"/>
        <v>629366436</v>
      </c>
      <c r="V1554" s="337">
        <f t="shared" si="674"/>
        <v>629366436</v>
      </c>
      <c r="W1554" s="337">
        <f t="shared" si="674"/>
        <v>629366436</v>
      </c>
      <c r="X1554" s="337">
        <f t="shared" si="674"/>
        <v>629366436</v>
      </c>
      <c r="Y1554" s="337">
        <f t="shared" si="674"/>
        <v>629366436</v>
      </c>
      <c r="Z1554" s="337">
        <f t="shared" si="674"/>
        <v>629366436</v>
      </c>
      <c r="AA1554" s="337">
        <f t="shared" si="674"/>
        <v>629366436</v>
      </c>
      <c r="AB1554" s="337">
        <f t="shared" si="674"/>
        <v>629366436</v>
      </c>
      <c r="AC1554" s="338">
        <f t="shared" si="668"/>
        <v>7552397232</v>
      </c>
      <c r="AD1554" s="178">
        <f>AC1554-AE1554</f>
        <v>0</v>
      </c>
      <c r="AE1554" s="241">
        <f>'Proker New'!Y275</f>
        <v>7552397232</v>
      </c>
      <c r="AF1554" s="193" t="str">
        <f>C1554</f>
        <v>Kalimantan Barat - Pontianak</v>
      </c>
      <c r="AG1554" s="194"/>
      <c r="AH1554" s="194"/>
      <c r="AI1554" s="194"/>
    </row>
    <row r="1555">
      <c r="A1555" s="391"/>
      <c r="B1555" s="1007"/>
      <c r="C1555" s="1008">
        <v>1.0</v>
      </c>
      <c r="D1555" s="184" t="s">
        <v>1525</v>
      </c>
      <c r="E1555" s="198" t="s">
        <v>186</v>
      </c>
      <c r="F1555" s="198" t="s">
        <v>103</v>
      </c>
      <c r="G1555" s="198" t="s">
        <v>86</v>
      </c>
      <c r="H1555" s="198" t="s">
        <v>86</v>
      </c>
      <c r="I1555" s="198" t="s">
        <v>187</v>
      </c>
      <c r="J1555" s="198" t="s">
        <v>188</v>
      </c>
      <c r="K1555" s="937" t="s">
        <v>784</v>
      </c>
      <c r="L1555" s="540">
        <v>3.965124E9</v>
      </c>
      <c r="M1555" s="201" t="s">
        <v>1526</v>
      </c>
      <c r="N1555" s="541"/>
      <c r="O1555" s="541">
        <v>45383.0</v>
      </c>
      <c r="P1555" s="541">
        <v>45747.0</v>
      </c>
      <c r="Q1555" s="204">
        <v>3.30427E8</v>
      </c>
      <c r="R1555" s="204">
        <v>3.30427E8</v>
      </c>
      <c r="S1555" s="204">
        <v>3.30427E8</v>
      </c>
      <c r="T1555" s="204">
        <v>3.30427E8</v>
      </c>
      <c r="U1555" s="204">
        <v>3.30427E8</v>
      </c>
      <c r="V1555" s="204">
        <v>3.30427E8</v>
      </c>
      <c r="W1555" s="204">
        <v>3.30427E8</v>
      </c>
      <c r="X1555" s="204">
        <v>3.30427E8</v>
      </c>
      <c r="Y1555" s="204">
        <v>3.30427E8</v>
      </c>
      <c r="Z1555" s="204">
        <v>3.30427E8</v>
      </c>
      <c r="AA1555" s="204">
        <v>3.30427E8</v>
      </c>
      <c r="AB1555" s="204">
        <v>3.30427E8</v>
      </c>
      <c r="AC1555" s="205">
        <v>3.965124E9</v>
      </c>
      <c r="AD1555" s="178">
        <f>SUM(Q1555:AB1555)-AC1555</f>
        <v>0</v>
      </c>
      <c r="AE1555" s="192"/>
      <c r="AF1555" s="194"/>
      <c r="AG1555" s="194"/>
      <c r="AH1555" s="194"/>
      <c r="AI1555" s="194"/>
    </row>
    <row r="1556" hidden="1">
      <c r="A1556" s="126"/>
      <c r="B1556" s="1007"/>
      <c r="C1556" s="1009"/>
      <c r="D1556" s="207"/>
      <c r="E1556" s="260"/>
      <c r="F1556" s="207"/>
      <c r="G1556" s="260"/>
      <c r="H1556" s="206"/>
      <c r="I1556" s="206"/>
      <c r="J1556" s="206"/>
      <c r="K1556" s="206" t="s">
        <v>784</v>
      </c>
      <c r="L1556" s="245"/>
      <c r="M1556" s="278"/>
      <c r="N1556" s="367"/>
      <c r="O1556" s="367"/>
      <c r="P1556" s="367">
        <f>P1555</f>
        <v>45747</v>
      </c>
      <c r="Q1556" s="212">
        <v>3.30427E8</v>
      </c>
      <c r="R1556" s="212">
        <v>3.30427E8</v>
      </c>
      <c r="S1556" s="212">
        <v>3.30427E8</v>
      </c>
      <c r="T1556" s="212"/>
      <c r="U1556" s="212"/>
      <c r="V1556" s="212"/>
      <c r="W1556" s="212"/>
      <c r="X1556" s="212"/>
      <c r="Y1556" s="212"/>
      <c r="Z1556" s="212"/>
      <c r="AA1556" s="212"/>
      <c r="AB1556" s="212"/>
      <c r="AC1556" s="213">
        <f t="shared" ref="AC1556:AC1560" si="675">SUM(Q1556:AB1556)</f>
        <v>991281000</v>
      </c>
      <c r="AD1556" s="273"/>
      <c r="AE1556" s="192"/>
      <c r="AF1556" s="194"/>
      <c r="AG1556" s="194"/>
      <c r="AH1556" s="194"/>
      <c r="AI1556" s="194"/>
    </row>
    <row r="1557" hidden="1">
      <c r="A1557" s="391"/>
      <c r="B1557" s="1010"/>
      <c r="C1557" s="1009"/>
      <c r="D1557" s="207"/>
      <c r="E1557" s="260"/>
      <c r="F1557" s="207"/>
      <c r="G1557" s="260"/>
      <c r="H1557" s="206"/>
      <c r="I1557" s="206"/>
      <c r="J1557" s="206"/>
      <c r="K1557" s="206" t="s">
        <v>784</v>
      </c>
      <c r="L1557" s="245">
        <v>4.69627236E9</v>
      </c>
      <c r="M1557" s="261" t="s">
        <v>1527</v>
      </c>
      <c r="N1557" s="389"/>
      <c r="O1557" s="389">
        <f>P1556+1</f>
        <v>45748</v>
      </c>
      <c r="P1557" s="367">
        <v>46112.0</v>
      </c>
      <c r="Q1557" s="249"/>
      <c r="R1557" s="249"/>
      <c r="S1557" s="249"/>
      <c r="T1557" s="249">
        <v>3.30427E8</v>
      </c>
      <c r="U1557" s="249">
        <v>3.30427E8</v>
      </c>
      <c r="V1557" s="249">
        <v>3.30427E8</v>
      </c>
      <c r="W1557" s="249">
        <v>3.30427E8</v>
      </c>
      <c r="X1557" s="249">
        <v>3.30427E8</v>
      </c>
      <c r="Y1557" s="249">
        <v>3.30427E8</v>
      </c>
      <c r="Z1557" s="249">
        <v>3.30427E8</v>
      </c>
      <c r="AA1557" s="249">
        <v>3.30427E8</v>
      </c>
      <c r="AB1557" s="249">
        <v>3.30427E8</v>
      </c>
      <c r="AC1557" s="213">
        <f t="shared" si="675"/>
        <v>2973843000</v>
      </c>
      <c r="AD1557" s="412"/>
      <c r="AE1557" s="411"/>
      <c r="AF1557" s="412"/>
      <c r="AG1557" s="412"/>
      <c r="AH1557" s="412"/>
      <c r="AI1557" s="412"/>
    </row>
    <row r="1558" hidden="1">
      <c r="A1558" s="391"/>
      <c r="B1558" s="1007"/>
      <c r="C1558" s="222"/>
      <c r="D1558" s="250" t="s">
        <v>1528</v>
      </c>
      <c r="E1558" s="233"/>
      <c r="F1558" s="224"/>
      <c r="G1558" s="233"/>
      <c r="H1558" s="222"/>
      <c r="I1558" s="222"/>
      <c r="J1558" s="196"/>
      <c r="K1558" s="196" t="s">
        <v>784</v>
      </c>
      <c r="L1558" s="225"/>
      <c r="M1558" s="236"/>
      <c r="N1558" s="285"/>
      <c r="O1558" s="285"/>
      <c r="P1558" s="285"/>
      <c r="Q1558" s="228">
        <v>3.30427E8</v>
      </c>
      <c r="R1558" s="228">
        <v>3.30427E8</v>
      </c>
      <c r="S1558" s="228">
        <v>3.30427E8</v>
      </c>
      <c r="T1558" s="228">
        <v>3.52573E8</v>
      </c>
      <c r="U1558" s="228">
        <v>3.52573E8</v>
      </c>
      <c r="V1558" s="270">
        <v>3.52573E8</v>
      </c>
      <c r="W1558" s="230"/>
      <c r="X1558" s="230"/>
      <c r="Y1558" s="230"/>
      <c r="Z1558" s="230"/>
      <c r="AA1558" s="230"/>
      <c r="AB1558" s="230"/>
      <c r="AC1558" s="378">
        <f t="shared" si="675"/>
        <v>2049000000</v>
      </c>
      <c r="AD1558" s="273"/>
      <c r="AE1558" s="192"/>
      <c r="AF1558" s="194"/>
      <c r="AG1558" s="194"/>
      <c r="AH1558" s="194"/>
      <c r="AI1558" s="194"/>
    </row>
    <row r="1559" hidden="1">
      <c r="A1559" s="391"/>
      <c r="B1559" s="195"/>
      <c r="C1559" s="1011"/>
      <c r="D1559" s="1012" t="s">
        <v>194</v>
      </c>
      <c r="E1559" s="1013"/>
      <c r="F1559" s="1013"/>
      <c r="G1559" s="1013"/>
      <c r="H1559" s="1014"/>
      <c r="I1559" s="1014"/>
      <c r="J1559" s="1011"/>
      <c r="K1559" s="1011" t="s">
        <v>784</v>
      </c>
      <c r="L1559" s="1015"/>
      <c r="M1559" s="1016"/>
      <c r="N1559" s="1017"/>
      <c r="O1559" s="1017"/>
      <c r="P1559" s="1017"/>
      <c r="Q1559" s="1018">
        <v>3.30427E8</v>
      </c>
      <c r="R1559" s="1018">
        <v>3.30427E8</v>
      </c>
      <c r="S1559" s="1018">
        <v>3.30427E8</v>
      </c>
      <c r="T1559" s="1018">
        <v>3.52573E8</v>
      </c>
      <c r="U1559" s="1018">
        <v>3.52573E8</v>
      </c>
      <c r="V1559" s="1019">
        <v>3.52573E8</v>
      </c>
      <c r="W1559" s="1020"/>
      <c r="X1559" s="1020"/>
      <c r="Y1559" s="1020"/>
      <c r="Z1559" s="1020"/>
      <c r="AA1559" s="1020"/>
      <c r="AB1559" s="1020"/>
      <c r="AC1559" s="1021">
        <f t="shared" si="675"/>
        <v>2049000000</v>
      </c>
      <c r="AD1559" s="214"/>
      <c r="AE1559" s="353"/>
      <c r="AF1559" s="273"/>
      <c r="AG1559" s="273"/>
      <c r="AH1559" s="273"/>
      <c r="AI1559" s="273"/>
    </row>
    <row r="1560" hidden="1">
      <c r="A1560" s="391"/>
      <c r="B1560" s="195"/>
      <c r="C1560" s="196"/>
      <c r="D1560" s="286" t="s">
        <v>1529</v>
      </c>
      <c r="E1560" s="233"/>
      <c r="F1560" s="233"/>
      <c r="G1560" s="233"/>
      <c r="H1560" s="234"/>
      <c r="I1560" s="234"/>
      <c r="J1560" s="196"/>
      <c r="K1560" s="196" t="s">
        <v>784</v>
      </c>
      <c r="L1560" s="346"/>
      <c r="M1560" s="255"/>
      <c r="N1560" s="365"/>
      <c r="O1560" s="365"/>
      <c r="P1560" s="365"/>
      <c r="Q1560" s="228">
        <v>3.30427E8</v>
      </c>
      <c r="R1560" s="228">
        <v>3.30427E8</v>
      </c>
      <c r="S1560" s="228">
        <v>3.30427E8</v>
      </c>
      <c r="T1560" s="228">
        <v>3.52573E8</v>
      </c>
      <c r="U1560" s="228">
        <v>3.52573E8</v>
      </c>
      <c r="V1560" s="238"/>
      <c r="W1560" s="238"/>
      <c r="X1560" s="238"/>
      <c r="Y1560" s="238"/>
      <c r="Z1560" s="238"/>
      <c r="AA1560" s="238"/>
      <c r="AB1560" s="238"/>
      <c r="AC1560" s="378">
        <f t="shared" si="675"/>
        <v>1696427000</v>
      </c>
      <c r="AD1560" s="214"/>
      <c r="AE1560" s="353"/>
      <c r="AF1560" s="273"/>
      <c r="AG1560" s="273"/>
      <c r="AH1560" s="273"/>
      <c r="AI1560" s="273"/>
    </row>
    <row r="1561">
      <c r="A1561" s="391"/>
      <c r="B1561" s="195"/>
      <c r="C1561" s="196">
        <v>2.0</v>
      </c>
      <c r="D1561" s="184" t="s">
        <v>1530</v>
      </c>
      <c r="E1561" s="198" t="s">
        <v>186</v>
      </c>
      <c r="F1561" s="198" t="s">
        <v>88</v>
      </c>
      <c r="G1561" s="198" t="s">
        <v>88</v>
      </c>
      <c r="H1561" s="198" t="s">
        <v>218</v>
      </c>
      <c r="I1561" s="198" t="s">
        <v>187</v>
      </c>
      <c r="J1561" s="198" t="s">
        <v>188</v>
      </c>
      <c r="K1561" s="937" t="s">
        <v>784</v>
      </c>
      <c r="L1561" s="540">
        <v>3.4729666468E9</v>
      </c>
      <c r="M1561" s="201" t="s">
        <v>1531</v>
      </c>
      <c r="N1561" s="541"/>
      <c r="O1561" s="541">
        <v>45413.0</v>
      </c>
      <c r="P1561" s="541">
        <v>45777.0</v>
      </c>
      <c r="Q1561" s="204">
        <v>2.98939436E8</v>
      </c>
      <c r="R1561" s="204">
        <v>2.98939436E8</v>
      </c>
      <c r="S1561" s="204">
        <v>2.98939436E8</v>
      </c>
      <c r="T1561" s="204">
        <v>2.98939436E8</v>
      </c>
      <c r="U1561" s="204">
        <v>2.98939436E8</v>
      </c>
      <c r="V1561" s="204">
        <v>2.98939436E8</v>
      </c>
      <c r="W1561" s="204">
        <v>2.98939436E8</v>
      </c>
      <c r="X1561" s="204">
        <v>2.98939436E8</v>
      </c>
      <c r="Y1561" s="204">
        <v>2.98939436E8</v>
      </c>
      <c r="Z1561" s="204">
        <v>2.98939436E8</v>
      </c>
      <c r="AA1561" s="204">
        <v>2.98939436E8</v>
      </c>
      <c r="AB1561" s="204">
        <v>2.98939436E8</v>
      </c>
      <c r="AC1561" s="205">
        <v>3.587273232E9</v>
      </c>
      <c r="AD1561" s="178">
        <f>SUM(Q1561:AB1561)-AC1561</f>
        <v>0</v>
      </c>
      <c r="AE1561" s="353"/>
      <c r="AF1561" s="273"/>
      <c r="AG1561" s="273"/>
      <c r="AH1561" s="273"/>
      <c r="AI1561" s="273"/>
    </row>
    <row r="1562" hidden="1">
      <c r="A1562" s="126"/>
      <c r="B1562" s="195"/>
      <c r="C1562" s="206"/>
      <c r="D1562" s="207"/>
      <c r="E1562" s="260"/>
      <c r="F1562" s="207"/>
      <c r="G1562" s="260"/>
      <c r="H1562" s="206"/>
      <c r="I1562" s="206"/>
      <c r="J1562" s="206"/>
      <c r="K1562" s="206" t="s">
        <v>784</v>
      </c>
      <c r="L1562" s="245"/>
      <c r="M1562" s="209"/>
      <c r="N1562" s="367"/>
      <c r="O1562" s="367"/>
      <c r="P1562" s="367">
        <v>45777.0</v>
      </c>
      <c r="Q1562" s="249">
        <v>2.71118952E8</v>
      </c>
      <c r="R1562" s="249">
        <v>2.84755576E8</v>
      </c>
      <c r="S1562" s="249">
        <v>2.84755576E8</v>
      </c>
      <c r="T1562" s="249">
        <v>2.84755576E8</v>
      </c>
      <c r="U1562" s="249"/>
      <c r="V1562" s="212"/>
      <c r="W1562" s="212"/>
      <c r="X1562" s="212"/>
      <c r="Y1562" s="212"/>
      <c r="Z1562" s="212"/>
      <c r="AA1562" s="212"/>
      <c r="AB1562" s="212"/>
      <c r="AC1562" s="213">
        <f t="shared" ref="AC1562:AC1583" si="676">SUM(Q1562:AB1562)</f>
        <v>1125385680</v>
      </c>
      <c r="AD1562" s="273"/>
      <c r="AE1562" s="241"/>
      <c r="AF1562" s="194"/>
      <c r="AG1562" s="194"/>
      <c r="AH1562" s="194"/>
      <c r="AI1562" s="194"/>
    </row>
    <row r="1563" hidden="1">
      <c r="A1563" s="126"/>
      <c r="B1563" s="195"/>
      <c r="C1563" s="206"/>
      <c r="D1563" s="207"/>
      <c r="E1563" s="260"/>
      <c r="F1563" s="207"/>
      <c r="G1563" s="260"/>
      <c r="H1563" s="206"/>
      <c r="I1563" s="206"/>
      <c r="J1563" s="206"/>
      <c r="K1563" s="206" t="s">
        <v>784</v>
      </c>
      <c r="L1563" s="245">
        <f>4462858669-L1562</f>
        <v>4462858669</v>
      </c>
      <c r="M1563" s="261" t="s">
        <v>1532</v>
      </c>
      <c r="N1563" s="367"/>
      <c r="O1563" s="367">
        <f t="shared" ref="O1563:O1564" si="677">P1562+1</f>
        <v>45778</v>
      </c>
      <c r="P1563" s="367">
        <v>45838.0</v>
      </c>
      <c r="Q1563" s="249"/>
      <c r="R1563" s="249"/>
      <c r="S1563" s="249"/>
      <c r="T1563" s="249"/>
      <c r="U1563" s="212">
        <f>T1562</f>
        <v>284755576</v>
      </c>
      <c r="V1563" s="212">
        <f>U1563</f>
        <v>284755576</v>
      </c>
      <c r="W1563" s="212"/>
      <c r="X1563" s="212"/>
      <c r="Y1563" s="212"/>
      <c r="Z1563" s="212"/>
      <c r="AA1563" s="212"/>
      <c r="AB1563" s="212"/>
      <c r="AC1563" s="213">
        <f t="shared" si="676"/>
        <v>569511152</v>
      </c>
      <c r="AD1563" s="273"/>
      <c r="AE1563" s="241"/>
      <c r="AF1563" s="194"/>
      <c r="AG1563" s="194"/>
      <c r="AH1563" s="194"/>
      <c r="AI1563" s="194"/>
    </row>
    <row r="1564" hidden="1">
      <c r="A1564" s="126"/>
      <c r="B1564" s="195"/>
      <c r="C1564" s="206"/>
      <c r="D1564" s="215" t="s">
        <v>1533</v>
      </c>
      <c r="E1564" s="220"/>
      <c r="F1564" s="220"/>
      <c r="G1564" s="220"/>
      <c r="H1564" s="206"/>
      <c r="I1564" s="206"/>
      <c r="J1564" s="206"/>
      <c r="K1564" s="206" t="s">
        <v>784</v>
      </c>
      <c r="L1564" s="277">
        <f>5139990638-L1562-L1563</f>
        <v>677131969</v>
      </c>
      <c r="M1564" s="261" t="s">
        <v>1534</v>
      </c>
      <c r="N1564" s="389"/>
      <c r="O1564" s="389">
        <f t="shared" si="677"/>
        <v>45839</v>
      </c>
      <c r="P1564" s="367">
        <v>45900.0</v>
      </c>
      <c r="Q1564" s="249"/>
      <c r="R1564" s="249"/>
      <c r="S1564" s="249"/>
      <c r="T1564" s="249"/>
      <c r="U1564" s="249"/>
      <c r="V1564" s="249"/>
      <c r="W1564" s="212"/>
      <c r="X1564" s="212"/>
      <c r="Y1564" s="212"/>
      <c r="Z1564" s="212"/>
      <c r="AA1564" s="212"/>
      <c r="AB1564" s="212"/>
      <c r="AC1564" s="213">
        <f t="shared" si="676"/>
        <v>0</v>
      </c>
      <c r="AD1564" s="273"/>
      <c r="AE1564" s="353"/>
      <c r="AF1564" s="273"/>
      <c r="AG1564" s="273"/>
      <c r="AH1564" s="273"/>
      <c r="AI1564" s="273"/>
    </row>
    <row r="1565" hidden="1">
      <c r="A1565" s="391"/>
      <c r="B1565" s="195"/>
      <c r="C1565" s="222"/>
      <c r="D1565" s="250" t="s">
        <v>1535</v>
      </c>
      <c r="E1565" s="782"/>
      <c r="F1565" s="782"/>
      <c r="G1565" s="782"/>
      <c r="H1565" s="222"/>
      <c r="I1565" s="222"/>
      <c r="J1565" s="196"/>
      <c r="K1565" s="196" t="s">
        <v>784</v>
      </c>
      <c r="L1565" s="225"/>
      <c r="M1565" s="236"/>
      <c r="N1565" s="285"/>
      <c r="O1565" s="285"/>
      <c r="P1565" s="285"/>
      <c r="Q1565" s="228">
        <v>2.80097265E8</v>
      </c>
      <c r="R1565" s="228">
        <v>2.84755576E8</v>
      </c>
      <c r="S1565" s="228">
        <v>2.89413866E8</v>
      </c>
      <c r="T1565" s="228">
        <v>2.89413866E8</v>
      </c>
      <c r="U1565" s="228">
        <v>2.89413866E8</v>
      </c>
      <c r="V1565" s="270">
        <v>2.73813374E8</v>
      </c>
      <c r="W1565" s="230"/>
      <c r="X1565" s="230"/>
      <c r="Y1565" s="230"/>
      <c r="Z1565" s="230"/>
      <c r="AA1565" s="230"/>
      <c r="AB1565" s="230"/>
      <c r="AC1565" s="231">
        <f t="shared" si="676"/>
        <v>1706907813</v>
      </c>
      <c r="AD1565" s="273"/>
      <c r="AE1565" s="353"/>
      <c r="AF1565" s="273"/>
      <c r="AG1565" s="273"/>
      <c r="AH1565" s="273"/>
      <c r="AI1565" s="273"/>
    </row>
    <row r="1566" hidden="1">
      <c r="A1566" s="391"/>
      <c r="B1566" s="1022"/>
      <c r="C1566" s="1023"/>
      <c r="D1566" s="286" t="s">
        <v>194</v>
      </c>
      <c r="E1566" s="527"/>
      <c r="F1566" s="527"/>
      <c r="G1566" s="527"/>
      <c r="H1566" s="510"/>
      <c r="I1566" s="510"/>
      <c r="J1566" s="1024"/>
      <c r="K1566" s="196" t="s">
        <v>784</v>
      </c>
      <c r="L1566" s="536"/>
      <c r="M1566" s="552"/>
      <c r="N1566" s="553"/>
      <c r="O1566" s="553"/>
      <c r="P1566" s="553"/>
      <c r="Q1566" s="228">
        <v>2.80097265E8</v>
      </c>
      <c r="R1566" s="228">
        <v>2.84755576E8</v>
      </c>
      <c r="S1566" s="228">
        <v>2.89413866E8</v>
      </c>
      <c r="T1566" s="228">
        <v>2.89413866E8</v>
      </c>
      <c r="U1566" s="228">
        <v>2.89413866E8</v>
      </c>
      <c r="V1566" s="229">
        <v>2.73813374E8</v>
      </c>
      <c r="W1566" s="600"/>
      <c r="X1566" s="452"/>
      <c r="Y1566" s="452"/>
      <c r="Z1566" s="452"/>
      <c r="AA1566" s="452"/>
      <c r="AB1566" s="452"/>
      <c r="AC1566" s="378">
        <f t="shared" si="676"/>
        <v>1706907813</v>
      </c>
      <c r="AD1566" s="273"/>
      <c r="AE1566" s="192"/>
      <c r="AF1566" s="194"/>
      <c r="AG1566" s="194"/>
      <c r="AH1566" s="194"/>
      <c r="AI1566" s="194"/>
    </row>
    <row r="1567" hidden="1">
      <c r="A1567" s="391"/>
      <c r="B1567" s="1022"/>
      <c r="C1567" s="1023"/>
      <c r="D1567" s="286" t="s">
        <v>1536</v>
      </c>
      <c r="E1567" s="527"/>
      <c r="F1567" s="527"/>
      <c r="G1567" s="527"/>
      <c r="H1567" s="510"/>
      <c r="I1567" s="510"/>
      <c r="J1567" s="1024"/>
      <c r="K1567" s="196" t="s">
        <v>784</v>
      </c>
      <c r="L1567" s="536"/>
      <c r="M1567" s="552"/>
      <c r="N1567" s="553"/>
      <c r="O1567" s="553"/>
      <c r="P1567" s="553"/>
      <c r="Q1567" s="228">
        <v>2.80097265E8</v>
      </c>
      <c r="R1567" s="228">
        <v>2.84755576E8</v>
      </c>
      <c r="S1567" s="228">
        <v>2.89413866E8</v>
      </c>
      <c r="T1567" s="228">
        <v>2.89413866E8</v>
      </c>
      <c r="U1567" s="228">
        <v>2.89413866E8</v>
      </c>
      <c r="V1567" s="600"/>
      <c r="W1567" s="600"/>
      <c r="X1567" s="452"/>
      <c r="Y1567" s="452"/>
      <c r="Z1567" s="452"/>
      <c r="AA1567" s="452"/>
      <c r="AB1567" s="452"/>
      <c r="AC1567" s="378">
        <f t="shared" si="676"/>
        <v>1433094439</v>
      </c>
      <c r="AD1567" s="273"/>
      <c r="AE1567" s="192"/>
      <c r="AF1567" s="194"/>
      <c r="AG1567" s="194"/>
      <c r="AH1567" s="194"/>
      <c r="AI1567" s="194"/>
    </row>
    <row r="1568">
      <c r="A1568" s="391"/>
      <c r="B1568" s="1025"/>
      <c r="C1568" s="1023">
        <v>3.0</v>
      </c>
      <c r="D1568" s="528" t="s">
        <v>1537</v>
      </c>
      <c r="E1568" s="198" t="s">
        <v>186</v>
      </c>
      <c r="F1568" s="198" t="s">
        <v>135</v>
      </c>
      <c r="G1568" s="198" t="s">
        <v>135</v>
      </c>
      <c r="H1568" s="198" t="s">
        <v>203</v>
      </c>
      <c r="I1568" s="198" t="s">
        <v>1010</v>
      </c>
      <c r="J1568" s="198" t="s">
        <v>367</v>
      </c>
      <c r="K1568" s="529" t="s">
        <v>784</v>
      </c>
      <c r="L1568" s="604">
        <f>1656587736</f>
        <v>1656587736</v>
      </c>
      <c r="M1568" s="558" t="s">
        <v>1538</v>
      </c>
      <c r="N1568" s="399"/>
      <c r="O1568" s="399">
        <v>45627.0</v>
      </c>
      <c r="P1568" s="399">
        <v>45869.0</v>
      </c>
      <c r="Q1568" s="710"/>
      <c r="R1568" s="710"/>
      <c r="S1568" s="710"/>
      <c r="T1568" s="710"/>
      <c r="U1568" s="710"/>
      <c r="V1568" s="710"/>
      <c r="W1568" s="710"/>
      <c r="X1568" s="439"/>
      <c r="Y1568" s="439"/>
      <c r="Z1568" s="439"/>
      <c r="AA1568" s="439"/>
      <c r="AB1568" s="439"/>
      <c r="AC1568" s="440">
        <f t="shared" si="676"/>
        <v>0</v>
      </c>
      <c r="AD1568" s="273"/>
      <c r="AE1568" s="353"/>
      <c r="AF1568" s="273"/>
      <c r="AG1568" s="273"/>
      <c r="AH1568" s="273"/>
      <c r="AI1568" s="273"/>
    </row>
    <row r="1569" hidden="1">
      <c r="A1569" s="126"/>
      <c r="B1569" s="555"/>
      <c r="C1569" s="206"/>
      <c r="D1569" s="215"/>
      <c r="E1569" s="534"/>
      <c r="F1569" s="534"/>
      <c r="G1569" s="534"/>
      <c r="H1569" s="523"/>
      <c r="I1569" s="523"/>
      <c r="J1569" s="523"/>
      <c r="K1569" s="523" t="s">
        <v>784</v>
      </c>
      <c r="L1569" s="444"/>
      <c r="M1569" s="485"/>
      <c r="N1569" s="446"/>
      <c r="O1569" s="446"/>
      <c r="P1569" s="446">
        <f>P1568</f>
        <v>45869</v>
      </c>
      <c r="Q1569" s="448">
        <v>3.18111085E8</v>
      </c>
      <c r="R1569" s="448">
        <v>3.18111085E8</v>
      </c>
      <c r="S1569" s="448">
        <v>3.18111085E8</v>
      </c>
      <c r="T1569" s="448">
        <v>3.18111085E8</v>
      </c>
      <c r="U1569" s="448">
        <v>3.18111085E8</v>
      </c>
      <c r="V1569" s="448">
        <v>3.18111085E8</v>
      </c>
      <c r="W1569" s="448">
        <v>3.18111085E8</v>
      </c>
      <c r="X1569" s="447"/>
      <c r="Y1569" s="447"/>
      <c r="Z1569" s="447"/>
      <c r="AA1569" s="447"/>
      <c r="AB1569" s="447"/>
      <c r="AC1569" s="449">
        <f t="shared" si="676"/>
        <v>2226777595</v>
      </c>
      <c r="AD1569" s="273"/>
      <c r="AE1569" s="692"/>
      <c r="AF1569" s="273"/>
      <c r="AG1569" s="273"/>
      <c r="AH1569" s="273"/>
      <c r="AI1569" s="273"/>
    </row>
    <row r="1570" hidden="1">
      <c r="A1570" s="126"/>
      <c r="B1570" s="555"/>
      <c r="C1570" s="206"/>
      <c r="D1570" s="215" t="s">
        <v>1539</v>
      </c>
      <c r="E1570" s="534"/>
      <c r="F1570" s="534"/>
      <c r="G1570" s="534"/>
      <c r="H1570" s="523"/>
      <c r="I1570" s="523"/>
      <c r="J1570" s="596"/>
      <c r="K1570" s="596" t="s">
        <v>784</v>
      </c>
      <c r="L1570" s="444"/>
      <c r="M1570" s="485" t="s">
        <v>1540</v>
      </c>
      <c r="N1570" s="446"/>
      <c r="O1570" s="446">
        <f>P1569+1</f>
        <v>45870</v>
      </c>
      <c r="P1570" s="446"/>
      <c r="Q1570" s="448"/>
      <c r="R1570" s="448"/>
      <c r="S1570" s="448"/>
      <c r="T1570" s="448"/>
      <c r="U1570" s="448"/>
      <c r="V1570" s="448"/>
      <c r="W1570" s="448"/>
      <c r="X1570" s="447"/>
      <c r="Y1570" s="447"/>
      <c r="Z1570" s="447"/>
      <c r="AA1570" s="447"/>
      <c r="AB1570" s="447"/>
      <c r="AC1570" s="449">
        <f t="shared" si="676"/>
        <v>0</v>
      </c>
      <c r="AD1570" s="273"/>
      <c r="AE1570" s="692"/>
      <c r="AF1570" s="273"/>
      <c r="AG1570" s="273"/>
      <c r="AH1570" s="273"/>
      <c r="AI1570" s="273"/>
    </row>
    <row r="1571" hidden="1">
      <c r="A1571" s="391"/>
      <c r="B1571" s="555"/>
      <c r="C1571" s="222"/>
      <c r="D1571" s="250" t="s">
        <v>1541</v>
      </c>
      <c r="E1571" s="470"/>
      <c r="F1571" s="470"/>
      <c r="G1571" s="470"/>
      <c r="H1571" s="456"/>
      <c r="I1571" s="456"/>
      <c r="J1571" s="196"/>
      <c r="K1571" s="196" t="s">
        <v>784</v>
      </c>
      <c r="L1571" s="457"/>
      <c r="M1571" s="473"/>
      <c r="N1571" s="459"/>
      <c r="O1571" s="459"/>
      <c r="P1571" s="459"/>
      <c r="Q1571" s="600">
        <v>3.18111085E8</v>
      </c>
      <c r="R1571" s="600">
        <v>2.64711402E8</v>
      </c>
      <c r="S1571" s="600">
        <v>3.28070312E8</v>
      </c>
      <c r="T1571" s="600">
        <v>2.71417561E8</v>
      </c>
      <c r="U1571" s="600">
        <v>2.07840179E8</v>
      </c>
      <c r="V1571" s="600">
        <v>2.26167335E8</v>
      </c>
      <c r="W1571" s="600"/>
      <c r="X1571" s="600"/>
      <c r="Y1571" s="600"/>
      <c r="Z1571" s="600"/>
      <c r="AA1571" s="600"/>
      <c r="AB1571" s="600"/>
      <c r="AC1571" s="538">
        <f t="shared" si="676"/>
        <v>1616317874</v>
      </c>
      <c r="AD1571" s="273"/>
      <c r="AE1571" s="692"/>
      <c r="AF1571" s="273"/>
      <c r="AG1571" s="273"/>
      <c r="AH1571" s="273"/>
      <c r="AI1571" s="273"/>
    </row>
    <row r="1572" hidden="1">
      <c r="A1572" s="391"/>
      <c r="B1572" s="555"/>
      <c r="C1572" s="433"/>
      <c r="D1572" s="286" t="s">
        <v>194</v>
      </c>
      <c r="E1572" s="527"/>
      <c r="F1572" s="527"/>
      <c r="G1572" s="527"/>
      <c r="H1572" s="510"/>
      <c r="I1572" s="510"/>
      <c r="J1572" s="1024"/>
      <c r="K1572" s="196" t="s">
        <v>784</v>
      </c>
      <c r="L1572" s="457"/>
      <c r="M1572" s="513"/>
      <c r="N1572" s="514"/>
      <c r="O1572" s="514"/>
      <c r="P1572" s="514"/>
      <c r="Q1572" s="600">
        <v>3.18111085E8</v>
      </c>
      <c r="R1572" s="600">
        <v>2.64711402E8</v>
      </c>
      <c r="S1572" s="600">
        <v>3.28070312E8</v>
      </c>
      <c r="T1572" s="600">
        <v>2.71417561E8</v>
      </c>
      <c r="U1572" s="600">
        <v>2.07840179E8</v>
      </c>
      <c r="V1572" s="229">
        <v>2.26167335E8</v>
      </c>
      <c r="W1572" s="600"/>
      <c r="X1572" s="600"/>
      <c r="Y1572" s="600"/>
      <c r="Z1572" s="600"/>
      <c r="AA1572" s="600"/>
      <c r="AB1572" s="600"/>
      <c r="AC1572" s="378">
        <f t="shared" si="676"/>
        <v>1616317874</v>
      </c>
      <c r="AD1572" s="420"/>
      <c r="AE1572" s="849"/>
      <c r="AF1572" s="420"/>
      <c r="AG1572" s="420"/>
      <c r="AH1572" s="420"/>
      <c r="AI1572" s="420"/>
    </row>
    <row r="1573" hidden="1">
      <c r="A1573" s="391"/>
      <c r="B1573" s="555"/>
      <c r="C1573" s="433"/>
      <c r="D1573" s="286" t="s">
        <v>1542</v>
      </c>
      <c r="E1573" s="527"/>
      <c r="F1573" s="527"/>
      <c r="G1573" s="527"/>
      <c r="H1573" s="510"/>
      <c r="I1573" s="510"/>
      <c r="J1573" s="1024"/>
      <c r="K1573" s="196" t="s">
        <v>784</v>
      </c>
      <c r="L1573" s="457"/>
      <c r="M1573" s="513"/>
      <c r="N1573" s="514"/>
      <c r="O1573" s="514"/>
      <c r="P1573" s="514"/>
      <c r="Q1573" s="600">
        <v>3.18111085E8</v>
      </c>
      <c r="R1573" s="600">
        <v>2.64711402E8</v>
      </c>
      <c r="S1573" s="600">
        <v>3.28070312E8</v>
      </c>
      <c r="T1573" s="600">
        <v>2.71417561E8</v>
      </c>
      <c r="U1573" s="600">
        <v>2.07840179E8</v>
      </c>
      <c r="V1573" s="600"/>
      <c r="W1573" s="600"/>
      <c r="X1573" s="600"/>
      <c r="Y1573" s="600"/>
      <c r="Z1573" s="600"/>
      <c r="AA1573" s="600"/>
      <c r="AB1573" s="600"/>
      <c r="AC1573" s="378">
        <f t="shared" si="676"/>
        <v>1390150539</v>
      </c>
      <c r="AD1573" s="420"/>
      <c r="AE1573" s="849"/>
      <c r="AF1573" s="420"/>
      <c r="AG1573" s="420"/>
      <c r="AH1573" s="420"/>
      <c r="AI1573" s="420"/>
    </row>
    <row r="1574">
      <c r="A1574" s="391"/>
      <c r="B1574" s="615"/>
      <c r="C1574" s="475">
        <v>4.0</v>
      </c>
      <c r="D1574" s="976" t="s">
        <v>1543</v>
      </c>
      <c r="E1574" s="198" t="s">
        <v>186</v>
      </c>
      <c r="F1574" s="198" t="s">
        <v>305</v>
      </c>
      <c r="G1574" s="198" t="s">
        <v>92</v>
      </c>
      <c r="H1574" s="198" t="s">
        <v>306</v>
      </c>
      <c r="I1574" s="198" t="s">
        <v>187</v>
      </c>
      <c r="J1574" s="198" t="s">
        <v>188</v>
      </c>
      <c r="K1574" s="606" t="s">
        <v>784</v>
      </c>
      <c r="L1574" s="436"/>
      <c r="M1574" s="479"/>
      <c r="N1574" s="438"/>
      <c r="O1574" s="438"/>
      <c r="P1574" s="438"/>
      <c r="Q1574" s="618"/>
      <c r="R1574" s="618"/>
      <c r="S1574" s="618"/>
      <c r="T1574" s="618">
        <f t="shared" ref="T1574:AB1574" si="678">4200000000/9</f>
        <v>466666666.7</v>
      </c>
      <c r="U1574" s="618">
        <f t="shared" si="678"/>
        <v>466666666.7</v>
      </c>
      <c r="V1574" s="618">
        <f t="shared" si="678"/>
        <v>466666666.7</v>
      </c>
      <c r="W1574" s="618">
        <f t="shared" si="678"/>
        <v>466666666.7</v>
      </c>
      <c r="X1574" s="618">
        <f t="shared" si="678"/>
        <v>466666666.7</v>
      </c>
      <c r="Y1574" s="618">
        <f t="shared" si="678"/>
        <v>466666666.7</v>
      </c>
      <c r="Z1574" s="618">
        <f t="shared" si="678"/>
        <v>466666666.7</v>
      </c>
      <c r="AA1574" s="618">
        <f t="shared" si="678"/>
        <v>466666666.7</v>
      </c>
      <c r="AB1574" s="618">
        <f t="shared" si="678"/>
        <v>466666666.7</v>
      </c>
      <c r="AC1574" s="619">
        <f t="shared" si="676"/>
        <v>4200000000</v>
      </c>
      <c r="AD1574" s="420"/>
      <c r="AE1574" s="241"/>
      <c r="AF1574" s="194"/>
      <c r="AG1574" s="194"/>
      <c r="AH1574" s="194"/>
      <c r="AI1574" s="194"/>
    </row>
    <row r="1575" ht="18.75" hidden="1" customHeight="1">
      <c r="A1575" s="126"/>
      <c r="B1575" s="615"/>
      <c r="C1575" s="566"/>
      <c r="D1575" s="915"/>
      <c r="E1575" s="621"/>
      <c r="F1575" s="621"/>
      <c r="G1575" s="621"/>
      <c r="H1575" s="622"/>
      <c r="I1575" s="622"/>
      <c r="J1575" s="622"/>
      <c r="K1575" s="622" t="s">
        <v>784</v>
      </c>
      <c r="L1575" s="906"/>
      <c r="M1575" s="624"/>
      <c r="N1575" s="625"/>
      <c r="O1575" s="625"/>
      <c r="P1575" s="625"/>
      <c r="Q1575" s="627"/>
      <c r="R1575" s="627"/>
      <c r="S1575" s="627"/>
      <c r="T1575" s="627"/>
      <c r="U1575" s="627"/>
      <c r="V1575" s="627"/>
      <c r="W1575" s="627"/>
      <c r="X1575" s="627"/>
      <c r="Y1575" s="627"/>
      <c r="Z1575" s="627"/>
      <c r="AA1575" s="627"/>
      <c r="AB1575" s="627"/>
      <c r="AC1575" s="628">
        <f t="shared" si="676"/>
        <v>0</v>
      </c>
      <c r="AD1575" s="420"/>
      <c r="AE1575" s="241"/>
      <c r="AF1575" s="194"/>
      <c r="AG1575" s="194"/>
      <c r="AH1575" s="194"/>
      <c r="AI1575" s="194"/>
    </row>
    <row r="1576" hidden="1">
      <c r="A1576" s="391"/>
      <c r="B1576" s="615"/>
      <c r="C1576" s="222"/>
      <c r="D1576" s="250" t="s">
        <v>1544</v>
      </c>
      <c r="E1576" s="611"/>
      <c r="F1576" s="611"/>
      <c r="G1576" s="611"/>
      <c r="H1576" s="612"/>
      <c r="I1576" s="612"/>
      <c r="J1576" s="196"/>
      <c r="K1576" s="196" t="s">
        <v>784</v>
      </c>
      <c r="L1576" s="907"/>
      <c r="M1576" s="629"/>
      <c r="N1576" s="630"/>
      <c r="O1576" s="630"/>
      <c r="P1576" s="630"/>
      <c r="Q1576" s="908"/>
      <c r="R1576" s="908"/>
      <c r="S1576" s="908"/>
      <c r="T1576" s="908"/>
      <c r="U1576" s="908"/>
      <c r="V1576" s="908"/>
      <c r="W1576" s="908"/>
      <c r="X1576" s="908"/>
      <c r="Y1576" s="908"/>
      <c r="Z1576" s="908"/>
      <c r="AA1576" s="908"/>
      <c r="AB1576" s="908"/>
      <c r="AC1576" s="909">
        <f t="shared" si="676"/>
        <v>0</v>
      </c>
      <c r="AD1576" s="420"/>
      <c r="AE1576" s="430"/>
      <c r="AF1576" s="431"/>
      <c r="AG1576" s="431"/>
      <c r="AH1576" s="431"/>
      <c r="AI1576" s="431"/>
    </row>
    <row r="1577" hidden="1">
      <c r="A1577" s="391"/>
      <c r="B1577" s="615"/>
      <c r="C1577" s="475"/>
      <c r="D1577" s="286" t="s">
        <v>194</v>
      </c>
      <c r="E1577" s="611"/>
      <c r="F1577" s="611"/>
      <c r="G1577" s="611"/>
      <c r="H1577" s="910"/>
      <c r="I1577" s="910"/>
      <c r="J1577" s="196"/>
      <c r="K1577" s="196" t="s">
        <v>784</v>
      </c>
      <c r="L1577" s="426"/>
      <c r="M1577" s="427"/>
      <c r="N1577" s="428"/>
      <c r="O1577" s="428"/>
      <c r="P1577" s="428"/>
      <c r="Q1577" s="429"/>
      <c r="R1577" s="429"/>
      <c r="S1577" s="429"/>
      <c r="T1577" s="429"/>
      <c r="U1577" s="429"/>
      <c r="V1577" s="429"/>
      <c r="W1577" s="429"/>
      <c r="X1577" s="429"/>
      <c r="Y1577" s="429"/>
      <c r="Z1577" s="429"/>
      <c r="AA1577" s="429"/>
      <c r="AB1577" s="429"/>
      <c r="AC1577" s="378">
        <f t="shared" si="676"/>
        <v>0</v>
      </c>
      <c r="AD1577" s="420"/>
      <c r="AE1577" s="192"/>
      <c r="AF1577" s="194"/>
      <c r="AG1577" s="194"/>
      <c r="AH1577" s="194"/>
      <c r="AI1577" s="194"/>
    </row>
    <row r="1578" hidden="1">
      <c r="A1578" s="391"/>
      <c r="B1578" s="615"/>
      <c r="C1578" s="475"/>
      <c r="D1578" s="286" t="s">
        <v>1545</v>
      </c>
      <c r="E1578" s="611"/>
      <c r="F1578" s="611"/>
      <c r="G1578" s="611"/>
      <c r="H1578" s="910"/>
      <c r="I1578" s="910"/>
      <c r="J1578" s="196"/>
      <c r="K1578" s="196" t="s">
        <v>784</v>
      </c>
      <c r="L1578" s="426"/>
      <c r="M1578" s="427"/>
      <c r="N1578" s="428"/>
      <c r="O1578" s="428"/>
      <c r="P1578" s="428"/>
      <c r="Q1578" s="429"/>
      <c r="R1578" s="429"/>
      <c r="S1578" s="429"/>
      <c r="T1578" s="429"/>
      <c r="U1578" s="429"/>
      <c r="V1578" s="429"/>
      <c r="W1578" s="429"/>
      <c r="X1578" s="429"/>
      <c r="Y1578" s="429"/>
      <c r="Z1578" s="429"/>
      <c r="AA1578" s="429"/>
      <c r="AB1578" s="429"/>
      <c r="AC1578" s="378">
        <f t="shared" si="676"/>
        <v>0</v>
      </c>
      <c r="AD1578" s="420"/>
      <c r="AE1578" s="192"/>
      <c r="AF1578" s="194"/>
      <c r="AG1578" s="194"/>
      <c r="AH1578" s="194"/>
      <c r="AI1578" s="194"/>
    </row>
    <row r="1579">
      <c r="A1579" s="391"/>
      <c r="B1579" s="615"/>
      <c r="C1579" s="475">
        <v>5.0</v>
      </c>
      <c r="D1579" s="976" t="s">
        <v>1546</v>
      </c>
      <c r="E1579" s="198" t="s">
        <v>186</v>
      </c>
      <c r="F1579" s="198" t="s">
        <v>135</v>
      </c>
      <c r="G1579" s="198" t="s">
        <v>135</v>
      </c>
      <c r="H1579" s="198" t="s">
        <v>203</v>
      </c>
      <c r="I1579" s="198" t="s">
        <v>253</v>
      </c>
      <c r="J1579" s="198" t="s">
        <v>254</v>
      </c>
      <c r="K1579" s="606" t="s">
        <v>784</v>
      </c>
      <c r="L1579" s="436"/>
      <c r="M1579" s="479"/>
      <c r="N1579" s="438"/>
      <c r="O1579" s="438"/>
      <c r="P1579" s="438"/>
      <c r="Q1579" s="618"/>
      <c r="R1579" s="618"/>
      <c r="S1579" s="618"/>
      <c r="T1579" s="618">
        <f t="shared" ref="T1579:AB1579" si="679">4000000000/9</f>
        <v>444444444.4</v>
      </c>
      <c r="U1579" s="618">
        <f t="shared" si="679"/>
        <v>444444444.4</v>
      </c>
      <c r="V1579" s="618">
        <f t="shared" si="679"/>
        <v>444444444.4</v>
      </c>
      <c r="W1579" s="618">
        <f t="shared" si="679"/>
        <v>444444444.4</v>
      </c>
      <c r="X1579" s="618">
        <f t="shared" si="679"/>
        <v>444444444.4</v>
      </c>
      <c r="Y1579" s="618">
        <f t="shared" si="679"/>
        <v>444444444.4</v>
      </c>
      <c r="Z1579" s="618">
        <f t="shared" si="679"/>
        <v>444444444.4</v>
      </c>
      <c r="AA1579" s="618">
        <f t="shared" si="679"/>
        <v>444444444.4</v>
      </c>
      <c r="AB1579" s="618">
        <f t="shared" si="679"/>
        <v>444444444.4</v>
      </c>
      <c r="AC1579" s="619">
        <f t="shared" si="676"/>
        <v>4000000000</v>
      </c>
      <c r="AD1579" s="420"/>
      <c r="AE1579" s="241"/>
      <c r="AF1579" s="194"/>
      <c r="AG1579" s="194"/>
      <c r="AH1579" s="194"/>
      <c r="AI1579" s="194"/>
    </row>
    <row r="1580" hidden="1">
      <c r="A1580" s="126"/>
      <c r="B1580" s="615"/>
      <c r="C1580" s="441"/>
      <c r="D1580" s="915"/>
      <c r="E1580" s="621"/>
      <c r="F1580" s="621"/>
      <c r="G1580" s="621"/>
      <c r="H1580" s="622"/>
      <c r="I1580" s="622"/>
      <c r="J1580" s="622"/>
      <c r="K1580" s="622" t="s">
        <v>784</v>
      </c>
      <c r="L1580" s="906"/>
      <c r="M1580" s="624"/>
      <c r="N1580" s="625"/>
      <c r="O1580" s="625"/>
      <c r="P1580" s="625"/>
      <c r="Q1580" s="627"/>
      <c r="R1580" s="627"/>
      <c r="S1580" s="627"/>
      <c r="T1580" s="627"/>
      <c r="U1580" s="627"/>
      <c r="V1580" s="627"/>
      <c r="W1580" s="627"/>
      <c r="X1580" s="627"/>
      <c r="Y1580" s="627"/>
      <c r="Z1580" s="627"/>
      <c r="AA1580" s="627"/>
      <c r="AB1580" s="627"/>
      <c r="AC1580" s="628">
        <f t="shared" si="676"/>
        <v>0</v>
      </c>
      <c r="AD1580" s="284"/>
      <c r="AE1580" s="241"/>
      <c r="AF1580" s="194"/>
      <c r="AG1580" s="194"/>
      <c r="AH1580" s="194"/>
      <c r="AI1580" s="194"/>
    </row>
    <row r="1581" hidden="1">
      <c r="A1581" s="391"/>
      <c r="B1581" s="615"/>
      <c r="C1581" s="182"/>
      <c r="D1581" s="250" t="s">
        <v>1547</v>
      </c>
      <c r="E1581" s="611"/>
      <c r="F1581" s="611"/>
      <c r="G1581" s="611"/>
      <c r="H1581" s="612"/>
      <c r="I1581" s="612"/>
      <c r="J1581" s="196"/>
      <c r="K1581" s="196" t="s">
        <v>784</v>
      </c>
      <c r="L1581" s="907"/>
      <c r="M1581" s="629"/>
      <c r="N1581" s="630"/>
      <c r="O1581" s="630"/>
      <c r="P1581" s="630"/>
      <c r="Q1581" s="908"/>
      <c r="R1581" s="908"/>
      <c r="S1581" s="908"/>
      <c r="T1581" s="908"/>
      <c r="U1581" s="908"/>
      <c r="V1581" s="908"/>
      <c r="W1581" s="908"/>
      <c r="X1581" s="908"/>
      <c r="Y1581" s="908"/>
      <c r="Z1581" s="908"/>
      <c r="AA1581" s="908"/>
      <c r="AB1581" s="908"/>
      <c r="AC1581" s="909">
        <f t="shared" si="676"/>
        <v>0</v>
      </c>
      <c r="AD1581" s="420"/>
      <c r="AE1581" s="241"/>
      <c r="AF1581" s="194"/>
      <c r="AG1581" s="194"/>
      <c r="AH1581" s="194"/>
      <c r="AI1581" s="194"/>
    </row>
    <row r="1582" hidden="1">
      <c r="A1582" s="391"/>
      <c r="B1582" s="615"/>
      <c r="C1582" s="182"/>
      <c r="D1582" s="286" t="s">
        <v>194</v>
      </c>
      <c r="E1582" s="233"/>
      <c r="F1582" s="233"/>
      <c r="G1582" s="233"/>
      <c r="H1582" s="234"/>
      <c r="I1582" s="234"/>
      <c r="J1582" s="196"/>
      <c r="K1582" s="196" t="s">
        <v>784</v>
      </c>
      <c r="L1582" s="287"/>
      <c r="M1582" s="236"/>
      <c r="N1582" s="285"/>
      <c r="O1582" s="285"/>
      <c r="P1582" s="285"/>
      <c r="Q1582" s="288"/>
      <c r="R1582" s="288"/>
      <c r="S1582" s="288"/>
      <c r="T1582" s="288"/>
      <c r="U1582" s="288"/>
      <c r="V1582" s="288"/>
      <c r="W1582" s="288"/>
      <c r="X1582" s="288"/>
      <c r="Y1582" s="288"/>
      <c r="Z1582" s="288"/>
      <c r="AA1582" s="288"/>
      <c r="AB1582" s="288"/>
      <c r="AC1582" s="378">
        <f t="shared" si="676"/>
        <v>0</v>
      </c>
      <c r="AD1582" s="284"/>
      <c r="AE1582" s="241"/>
      <c r="AF1582" s="194"/>
      <c r="AG1582" s="194"/>
      <c r="AH1582" s="194"/>
      <c r="AI1582" s="194"/>
    </row>
    <row r="1583" hidden="1">
      <c r="A1583" s="391"/>
      <c r="B1583" s="615"/>
      <c r="C1583" s="182"/>
      <c r="D1583" s="286" t="s">
        <v>1548</v>
      </c>
      <c r="E1583" s="233"/>
      <c r="F1583" s="233"/>
      <c r="G1583" s="233"/>
      <c r="H1583" s="234"/>
      <c r="I1583" s="234"/>
      <c r="J1583" s="196"/>
      <c r="K1583" s="196" t="s">
        <v>784</v>
      </c>
      <c r="L1583" s="287"/>
      <c r="M1583" s="236"/>
      <c r="N1583" s="285"/>
      <c r="O1583" s="285"/>
      <c r="P1583" s="285"/>
      <c r="Q1583" s="288"/>
      <c r="R1583" s="288"/>
      <c r="S1583" s="288"/>
      <c r="T1583" s="288"/>
      <c r="U1583" s="288"/>
      <c r="V1583" s="288"/>
      <c r="W1583" s="288"/>
      <c r="X1583" s="288"/>
      <c r="Y1583" s="288"/>
      <c r="Z1583" s="288"/>
      <c r="AA1583" s="288"/>
      <c r="AB1583" s="288"/>
      <c r="AC1583" s="378">
        <f t="shared" si="676"/>
        <v>0</v>
      </c>
      <c r="AD1583" s="284"/>
      <c r="AE1583" s="241"/>
      <c r="AF1583" s="194"/>
      <c r="AG1583" s="194"/>
      <c r="AH1583" s="194"/>
      <c r="AI1583" s="194"/>
    </row>
    <row r="1584" hidden="1">
      <c r="A1584" s="126"/>
      <c r="B1584" s="181"/>
      <c r="C1584" s="289"/>
      <c r="D1584" s="290" t="s">
        <v>1549</v>
      </c>
      <c r="E1584" s="487"/>
      <c r="F1584" s="487"/>
      <c r="G1584" s="487"/>
      <c r="H1584" s="291"/>
      <c r="I1584" s="291"/>
      <c r="J1584" s="292"/>
      <c r="K1584" s="292" t="s">
        <v>784</v>
      </c>
      <c r="L1584" s="293"/>
      <c r="M1584" s="294"/>
      <c r="N1584" s="295"/>
      <c r="O1584" s="295"/>
      <c r="P1584" s="295"/>
      <c r="Q1584" s="296">
        <f t="shared" ref="Q1584:AC1584" si="680">Q1556+Q1557+Q1562+Q1563+Q1564</f>
        <v>601545952</v>
      </c>
      <c r="R1584" s="296">
        <f t="shared" si="680"/>
        <v>615182576</v>
      </c>
      <c r="S1584" s="296">
        <f t="shared" si="680"/>
        <v>615182576</v>
      </c>
      <c r="T1584" s="296">
        <f t="shared" si="680"/>
        <v>615182576</v>
      </c>
      <c r="U1584" s="296">
        <f t="shared" si="680"/>
        <v>615182576</v>
      </c>
      <c r="V1584" s="296">
        <f t="shared" si="680"/>
        <v>615182576</v>
      </c>
      <c r="W1584" s="296">
        <f t="shared" si="680"/>
        <v>330427000</v>
      </c>
      <c r="X1584" s="296">
        <f t="shared" si="680"/>
        <v>330427000</v>
      </c>
      <c r="Y1584" s="296">
        <f t="shared" si="680"/>
        <v>330427000</v>
      </c>
      <c r="Z1584" s="296">
        <f t="shared" si="680"/>
        <v>330427000</v>
      </c>
      <c r="AA1584" s="296">
        <f t="shared" si="680"/>
        <v>330427000</v>
      </c>
      <c r="AB1584" s="296">
        <f t="shared" si="680"/>
        <v>330427000</v>
      </c>
      <c r="AC1584" s="297">
        <f t="shared" si="680"/>
        <v>5660020832</v>
      </c>
      <c r="AD1584" s="995">
        <f>AD1585+AD1592+AD1597</f>
        <v>0</v>
      </c>
      <c r="AE1584" s="241"/>
      <c r="AF1584" s="194"/>
      <c r="AG1584" s="194"/>
      <c r="AH1584" s="194"/>
      <c r="AI1584" s="194"/>
    </row>
    <row r="1585" hidden="1">
      <c r="A1585" s="391"/>
      <c r="B1585" s="298"/>
      <c r="C1585" s="299"/>
      <c r="D1585" s="300" t="s">
        <v>1550</v>
      </c>
      <c r="E1585" s="488"/>
      <c r="F1585" s="488"/>
      <c r="G1585" s="488"/>
      <c r="H1585" s="301"/>
      <c r="I1585" s="301"/>
      <c r="J1585" s="1026"/>
      <c r="K1585" s="303" t="s">
        <v>784</v>
      </c>
      <c r="L1585" s="304"/>
      <c r="M1585" s="305"/>
      <c r="N1585" s="306"/>
      <c r="O1585" s="306"/>
      <c r="P1585" s="306"/>
      <c r="Q1585" s="307">
        <f t="shared" ref="Q1585:AC1585" si="681">Q1558+Q1565+Q1571+Q1576+Q1581</f>
        <v>928635350</v>
      </c>
      <c r="R1585" s="307">
        <f t="shared" si="681"/>
        <v>879893978</v>
      </c>
      <c r="S1585" s="307">
        <f t="shared" si="681"/>
        <v>947911178</v>
      </c>
      <c r="T1585" s="307">
        <f t="shared" si="681"/>
        <v>913404427</v>
      </c>
      <c r="U1585" s="307">
        <f t="shared" si="681"/>
        <v>849827045</v>
      </c>
      <c r="V1585" s="490">
        <f t="shared" si="681"/>
        <v>852553709</v>
      </c>
      <c r="W1585" s="307">
        <f t="shared" si="681"/>
        <v>0</v>
      </c>
      <c r="X1585" s="307">
        <f t="shared" si="681"/>
        <v>0</v>
      </c>
      <c r="Y1585" s="307">
        <f t="shared" si="681"/>
        <v>0</v>
      </c>
      <c r="Z1585" s="307">
        <f t="shared" si="681"/>
        <v>0</v>
      </c>
      <c r="AA1585" s="307">
        <f t="shared" si="681"/>
        <v>0</v>
      </c>
      <c r="AB1585" s="307">
        <f t="shared" si="681"/>
        <v>0</v>
      </c>
      <c r="AC1585" s="309">
        <f t="shared" si="681"/>
        <v>5372225687</v>
      </c>
      <c r="AD1585" s="264"/>
      <c r="AE1585" s="241"/>
      <c r="AF1585" s="310">
        <f t="shared" ref="AF1585:AF1586" si="683">AC1585-AC1586</f>
        <v>0</v>
      </c>
      <c r="AG1585" s="311" t="s">
        <v>226</v>
      </c>
      <c r="AH1585" s="194"/>
      <c r="AI1585" s="194"/>
    </row>
    <row r="1586" hidden="1">
      <c r="A1586" s="391"/>
      <c r="B1586" s="298"/>
      <c r="C1586" s="312"/>
      <c r="D1586" s="313" t="s">
        <v>1551</v>
      </c>
      <c r="E1586" s="331"/>
      <c r="F1586" s="331"/>
      <c r="G1586" s="331"/>
      <c r="H1586" s="199"/>
      <c r="I1586" s="199"/>
      <c r="J1586" s="196"/>
      <c r="K1586" s="719" t="s">
        <v>784</v>
      </c>
      <c r="L1586" s="287"/>
      <c r="M1586" s="236"/>
      <c r="N1586" s="285"/>
      <c r="O1586" s="285"/>
      <c r="P1586" s="285"/>
      <c r="Q1586" s="288">
        <f t="shared" ref="Q1586:AB1586" si="682">Q1559+Q1566+Q1572+Q1577+Q1582</f>
        <v>928635350</v>
      </c>
      <c r="R1586" s="288">
        <f t="shared" si="682"/>
        <v>879893978</v>
      </c>
      <c r="S1586" s="288">
        <f t="shared" si="682"/>
        <v>947911178</v>
      </c>
      <c r="T1586" s="288">
        <f t="shared" si="682"/>
        <v>913404427</v>
      </c>
      <c r="U1586" s="288">
        <f t="shared" si="682"/>
        <v>849827045</v>
      </c>
      <c r="V1586" s="314">
        <f t="shared" si="682"/>
        <v>852553709</v>
      </c>
      <c r="W1586" s="288">
        <f t="shared" si="682"/>
        <v>0</v>
      </c>
      <c r="X1586" s="288">
        <f t="shared" si="682"/>
        <v>0</v>
      </c>
      <c r="Y1586" s="288">
        <f t="shared" si="682"/>
        <v>0</v>
      </c>
      <c r="Z1586" s="288">
        <f t="shared" si="682"/>
        <v>0</v>
      </c>
      <c r="AA1586" s="288">
        <f t="shared" si="682"/>
        <v>0</v>
      </c>
      <c r="AB1586" s="288">
        <f t="shared" si="682"/>
        <v>0</v>
      </c>
      <c r="AC1586" s="378">
        <f t="shared" ref="AC1586:AC1587" si="685">SUM(Q1586:AB1586)</f>
        <v>5372225687</v>
      </c>
      <c r="AD1586" s="214"/>
      <c r="AE1586" s="192"/>
      <c r="AF1586" s="316">
        <f t="shared" si="683"/>
        <v>852553709</v>
      </c>
      <c r="AG1586" s="311" t="s">
        <v>228</v>
      </c>
      <c r="AH1586" s="194"/>
      <c r="AI1586" s="194"/>
    </row>
    <row r="1587" hidden="1">
      <c r="A1587" s="391"/>
      <c r="B1587" s="298"/>
      <c r="C1587" s="317"/>
      <c r="D1587" s="318" t="s">
        <v>1552</v>
      </c>
      <c r="E1587" s="493"/>
      <c r="F1587" s="493"/>
      <c r="G1587" s="493"/>
      <c r="H1587" s="494"/>
      <c r="I1587" s="494"/>
      <c r="J1587" s="1027"/>
      <c r="K1587" s="723" t="s">
        <v>784</v>
      </c>
      <c r="L1587" s="321"/>
      <c r="M1587" s="322"/>
      <c r="N1587" s="323"/>
      <c r="O1587" s="323"/>
      <c r="P1587" s="323"/>
      <c r="Q1587" s="324">
        <f t="shared" ref="Q1587:AB1587" si="684">Q1560+Q1567+Q1573+Q1578+Q1583</f>
        <v>928635350</v>
      </c>
      <c r="R1587" s="324">
        <f t="shared" si="684"/>
        <v>879893978</v>
      </c>
      <c r="S1587" s="324">
        <f t="shared" si="684"/>
        <v>947911178</v>
      </c>
      <c r="T1587" s="324">
        <f t="shared" si="684"/>
        <v>913404427</v>
      </c>
      <c r="U1587" s="324">
        <f t="shared" si="684"/>
        <v>849827045</v>
      </c>
      <c r="V1587" s="325">
        <f t="shared" si="684"/>
        <v>0</v>
      </c>
      <c r="W1587" s="324">
        <f t="shared" si="684"/>
        <v>0</v>
      </c>
      <c r="X1587" s="324">
        <f t="shared" si="684"/>
        <v>0</v>
      </c>
      <c r="Y1587" s="324">
        <f t="shared" si="684"/>
        <v>0</v>
      </c>
      <c r="Z1587" s="324">
        <f t="shared" si="684"/>
        <v>0</v>
      </c>
      <c r="AA1587" s="324">
        <f t="shared" si="684"/>
        <v>0</v>
      </c>
      <c r="AB1587" s="324">
        <f t="shared" si="684"/>
        <v>0</v>
      </c>
      <c r="AC1587" s="539">
        <f t="shared" si="685"/>
        <v>4519671978</v>
      </c>
      <c r="AD1587" s="214"/>
      <c r="AE1587" s="192"/>
      <c r="AF1587" s="328">
        <f>AC1587</f>
        <v>4519671978</v>
      </c>
      <c r="AG1587" s="311" t="s">
        <v>148</v>
      </c>
      <c r="AH1587" s="194"/>
      <c r="AI1587" s="194"/>
    </row>
    <row r="1588">
      <c r="A1588" s="391"/>
      <c r="B1588" s="655">
        <v>23.0</v>
      </c>
      <c r="C1588" s="329" t="s">
        <v>56</v>
      </c>
      <c r="D1588" s="724"/>
      <c r="E1588" s="496"/>
      <c r="F1588" s="496"/>
      <c r="G1588" s="496"/>
      <c r="H1588" s="332"/>
      <c r="I1588" s="332"/>
      <c r="J1588" s="333"/>
      <c r="K1588" s="928" t="s">
        <v>1553</v>
      </c>
      <c r="L1588" s="929">
        <f>L1589+L1596+L1601</f>
        <v>2633364000</v>
      </c>
      <c r="M1588" s="930"/>
      <c r="N1588" s="931"/>
      <c r="O1588" s="931"/>
      <c r="P1588" s="931"/>
      <c r="Q1588" s="337">
        <f t="shared" ref="Q1588:AC1588" si="686">Q1589+Q1596+Q1601</f>
        <v>628438387</v>
      </c>
      <c r="R1588" s="337">
        <f t="shared" si="686"/>
        <v>628438387</v>
      </c>
      <c r="S1588" s="337">
        <f t="shared" si="686"/>
        <v>628438387</v>
      </c>
      <c r="T1588" s="337">
        <f t="shared" si="686"/>
        <v>628438387</v>
      </c>
      <c r="U1588" s="337">
        <f t="shared" si="686"/>
        <v>628438387</v>
      </c>
      <c r="V1588" s="337">
        <f t="shared" si="686"/>
        <v>628438387</v>
      </c>
      <c r="W1588" s="337">
        <f t="shared" si="686"/>
        <v>628438387</v>
      </c>
      <c r="X1588" s="337">
        <f t="shared" si="686"/>
        <v>628438387</v>
      </c>
      <c r="Y1588" s="337">
        <f t="shared" si="686"/>
        <v>628438387</v>
      </c>
      <c r="Z1588" s="337">
        <f t="shared" si="686"/>
        <v>628438387</v>
      </c>
      <c r="AA1588" s="337">
        <f t="shared" si="686"/>
        <v>628438387</v>
      </c>
      <c r="AB1588" s="337">
        <f t="shared" si="686"/>
        <v>628438387</v>
      </c>
      <c r="AC1588" s="337">
        <f t="shared" si="686"/>
        <v>7541260644</v>
      </c>
      <c r="AD1588" s="178">
        <f>AC1588-AE1588</f>
        <v>0</v>
      </c>
      <c r="AE1588" s="192">
        <f>'Proker New'!Y281</f>
        <v>7541260644</v>
      </c>
      <c r="AF1588" s="193" t="str">
        <f>C1588</f>
        <v>Kalimantan Tengah - Palangkaraya</v>
      </c>
      <c r="AG1588" s="194"/>
      <c r="AH1588" s="194"/>
      <c r="AI1588" s="194"/>
    </row>
    <row r="1589">
      <c r="A1589" s="391"/>
      <c r="B1589" s="195"/>
      <c r="C1589" s="196">
        <v>1.0</v>
      </c>
      <c r="D1589" s="197" t="s">
        <v>1554</v>
      </c>
      <c r="E1589" s="198" t="s">
        <v>186</v>
      </c>
      <c r="F1589" s="198" t="s">
        <v>103</v>
      </c>
      <c r="G1589" s="198" t="s">
        <v>86</v>
      </c>
      <c r="H1589" s="198" t="s">
        <v>86</v>
      </c>
      <c r="I1589" s="198" t="s">
        <v>187</v>
      </c>
      <c r="J1589" s="198" t="s">
        <v>188</v>
      </c>
      <c r="K1589" s="937" t="s">
        <v>1553</v>
      </c>
      <c r="L1589" s="540">
        <v>2.633364E9</v>
      </c>
      <c r="M1589" s="201" t="s">
        <v>1555</v>
      </c>
      <c r="N1589" s="541"/>
      <c r="O1589" s="541">
        <v>45292.0</v>
      </c>
      <c r="P1589" s="541">
        <v>45657.0</v>
      </c>
      <c r="Q1589" s="204">
        <v>1.977E8</v>
      </c>
      <c r="R1589" s="204">
        <v>1.977E8</v>
      </c>
      <c r="S1589" s="204">
        <v>1.977E8</v>
      </c>
      <c r="T1589" s="204">
        <v>1.977E8</v>
      </c>
      <c r="U1589" s="204">
        <v>1.977E8</v>
      </c>
      <c r="V1589" s="204">
        <v>1.977E8</v>
      </c>
      <c r="W1589" s="204">
        <v>1.977E8</v>
      </c>
      <c r="X1589" s="204">
        <v>1.977E8</v>
      </c>
      <c r="Y1589" s="204">
        <v>1.977E8</v>
      </c>
      <c r="Z1589" s="204">
        <v>1.977E8</v>
      </c>
      <c r="AA1589" s="204">
        <v>1.977E8</v>
      </c>
      <c r="AB1589" s="204">
        <v>1.977E8</v>
      </c>
      <c r="AC1589" s="205">
        <v>2.3724E9</v>
      </c>
      <c r="AD1589" s="178">
        <f>SUM(Q1589:AB1589)-AC1589</f>
        <v>0</v>
      </c>
      <c r="AE1589" s="192"/>
      <c r="AF1589" s="194"/>
      <c r="AG1589" s="194"/>
      <c r="AH1589" s="194"/>
      <c r="AI1589" s="194"/>
    </row>
    <row r="1590" hidden="1">
      <c r="A1590" s="126"/>
      <c r="B1590" s="195"/>
      <c r="C1590" s="206"/>
      <c r="D1590" s="207"/>
      <c r="E1590" s="260"/>
      <c r="F1590" s="207"/>
      <c r="G1590" s="260"/>
      <c r="H1590" s="206"/>
      <c r="I1590" s="206"/>
      <c r="J1590" s="206"/>
      <c r="K1590" s="206" t="s">
        <v>1553</v>
      </c>
      <c r="L1590" s="245">
        <f>840297260.36036*1.11</f>
        <v>932729959</v>
      </c>
      <c r="M1590" s="209" t="s">
        <v>1556</v>
      </c>
      <c r="N1590" s="367"/>
      <c r="O1590" s="367">
        <v>45658.0</v>
      </c>
      <c r="P1590" s="367">
        <v>45777.0</v>
      </c>
      <c r="Q1590" s="249">
        <f>L1590/4</f>
        <v>233182489.8</v>
      </c>
      <c r="R1590" s="249">
        <f t="shared" ref="R1590:T1590" si="687">Q1590</f>
        <v>233182489.8</v>
      </c>
      <c r="S1590" s="249">
        <f t="shared" si="687"/>
        <v>233182489.8</v>
      </c>
      <c r="T1590" s="249">
        <f t="shared" si="687"/>
        <v>233182489.8</v>
      </c>
      <c r="U1590" s="249"/>
      <c r="V1590" s="212"/>
      <c r="W1590" s="212"/>
      <c r="X1590" s="212"/>
      <c r="Y1590" s="212"/>
      <c r="Z1590" s="212"/>
      <c r="AA1590" s="212"/>
      <c r="AB1590" s="212"/>
      <c r="AC1590" s="213">
        <f>SUM(Q1590:AB1590)</f>
        <v>932729959</v>
      </c>
      <c r="AD1590" s="273"/>
      <c r="AE1590" s="241"/>
      <c r="AF1590" s="194"/>
      <c r="AG1590" s="194"/>
      <c r="AH1590" s="194"/>
      <c r="AI1590" s="194"/>
    </row>
    <row r="1591" hidden="1">
      <c r="A1591" s="126"/>
      <c r="B1591" s="195"/>
      <c r="C1591" s="206"/>
      <c r="D1591" s="207"/>
      <c r="E1591" s="260"/>
      <c r="F1591" s="207"/>
      <c r="G1591" s="260"/>
      <c r="H1591" s="206"/>
      <c r="I1591" s="206"/>
      <c r="J1591" s="242"/>
      <c r="K1591" s="242" t="s">
        <v>1553</v>
      </c>
      <c r="L1591" s="245">
        <v>1.165912449E9</v>
      </c>
      <c r="M1591" s="261" t="s">
        <v>1557</v>
      </c>
      <c r="N1591" s="367"/>
      <c r="O1591" s="367">
        <f>P1590+1</f>
        <v>45778</v>
      </c>
      <c r="P1591" s="367">
        <v>45808.0</v>
      </c>
      <c r="Q1591" s="249"/>
      <c r="R1591" s="249"/>
      <c r="S1591" s="249"/>
      <c r="T1591" s="249"/>
      <c r="U1591" s="249">
        <f>L1591/5</f>
        <v>233182489.8</v>
      </c>
      <c r="V1591" s="212"/>
      <c r="W1591" s="212"/>
      <c r="X1591" s="212"/>
      <c r="Y1591" s="212"/>
      <c r="Z1591" s="212"/>
      <c r="AA1591" s="212"/>
      <c r="AB1591" s="212"/>
      <c r="AC1591" s="213"/>
      <c r="AD1591" s="273"/>
      <c r="AE1591" s="241"/>
      <c r="AF1591" s="194"/>
      <c r="AG1591" s="194"/>
      <c r="AH1591" s="194"/>
      <c r="AI1591" s="194"/>
    </row>
    <row r="1592" hidden="1">
      <c r="A1592" s="126"/>
      <c r="B1592" s="195"/>
      <c r="C1592" s="206"/>
      <c r="D1592" s="207"/>
      <c r="E1592" s="260"/>
      <c r="F1592" s="207"/>
      <c r="G1592" s="260"/>
      <c r="H1592" s="206"/>
      <c r="I1592" s="206"/>
      <c r="J1592" s="221"/>
      <c r="K1592" s="221" t="s">
        <v>1553</v>
      </c>
      <c r="L1592" s="217">
        <v>1.865459919E9</v>
      </c>
      <c r="M1592" s="218" t="s">
        <v>1558</v>
      </c>
      <c r="N1592" s="382"/>
      <c r="O1592" s="382"/>
      <c r="P1592" s="382">
        <v>45900.0</v>
      </c>
      <c r="Q1592" s="249"/>
      <c r="R1592" s="249"/>
      <c r="S1592" s="249"/>
      <c r="T1592" s="212"/>
      <c r="U1592" s="249"/>
      <c r="V1592" s="249">
        <f>L1592/8</f>
        <v>233182489.9</v>
      </c>
      <c r="W1592" s="249">
        <f t="shared" ref="W1592:X1592" si="688">V1592</f>
        <v>233182489.9</v>
      </c>
      <c r="X1592" s="249">
        <f t="shared" si="688"/>
        <v>233182489.9</v>
      </c>
      <c r="Y1592" s="212"/>
      <c r="Z1592" s="212"/>
      <c r="AA1592" s="212"/>
      <c r="AB1592" s="212"/>
      <c r="AC1592" s="213">
        <f t="shared" ref="AC1592:AC1595" si="690">SUM(Q1592:AB1592)</f>
        <v>699547469.6</v>
      </c>
      <c r="AD1592" s="264"/>
      <c r="AE1592" s="241"/>
      <c r="AF1592" s="194"/>
      <c r="AG1592" s="194"/>
      <c r="AH1592" s="194"/>
      <c r="AI1592" s="194"/>
    </row>
    <row r="1593" hidden="1">
      <c r="A1593" s="391"/>
      <c r="B1593" s="195"/>
      <c r="C1593" s="222"/>
      <c r="D1593" s="250" t="s">
        <v>1559</v>
      </c>
      <c r="E1593" s="233"/>
      <c r="F1593" s="224"/>
      <c r="G1593" s="233"/>
      <c r="H1593" s="222"/>
      <c r="I1593" s="222"/>
      <c r="J1593" s="222"/>
      <c r="K1593" s="222" t="s">
        <v>1553</v>
      </c>
      <c r="L1593" s="225"/>
      <c r="M1593" s="236"/>
      <c r="N1593" s="285"/>
      <c r="O1593" s="285"/>
      <c r="P1593" s="285"/>
      <c r="Q1593" s="228">
        <f t="shared" ref="Q1593:Q1595" si="691">210074315*1.11</f>
        <v>233182489.7</v>
      </c>
      <c r="R1593" s="228">
        <f t="shared" ref="R1593:V1593" si="689">Q1593</f>
        <v>233182489.7</v>
      </c>
      <c r="S1593" s="228">
        <f t="shared" si="689"/>
        <v>233182489.7</v>
      </c>
      <c r="T1593" s="228">
        <f t="shared" si="689"/>
        <v>233182489.7</v>
      </c>
      <c r="U1593" s="228">
        <f t="shared" si="689"/>
        <v>233182489.7</v>
      </c>
      <c r="V1593" s="229">
        <f t="shared" si="689"/>
        <v>233182489.7</v>
      </c>
      <c r="W1593" s="228"/>
      <c r="X1593" s="230"/>
      <c r="Y1593" s="230"/>
      <c r="Z1593" s="230"/>
      <c r="AA1593" s="230"/>
      <c r="AB1593" s="230"/>
      <c r="AC1593" s="231">
        <f t="shared" si="690"/>
        <v>1399094938</v>
      </c>
      <c r="AD1593" s="420"/>
      <c r="AE1593" s="192"/>
      <c r="AF1593" s="194"/>
      <c r="AG1593" s="194"/>
      <c r="AH1593" s="194"/>
      <c r="AI1593" s="194"/>
    </row>
    <row r="1594" hidden="1">
      <c r="A1594" s="391"/>
      <c r="B1594" s="195"/>
      <c r="C1594" s="196"/>
      <c r="D1594" s="286" t="s">
        <v>194</v>
      </c>
      <c r="E1594" s="233"/>
      <c r="F1594" s="233"/>
      <c r="G1594" s="233"/>
      <c r="H1594" s="234"/>
      <c r="I1594" s="234"/>
      <c r="J1594" s="222"/>
      <c r="K1594" s="222" t="s">
        <v>1553</v>
      </c>
      <c r="L1594" s="225"/>
      <c r="M1594" s="255"/>
      <c r="N1594" s="285"/>
      <c r="O1594" s="285"/>
      <c r="P1594" s="285"/>
      <c r="Q1594" s="228">
        <f t="shared" si="691"/>
        <v>233182489.7</v>
      </c>
      <c r="R1594" s="228">
        <f t="shared" ref="R1594:U1594" si="692">Q1594</f>
        <v>233182489.7</v>
      </c>
      <c r="S1594" s="228">
        <f t="shared" si="692"/>
        <v>233182489.7</v>
      </c>
      <c r="T1594" s="228">
        <f t="shared" si="692"/>
        <v>233182489.7</v>
      </c>
      <c r="U1594" s="228">
        <f t="shared" si="692"/>
        <v>233182489.7</v>
      </c>
      <c r="V1594" s="238"/>
      <c r="W1594" s="238"/>
      <c r="X1594" s="238"/>
      <c r="Y1594" s="238"/>
      <c r="Z1594" s="238"/>
      <c r="AA1594" s="238"/>
      <c r="AB1594" s="238"/>
      <c r="AC1594" s="378">
        <f t="shared" si="690"/>
        <v>1165912448</v>
      </c>
      <c r="AD1594" s="214"/>
      <c r="AE1594" s="192"/>
      <c r="AF1594" s="194"/>
      <c r="AG1594" s="194"/>
      <c r="AH1594" s="194"/>
      <c r="AI1594" s="194"/>
    </row>
    <row r="1595" hidden="1">
      <c r="A1595" s="391"/>
      <c r="B1595" s="195"/>
      <c r="C1595" s="196"/>
      <c r="D1595" s="286" t="s">
        <v>1560</v>
      </c>
      <c r="E1595" s="233"/>
      <c r="F1595" s="233"/>
      <c r="G1595" s="233"/>
      <c r="H1595" s="234"/>
      <c r="I1595" s="234"/>
      <c r="J1595" s="222"/>
      <c r="K1595" s="222" t="s">
        <v>1553</v>
      </c>
      <c r="L1595" s="225"/>
      <c r="M1595" s="255"/>
      <c r="N1595" s="285"/>
      <c r="O1595" s="285"/>
      <c r="P1595" s="285"/>
      <c r="Q1595" s="228">
        <f t="shared" si="691"/>
        <v>233182489.7</v>
      </c>
      <c r="R1595" s="228">
        <f t="shared" ref="R1595:U1595" si="693">Q1595</f>
        <v>233182489.7</v>
      </c>
      <c r="S1595" s="228">
        <f t="shared" si="693"/>
        <v>233182489.7</v>
      </c>
      <c r="T1595" s="228">
        <f t="shared" si="693"/>
        <v>233182489.7</v>
      </c>
      <c r="U1595" s="228">
        <f t="shared" si="693"/>
        <v>233182489.7</v>
      </c>
      <c r="V1595" s="238"/>
      <c r="W1595" s="238"/>
      <c r="X1595" s="238"/>
      <c r="Y1595" s="238"/>
      <c r="Z1595" s="238"/>
      <c r="AA1595" s="238"/>
      <c r="AB1595" s="238"/>
      <c r="AC1595" s="378">
        <f t="shared" si="690"/>
        <v>1165912448</v>
      </c>
      <c r="AD1595" s="214"/>
      <c r="AE1595" s="192"/>
      <c r="AF1595" s="194"/>
      <c r="AG1595" s="194"/>
      <c r="AH1595" s="194"/>
      <c r="AI1595" s="194"/>
    </row>
    <row r="1596">
      <c r="A1596" s="391"/>
      <c r="B1596" s="195"/>
      <c r="C1596" s="196">
        <v>2.0</v>
      </c>
      <c r="D1596" s="1028" t="s">
        <v>1561</v>
      </c>
      <c r="E1596" s="198" t="s">
        <v>186</v>
      </c>
      <c r="F1596" s="198" t="s">
        <v>88</v>
      </c>
      <c r="G1596" s="198" t="s">
        <v>88</v>
      </c>
      <c r="H1596" s="198" t="s">
        <v>218</v>
      </c>
      <c r="I1596" s="198" t="s">
        <v>187</v>
      </c>
      <c r="J1596" s="198" t="s">
        <v>188</v>
      </c>
      <c r="K1596" s="937" t="s">
        <v>1553</v>
      </c>
      <c r="L1596" s="895"/>
      <c r="M1596" s="201"/>
      <c r="N1596" s="388"/>
      <c r="O1596" s="388"/>
      <c r="P1596" s="388"/>
      <c r="Q1596" s="204">
        <v>1.68762587E8</v>
      </c>
      <c r="R1596" s="204">
        <v>1.68762587E8</v>
      </c>
      <c r="S1596" s="204">
        <v>1.68762587E8</v>
      </c>
      <c r="T1596" s="204">
        <v>1.68762587E8</v>
      </c>
      <c r="U1596" s="204">
        <v>1.68762587E8</v>
      </c>
      <c r="V1596" s="204">
        <v>1.68762587E8</v>
      </c>
      <c r="W1596" s="204">
        <v>1.68762587E8</v>
      </c>
      <c r="X1596" s="204">
        <v>1.68762587E8</v>
      </c>
      <c r="Y1596" s="204">
        <v>1.68762587E8</v>
      </c>
      <c r="Z1596" s="204">
        <v>1.68762587E8</v>
      </c>
      <c r="AA1596" s="204">
        <v>1.68762587E8</v>
      </c>
      <c r="AB1596" s="204">
        <v>1.68762587E8</v>
      </c>
      <c r="AC1596" s="205">
        <v>2.025151044E9</v>
      </c>
      <c r="AD1596" s="178">
        <f>SUM(Q1596:AB1596)-AC1596</f>
        <v>0</v>
      </c>
      <c r="AE1596" s="241"/>
      <c r="AF1596" s="194"/>
      <c r="AG1596" s="194"/>
      <c r="AH1596" s="194"/>
      <c r="AI1596" s="194"/>
    </row>
    <row r="1597" hidden="1">
      <c r="A1597" s="126"/>
      <c r="B1597" s="195"/>
      <c r="C1597" s="206"/>
      <c r="D1597" s="390" t="s">
        <v>1562</v>
      </c>
      <c r="E1597" s="260"/>
      <c r="F1597" s="207"/>
      <c r="G1597" s="260"/>
      <c r="H1597" s="206"/>
      <c r="I1597" s="206"/>
      <c r="J1597" s="206"/>
      <c r="K1597" s="206" t="s">
        <v>1553</v>
      </c>
      <c r="L1597" s="277"/>
      <c r="M1597" s="244"/>
      <c r="N1597" s="389"/>
      <c r="O1597" s="389"/>
      <c r="P1597" s="389"/>
      <c r="Q1597" s="212"/>
      <c r="R1597" s="212"/>
      <c r="S1597" s="212"/>
      <c r="T1597" s="212"/>
      <c r="U1597" s="212"/>
      <c r="V1597" s="212"/>
      <c r="W1597" s="212"/>
      <c r="X1597" s="212"/>
      <c r="Y1597" s="212"/>
      <c r="Z1597" s="212"/>
      <c r="AA1597" s="212"/>
      <c r="AB1597" s="212"/>
      <c r="AC1597" s="213">
        <f t="shared" ref="AC1597:AC1600" si="694">SUM(Q1597:AB1597)</f>
        <v>0</v>
      </c>
      <c r="AD1597" s="264"/>
      <c r="AE1597" s="241"/>
      <c r="AF1597" s="194"/>
      <c r="AG1597" s="194"/>
      <c r="AH1597" s="194"/>
      <c r="AI1597" s="194"/>
    </row>
    <row r="1598" hidden="1">
      <c r="A1598" s="391"/>
      <c r="B1598" s="195"/>
      <c r="C1598" s="222"/>
      <c r="D1598" s="250" t="s">
        <v>1563</v>
      </c>
      <c r="E1598" s="233"/>
      <c r="F1598" s="224"/>
      <c r="G1598" s="233"/>
      <c r="H1598" s="222"/>
      <c r="I1598" s="222"/>
      <c r="J1598" s="222"/>
      <c r="K1598" s="222" t="s">
        <v>1553</v>
      </c>
      <c r="L1598" s="225"/>
      <c r="M1598" s="236"/>
      <c r="N1598" s="285"/>
      <c r="O1598" s="285"/>
      <c r="P1598" s="285"/>
      <c r="Q1598" s="230"/>
      <c r="R1598" s="230"/>
      <c r="S1598" s="230"/>
      <c r="T1598" s="230"/>
      <c r="U1598" s="230"/>
      <c r="V1598" s="230"/>
      <c r="W1598" s="230"/>
      <c r="X1598" s="230"/>
      <c r="Y1598" s="230"/>
      <c r="Z1598" s="230"/>
      <c r="AA1598" s="230"/>
      <c r="AB1598" s="230"/>
      <c r="AC1598" s="231">
        <f t="shared" si="694"/>
        <v>0</v>
      </c>
      <c r="AD1598" s="273"/>
      <c r="AE1598" s="192"/>
      <c r="AF1598" s="194"/>
      <c r="AG1598" s="194"/>
      <c r="AH1598" s="194"/>
      <c r="AI1598" s="194"/>
    </row>
    <row r="1599" hidden="1">
      <c r="A1599" s="391"/>
      <c r="B1599" s="195"/>
      <c r="C1599" s="196"/>
      <c r="D1599" s="286" t="s">
        <v>194</v>
      </c>
      <c r="E1599" s="233"/>
      <c r="F1599" s="233"/>
      <c r="G1599" s="233"/>
      <c r="H1599" s="234"/>
      <c r="I1599" s="234"/>
      <c r="J1599" s="222"/>
      <c r="K1599" s="222" t="s">
        <v>1553</v>
      </c>
      <c r="L1599" s="225"/>
      <c r="M1599" s="236"/>
      <c r="N1599" s="285"/>
      <c r="O1599" s="285"/>
      <c r="P1599" s="285"/>
      <c r="Q1599" s="238"/>
      <c r="R1599" s="238"/>
      <c r="S1599" s="238"/>
      <c r="T1599" s="238"/>
      <c r="U1599" s="238"/>
      <c r="V1599" s="238"/>
      <c r="W1599" s="238"/>
      <c r="X1599" s="238"/>
      <c r="Y1599" s="238"/>
      <c r="Z1599" s="238"/>
      <c r="AA1599" s="238"/>
      <c r="AB1599" s="238"/>
      <c r="AC1599" s="378">
        <f t="shared" si="694"/>
        <v>0</v>
      </c>
      <c r="AD1599" s="214"/>
      <c r="AE1599" s="192"/>
      <c r="AF1599" s="194"/>
      <c r="AG1599" s="194"/>
      <c r="AH1599" s="194"/>
      <c r="AI1599" s="194"/>
    </row>
    <row r="1600" hidden="1">
      <c r="A1600" s="391"/>
      <c r="B1600" s="195"/>
      <c r="C1600" s="196"/>
      <c r="D1600" s="286" t="s">
        <v>1564</v>
      </c>
      <c r="E1600" s="233"/>
      <c r="F1600" s="233"/>
      <c r="G1600" s="233"/>
      <c r="H1600" s="234"/>
      <c r="I1600" s="234"/>
      <c r="J1600" s="222"/>
      <c r="K1600" s="222" t="s">
        <v>1553</v>
      </c>
      <c r="L1600" s="225"/>
      <c r="M1600" s="236"/>
      <c r="N1600" s="285"/>
      <c r="O1600" s="285"/>
      <c r="P1600" s="285"/>
      <c r="Q1600" s="238"/>
      <c r="R1600" s="238"/>
      <c r="S1600" s="238"/>
      <c r="T1600" s="238"/>
      <c r="U1600" s="238"/>
      <c r="V1600" s="238"/>
      <c r="W1600" s="238"/>
      <c r="X1600" s="238"/>
      <c r="Y1600" s="238"/>
      <c r="Z1600" s="238"/>
      <c r="AA1600" s="238"/>
      <c r="AB1600" s="238"/>
      <c r="AC1600" s="378">
        <f t="shared" si="694"/>
        <v>0</v>
      </c>
      <c r="AD1600" s="214"/>
      <c r="AE1600" s="192"/>
      <c r="AF1600" s="194"/>
      <c r="AG1600" s="194"/>
      <c r="AH1600" s="194"/>
      <c r="AI1600" s="194"/>
    </row>
    <row r="1601">
      <c r="A1601" s="391"/>
      <c r="B1601" s="195"/>
      <c r="C1601" s="196">
        <v>3.0</v>
      </c>
      <c r="D1601" s="730" t="s">
        <v>1565</v>
      </c>
      <c r="E1601" s="198" t="s">
        <v>186</v>
      </c>
      <c r="F1601" s="198" t="s">
        <v>88</v>
      </c>
      <c r="G1601" s="198" t="s">
        <v>88</v>
      </c>
      <c r="H1601" s="198" t="s">
        <v>218</v>
      </c>
      <c r="I1601" s="198" t="s">
        <v>187</v>
      </c>
      <c r="J1601" s="198" t="s">
        <v>188</v>
      </c>
      <c r="K1601" s="937" t="s">
        <v>1553</v>
      </c>
      <c r="L1601" s="895"/>
      <c r="M1601" s="240"/>
      <c r="N1601" s="388"/>
      <c r="O1601" s="388"/>
      <c r="P1601" s="388"/>
      <c r="Q1601" s="204">
        <v>2.619758E8</v>
      </c>
      <c r="R1601" s="204">
        <v>2.619758E8</v>
      </c>
      <c r="S1601" s="204">
        <v>2.619758E8</v>
      </c>
      <c r="T1601" s="204">
        <v>2.619758E8</v>
      </c>
      <c r="U1601" s="204">
        <v>2.619758E8</v>
      </c>
      <c r="V1601" s="204">
        <v>2.619758E8</v>
      </c>
      <c r="W1601" s="204">
        <v>2.619758E8</v>
      </c>
      <c r="X1601" s="204">
        <v>2.619758E8</v>
      </c>
      <c r="Y1601" s="204">
        <v>2.619758E8</v>
      </c>
      <c r="Z1601" s="204">
        <v>2.619758E8</v>
      </c>
      <c r="AA1601" s="204">
        <v>2.619758E8</v>
      </c>
      <c r="AB1601" s="204">
        <v>2.619758E8</v>
      </c>
      <c r="AC1601" s="205">
        <v>3.1437096E9</v>
      </c>
      <c r="AD1601" s="178">
        <f>SUM(Q1601:AB1601)-AC1601</f>
        <v>0</v>
      </c>
      <c r="AE1601" s="192"/>
      <c r="AF1601" s="194"/>
      <c r="AG1601" s="194"/>
      <c r="AH1601" s="194"/>
      <c r="AI1601" s="194"/>
    </row>
    <row r="1602" hidden="1">
      <c r="A1602" s="126"/>
      <c r="B1602" s="195"/>
      <c r="C1602" s="206"/>
      <c r="D1602" s="215" t="s">
        <v>1566</v>
      </c>
      <c r="E1602" s="260"/>
      <c r="F1602" s="207"/>
      <c r="G1602" s="260"/>
      <c r="H1602" s="206"/>
      <c r="I1602" s="206"/>
      <c r="J1602" s="206"/>
      <c r="K1602" s="206" t="s">
        <v>1553</v>
      </c>
      <c r="L1602" s="245">
        <v>2.095598E9</v>
      </c>
      <c r="M1602" s="209" t="s">
        <v>1567</v>
      </c>
      <c r="N1602" s="367"/>
      <c r="O1602" s="367">
        <v>45658.0</v>
      </c>
      <c r="P1602" s="367">
        <v>45777.0</v>
      </c>
      <c r="Q1602" s="249">
        <f>L1602/4</f>
        <v>523899500</v>
      </c>
      <c r="R1602" s="249">
        <f t="shared" ref="R1602:T1602" si="695">Q1602</f>
        <v>523899500</v>
      </c>
      <c r="S1602" s="249">
        <f t="shared" si="695"/>
        <v>523899500</v>
      </c>
      <c r="T1602" s="249">
        <f t="shared" si="695"/>
        <v>523899500</v>
      </c>
      <c r="U1602" s="249"/>
      <c r="V1602" s="212"/>
      <c r="W1602" s="212"/>
      <c r="X1602" s="212"/>
      <c r="Y1602" s="212"/>
      <c r="Z1602" s="212"/>
      <c r="AA1602" s="212"/>
      <c r="AB1602" s="212"/>
      <c r="AC1602" s="213">
        <f t="shared" ref="AC1602:AC1612" si="696">SUM(Q1602:AB1602)</f>
        <v>2095598000</v>
      </c>
      <c r="AD1602" s="273"/>
      <c r="AE1602" s="241"/>
      <c r="AF1602" s="194"/>
      <c r="AG1602" s="194"/>
      <c r="AH1602" s="194"/>
      <c r="AI1602" s="194"/>
    </row>
    <row r="1603" hidden="1">
      <c r="A1603" s="126"/>
      <c r="B1603" s="195"/>
      <c r="C1603" s="206"/>
      <c r="D1603" s="207"/>
      <c r="E1603" s="260"/>
      <c r="F1603" s="207"/>
      <c r="G1603" s="260"/>
      <c r="H1603" s="206"/>
      <c r="I1603" s="206"/>
      <c r="J1603" s="206"/>
      <c r="K1603" s="206" t="s">
        <v>1553</v>
      </c>
      <c r="L1603" s="277">
        <f>3143398003</f>
        <v>3143398003</v>
      </c>
      <c r="M1603" s="261" t="s">
        <v>1568</v>
      </c>
      <c r="N1603" s="1029"/>
      <c r="O1603" s="1029">
        <f t="shared" ref="O1603:O1604" si="697">P1602+1</f>
        <v>45778</v>
      </c>
      <c r="P1603" s="367">
        <v>45838.0</v>
      </c>
      <c r="Q1603" s="249"/>
      <c r="R1603" s="249"/>
      <c r="S1603" s="249"/>
      <c r="T1603" s="212"/>
      <c r="U1603" s="212">
        <f>L1603/6</f>
        <v>523899667.2</v>
      </c>
      <c r="V1603" s="212">
        <f>U1603</f>
        <v>523899667.2</v>
      </c>
      <c r="W1603" s="249"/>
      <c r="X1603" s="212"/>
      <c r="Y1603" s="212"/>
      <c r="Z1603" s="212"/>
      <c r="AA1603" s="212"/>
      <c r="AB1603" s="212"/>
      <c r="AC1603" s="213">
        <f t="shared" si="696"/>
        <v>1047799334</v>
      </c>
      <c r="AD1603" s="284"/>
      <c r="AE1603" s="241"/>
      <c r="AF1603" s="194"/>
      <c r="AG1603" s="194"/>
      <c r="AH1603" s="194"/>
      <c r="AI1603" s="194"/>
    </row>
    <row r="1604" hidden="1">
      <c r="A1604" s="126"/>
      <c r="B1604" s="195"/>
      <c r="C1604" s="206"/>
      <c r="D1604" s="220" t="s">
        <v>1569</v>
      </c>
      <c r="E1604" s="260"/>
      <c r="F1604" s="207"/>
      <c r="G1604" s="260"/>
      <c r="H1604" s="206"/>
      <c r="I1604" s="206"/>
      <c r="J1604" s="206"/>
      <c r="K1604" s="206" t="s">
        <v>1553</v>
      </c>
      <c r="L1604" s="277">
        <f>3143398003/1.11</f>
        <v>2831890093</v>
      </c>
      <c r="M1604" s="265" t="s">
        <v>237</v>
      </c>
      <c r="N1604" s="389"/>
      <c r="O1604" s="389">
        <f t="shared" si="697"/>
        <v>45839</v>
      </c>
      <c r="P1604" s="367">
        <v>45900.0</v>
      </c>
      <c r="Q1604" s="249"/>
      <c r="R1604" s="249"/>
      <c r="S1604" s="249"/>
      <c r="T1604" s="249"/>
      <c r="U1604" s="249"/>
      <c r="V1604" s="249"/>
      <c r="W1604" s="212"/>
      <c r="X1604" s="212"/>
      <c r="Y1604" s="212"/>
      <c r="Z1604" s="212"/>
      <c r="AA1604" s="212"/>
      <c r="AB1604" s="212"/>
      <c r="AC1604" s="213">
        <f t="shared" si="696"/>
        <v>0</v>
      </c>
      <c r="AD1604" s="284"/>
      <c r="AE1604" s="241"/>
      <c r="AF1604" s="194"/>
      <c r="AG1604" s="194"/>
      <c r="AH1604" s="194"/>
      <c r="AI1604" s="194"/>
    </row>
    <row r="1605" hidden="1">
      <c r="A1605" s="391"/>
      <c r="B1605" s="195"/>
      <c r="C1605" s="222"/>
      <c r="D1605" s="250" t="s">
        <v>1570</v>
      </c>
      <c r="E1605" s="233"/>
      <c r="F1605" s="224"/>
      <c r="G1605" s="233"/>
      <c r="H1605" s="222"/>
      <c r="I1605" s="222"/>
      <c r="J1605" s="222"/>
      <c r="K1605" s="222" t="s">
        <v>1553</v>
      </c>
      <c r="L1605" s="225"/>
      <c r="M1605" s="236"/>
      <c r="N1605" s="285"/>
      <c r="O1605" s="285"/>
      <c r="P1605" s="285"/>
      <c r="Q1605" s="228">
        <f t="shared" ref="Q1605:Q1607" si="700">423767883*1.11</f>
        <v>470382350.1</v>
      </c>
      <c r="R1605" s="228">
        <f t="shared" ref="R1605:S1605" si="698">452607344*1.11</f>
        <v>502394151.8</v>
      </c>
      <c r="S1605" s="228">
        <f t="shared" si="698"/>
        <v>502394151.8</v>
      </c>
      <c r="T1605" s="228">
        <f t="shared" ref="T1605:T1607" si="702">423767883*1.11</f>
        <v>470382350.1</v>
      </c>
      <c r="U1605" s="228">
        <f t="shared" ref="U1605:V1605" si="699">446695858*1.11</f>
        <v>495832402.4</v>
      </c>
      <c r="V1605" s="229">
        <f t="shared" si="699"/>
        <v>495832402.4</v>
      </c>
      <c r="W1605" s="228"/>
      <c r="X1605" s="230"/>
      <c r="Y1605" s="230"/>
      <c r="Z1605" s="230"/>
      <c r="AA1605" s="230"/>
      <c r="AB1605" s="230"/>
      <c r="AC1605" s="231">
        <f t="shared" si="696"/>
        <v>2937217809</v>
      </c>
      <c r="AD1605" s="284"/>
      <c r="AE1605" s="241"/>
      <c r="AF1605" s="194"/>
      <c r="AG1605" s="194"/>
      <c r="AH1605" s="194"/>
      <c r="AI1605" s="194"/>
    </row>
    <row r="1606" hidden="1">
      <c r="A1606" s="391"/>
      <c r="B1606" s="181"/>
      <c r="C1606" s="222"/>
      <c r="D1606" s="286" t="s">
        <v>194</v>
      </c>
      <c r="E1606" s="233"/>
      <c r="F1606" s="233"/>
      <c r="G1606" s="233"/>
      <c r="H1606" s="234"/>
      <c r="I1606" s="234"/>
      <c r="J1606" s="222"/>
      <c r="K1606" s="222" t="s">
        <v>1553</v>
      </c>
      <c r="L1606" s="287"/>
      <c r="M1606" s="236"/>
      <c r="N1606" s="285"/>
      <c r="O1606" s="285"/>
      <c r="P1606" s="285"/>
      <c r="Q1606" s="228">
        <f t="shared" si="700"/>
        <v>470382350.1</v>
      </c>
      <c r="R1606" s="228">
        <f t="shared" ref="R1606:S1606" si="701">452607344*1.11</f>
        <v>502394151.8</v>
      </c>
      <c r="S1606" s="228">
        <f t="shared" si="701"/>
        <v>502394151.8</v>
      </c>
      <c r="T1606" s="228">
        <f t="shared" si="702"/>
        <v>470382350.1</v>
      </c>
      <c r="U1606" s="228">
        <f t="shared" ref="U1606:U1607" si="704">446695858*1.11</f>
        <v>495832402.4</v>
      </c>
      <c r="V1606" s="288"/>
      <c r="W1606" s="288"/>
      <c r="X1606" s="288"/>
      <c r="Y1606" s="288"/>
      <c r="Z1606" s="288"/>
      <c r="AA1606" s="288"/>
      <c r="AB1606" s="288"/>
      <c r="AC1606" s="378">
        <f t="shared" si="696"/>
        <v>2441385406</v>
      </c>
      <c r="AD1606" s="284"/>
      <c r="AE1606" s="241"/>
      <c r="AF1606" s="194"/>
      <c r="AG1606" s="194"/>
      <c r="AH1606" s="194"/>
      <c r="AI1606" s="194"/>
    </row>
    <row r="1607" hidden="1">
      <c r="A1607" s="391"/>
      <c r="B1607" s="181"/>
      <c r="C1607" s="222"/>
      <c r="D1607" s="286" t="s">
        <v>1571</v>
      </c>
      <c r="E1607" s="233"/>
      <c r="F1607" s="233"/>
      <c r="G1607" s="233"/>
      <c r="H1607" s="234"/>
      <c r="I1607" s="234"/>
      <c r="J1607" s="222"/>
      <c r="K1607" s="222" t="s">
        <v>1553</v>
      </c>
      <c r="L1607" s="287"/>
      <c r="M1607" s="236"/>
      <c r="N1607" s="285"/>
      <c r="O1607" s="285"/>
      <c r="P1607" s="285"/>
      <c r="Q1607" s="228">
        <f t="shared" si="700"/>
        <v>470382350.1</v>
      </c>
      <c r="R1607" s="228">
        <f t="shared" ref="R1607:S1607" si="703">452607344*1.11</f>
        <v>502394151.8</v>
      </c>
      <c r="S1607" s="228">
        <f t="shared" si="703"/>
        <v>502394151.8</v>
      </c>
      <c r="T1607" s="228">
        <f t="shared" si="702"/>
        <v>470382350.1</v>
      </c>
      <c r="U1607" s="228">
        <f t="shared" si="704"/>
        <v>495832402.4</v>
      </c>
      <c r="V1607" s="288"/>
      <c r="W1607" s="288"/>
      <c r="X1607" s="288"/>
      <c r="Y1607" s="288"/>
      <c r="Z1607" s="288"/>
      <c r="AA1607" s="288"/>
      <c r="AB1607" s="288"/>
      <c r="AC1607" s="378">
        <f t="shared" si="696"/>
        <v>2441385406</v>
      </c>
      <c r="AD1607" s="284"/>
      <c r="AE1607" s="241"/>
      <c r="AF1607" s="194"/>
      <c r="AG1607" s="194"/>
      <c r="AH1607" s="194"/>
      <c r="AI1607" s="194"/>
    </row>
    <row r="1608" hidden="1">
      <c r="A1608" s="126"/>
      <c r="B1608" s="181"/>
      <c r="C1608" s="289"/>
      <c r="D1608" s="290" t="s">
        <v>1572</v>
      </c>
      <c r="E1608" s="487"/>
      <c r="F1608" s="487"/>
      <c r="G1608" s="487"/>
      <c r="H1608" s="291"/>
      <c r="I1608" s="291"/>
      <c r="J1608" s="292"/>
      <c r="K1608" s="292" t="s">
        <v>1553</v>
      </c>
      <c r="L1608" s="293"/>
      <c r="M1608" s="294"/>
      <c r="N1608" s="295"/>
      <c r="O1608" s="295"/>
      <c r="P1608" s="295"/>
      <c r="Q1608" s="296">
        <f t="shared" ref="Q1608:AB1608" si="705">Q1590+Q1592+Q1597+Q1602+Q1603</f>
        <v>757081989.8</v>
      </c>
      <c r="R1608" s="296">
        <f t="shared" si="705"/>
        <v>757081989.8</v>
      </c>
      <c r="S1608" s="296">
        <f t="shared" si="705"/>
        <v>757081989.8</v>
      </c>
      <c r="T1608" s="296">
        <f t="shared" si="705"/>
        <v>757081989.8</v>
      </c>
      <c r="U1608" s="296">
        <f t="shared" si="705"/>
        <v>523899667.2</v>
      </c>
      <c r="V1608" s="296">
        <f t="shared" si="705"/>
        <v>757082157</v>
      </c>
      <c r="W1608" s="296">
        <f t="shared" si="705"/>
        <v>233182489.9</v>
      </c>
      <c r="X1608" s="296">
        <f t="shared" si="705"/>
        <v>233182489.9</v>
      </c>
      <c r="Y1608" s="296">
        <f t="shared" si="705"/>
        <v>0</v>
      </c>
      <c r="Z1608" s="296">
        <f t="shared" si="705"/>
        <v>0</v>
      </c>
      <c r="AA1608" s="296">
        <f t="shared" si="705"/>
        <v>0</v>
      </c>
      <c r="AB1608" s="296">
        <f t="shared" si="705"/>
        <v>0</v>
      </c>
      <c r="AC1608" s="547">
        <f t="shared" si="696"/>
        <v>4775674763</v>
      </c>
      <c r="AD1608" s="995">
        <f>AD1609+AD1614+AD1619</f>
        <v>0</v>
      </c>
      <c r="AE1608" s="241"/>
      <c r="AF1608" s="194"/>
      <c r="AG1608" s="194"/>
      <c r="AH1608" s="194"/>
      <c r="AI1608" s="194"/>
    </row>
    <row r="1609" hidden="1">
      <c r="A1609" s="391"/>
      <c r="B1609" s="298"/>
      <c r="C1609" s="299"/>
      <c r="D1609" s="300" t="s">
        <v>1573</v>
      </c>
      <c r="E1609" s="488"/>
      <c r="F1609" s="488"/>
      <c r="G1609" s="488"/>
      <c r="H1609" s="301"/>
      <c r="I1609" s="301"/>
      <c r="J1609" s="489"/>
      <c r="K1609" s="932" t="s">
        <v>1553</v>
      </c>
      <c r="L1609" s="304"/>
      <c r="M1609" s="305"/>
      <c r="N1609" s="306"/>
      <c r="O1609" s="306"/>
      <c r="P1609" s="306"/>
      <c r="Q1609" s="307">
        <f t="shared" ref="Q1609:AB1609" si="706">Q1593+Q1598+Q1605</f>
        <v>703564839.8</v>
      </c>
      <c r="R1609" s="307">
        <f t="shared" si="706"/>
        <v>735576641.5</v>
      </c>
      <c r="S1609" s="307">
        <f t="shared" si="706"/>
        <v>735576641.5</v>
      </c>
      <c r="T1609" s="307">
        <f t="shared" si="706"/>
        <v>703564839.8</v>
      </c>
      <c r="U1609" s="307">
        <f t="shared" si="706"/>
        <v>729014892</v>
      </c>
      <c r="V1609" s="490">
        <f t="shared" si="706"/>
        <v>729014892</v>
      </c>
      <c r="W1609" s="307">
        <f t="shared" si="706"/>
        <v>0</v>
      </c>
      <c r="X1609" s="307">
        <f t="shared" si="706"/>
        <v>0</v>
      </c>
      <c r="Y1609" s="307">
        <f t="shared" si="706"/>
        <v>0</v>
      </c>
      <c r="Z1609" s="307">
        <f t="shared" si="706"/>
        <v>0</v>
      </c>
      <c r="AA1609" s="307">
        <f t="shared" si="706"/>
        <v>0</v>
      </c>
      <c r="AB1609" s="307">
        <f t="shared" si="706"/>
        <v>0</v>
      </c>
      <c r="AC1609" s="309">
        <f t="shared" si="696"/>
        <v>4336312747</v>
      </c>
      <c r="AD1609" s="548"/>
      <c r="AE1609" s="241"/>
      <c r="AF1609" s="310">
        <f t="shared" ref="AF1609:AF1610" si="708">AC1609-AC1610</f>
        <v>729014892</v>
      </c>
      <c r="AG1609" s="311" t="s">
        <v>226</v>
      </c>
      <c r="AH1609" s="194"/>
      <c r="AI1609" s="194"/>
    </row>
    <row r="1610" hidden="1">
      <c r="A1610" s="391"/>
      <c r="B1610" s="923"/>
      <c r="C1610" s="312"/>
      <c r="D1610" s="313" t="s">
        <v>1574</v>
      </c>
      <c r="E1610" s="331"/>
      <c r="F1610" s="331"/>
      <c r="G1610" s="331"/>
      <c r="H1610" s="199"/>
      <c r="I1610" s="199"/>
      <c r="J1610" s="222"/>
      <c r="K1610" s="933" t="s">
        <v>1553</v>
      </c>
      <c r="L1610" s="287"/>
      <c r="M1610" s="236"/>
      <c r="N1610" s="285"/>
      <c r="O1610" s="285"/>
      <c r="P1610" s="285"/>
      <c r="Q1610" s="288">
        <f t="shared" ref="Q1610:V1610" si="707">Q1594+Q1599+Q1606</f>
        <v>703564839.8</v>
      </c>
      <c r="R1610" s="288">
        <f t="shared" si="707"/>
        <v>735576641.5</v>
      </c>
      <c r="S1610" s="288">
        <f t="shared" si="707"/>
        <v>735576641.5</v>
      </c>
      <c r="T1610" s="288">
        <f t="shared" si="707"/>
        <v>703564839.8</v>
      </c>
      <c r="U1610" s="288">
        <f t="shared" si="707"/>
        <v>729014892</v>
      </c>
      <c r="V1610" s="314">
        <f t="shared" si="707"/>
        <v>0</v>
      </c>
      <c r="W1610" s="288"/>
      <c r="X1610" s="288"/>
      <c r="Y1610" s="288"/>
      <c r="Z1610" s="288"/>
      <c r="AA1610" s="288"/>
      <c r="AB1610" s="288"/>
      <c r="AC1610" s="378">
        <f t="shared" si="696"/>
        <v>3607297855</v>
      </c>
      <c r="AD1610" s="214"/>
      <c r="AE1610" s="192"/>
      <c r="AF1610" s="316">
        <f t="shared" si="708"/>
        <v>0</v>
      </c>
      <c r="AG1610" s="311" t="s">
        <v>228</v>
      </c>
      <c r="AH1610" s="194"/>
      <c r="AI1610" s="194"/>
    </row>
    <row r="1611" hidden="1">
      <c r="A1611" s="391"/>
      <c r="B1611" s="923"/>
      <c r="C1611" s="317"/>
      <c r="D1611" s="318" t="s">
        <v>1575</v>
      </c>
      <c r="E1611" s="493"/>
      <c r="F1611" s="493"/>
      <c r="G1611" s="493"/>
      <c r="H1611" s="494"/>
      <c r="I1611" s="494"/>
      <c r="J1611" s="320"/>
      <c r="K1611" s="934" t="s">
        <v>1553</v>
      </c>
      <c r="L1611" s="321"/>
      <c r="M1611" s="322"/>
      <c r="N1611" s="323"/>
      <c r="O1611" s="323"/>
      <c r="P1611" s="323"/>
      <c r="Q1611" s="324">
        <f t="shared" ref="Q1611:V1611" si="709">Q1595+Q1600+Q1607</f>
        <v>703564839.8</v>
      </c>
      <c r="R1611" s="324">
        <f t="shared" si="709"/>
        <v>735576641.5</v>
      </c>
      <c r="S1611" s="324">
        <f t="shared" si="709"/>
        <v>735576641.5</v>
      </c>
      <c r="T1611" s="324">
        <f t="shared" si="709"/>
        <v>703564839.8</v>
      </c>
      <c r="U1611" s="324">
        <f t="shared" si="709"/>
        <v>729014892</v>
      </c>
      <c r="V1611" s="325">
        <f t="shared" si="709"/>
        <v>0</v>
      </c>
      <c r="W1611" s="324"/>
      <c r="X1611" s="324"/>
      <c r="Y1611" s="324"/>
      <c r="Z1611" s="324"/>
      <c r="AA1611" s="324"/>
      <c r="AB1611" s="324"/>
      <c r="AC1611" s="539">
        <f t="shared" si="696"/>
        <v>3607297855</v>
      </c>
      <c r="AD1611" s="214"/>
      <c r="AE1611" s="192"/>
      <c r="AF1611" s="328">
        <f>AC1611</f>
        <v>3607297855</v>
      </c>
      <c r="AG1611" s="311" t="s">
        <v>148</v>
      </c>
      <c r="AH1611" s="194"/>
      <c r="AI1611" s="194"/>
    </row>
    <row r="1612">
      <c r="A1612" s="391"/>
      <c r="B1612" s="924">
        <v>24.0</v>
      </c>
      <c r="C1612" s="329" t="s">
        <v>57</v>
      </c>
      <c r="D1612" s="724"/>
      <c r="E1612" s="496"/>
      <c r="F1612" s="496"/>
      <c r="G1612" s="496"/>
      <c r="H1612" s="332"/>
      <c r="I1612" s="332"/>
      <c r="J1612" s="333"/>
      <c r="K1612" s="928" t="s">
        <v>1576</v>
      </c>
      <c r="L1612" s="929">
        <f>L1613+L1618+L1623</f>
        <v>0</v>
      </c>
      <c r="M1612" s="930"/>
      <c r="N1612" s="931"/>
      <c r="O1612" s="931"/>
      <c r="P1612" s="931"/>
      <c r="Q1612" s="337">
        <f t="shared" ref="Q1612:AB1612" si="710">Q1613+Q1618+Q1623</f>
        <v>0</v>
      </c>
      <c r="R1612" s="337">
        <f t="shared" si="710"/>
        <v>0</v>
      </c>
      <c r="S1612" s="337">
        <f t="shared" si="710"/>
        <v>0</v>
      </c>
      <c r="T1612" s="337">
        <f t="shared" si="710"/>
        <v>169028540</v>
      </c>
      <c r="U1612" s="337">
        <f t="shared" si="710"/>
        <v>169028540</v>
      </c>
      <c r="V1612" s="337">
        <f t="shared" si="710"/>
        <v>169028540</v>
      </c>
      <c r="W1612" s="337">
        <f t="shared" si="710"/>
        <v>169028540</v>
      </c>
      <c r="X1612" s="337">
        <f t="shared" si="710"/>
        <v>169028540</v>
      </c>
      <c r="Y1612" s="337">
        <f t="shared" si="710"/>
        <v>243228540</v>
      </c>
      <c r="Z1612" s="337">
        <f t="shared" si="710"/>
        <v>184028540</v>
      </c>
      <c r="AA1612" s="337">
        <f t="shared" si="710"/>
        <v>223028540</v>
      </c>
      <c r="AB1612" s="337">
        <f t="shared" si="710"/>
        <v>184028540</v>
      </c>
      <c r="AC1612" s="338">
        <f t="shared" si="696"/>
        <v>1679456860</v>
      </c>
      <c r="AD1612" s="178">
        <f>AC1612-AE1612</f>
        <v>0</v>
      </c>
      <c r="AE1612" s="192">
        <f>'Proker New'!Y286</f>
        <v>1679456860</v>
      </c>
      <c r="AF1612" s="193" t="str">
        <f>C1612</f>
        <v>Kalimantan Selatan - Banjarmasin BDJ</v>
      </c>
      <c r="AG1612" s="194"/>
      <c r="AH1612" s="194"/>
      <c r="AI1612" s="194"/>
    </row>
    <row r="1613">
      <c r="A1613" s="391"/>
      <c r="B1613" s="893"/>
      <c r="C1613" s="196">
        <v>1.0</v>
      </c>
      <c r="D1613" s="925" t="s">
        <v>1577</v>
      </c>
      <c r="E1613" s="198" t="s">
        <v>186</v>
      </c>
      <c r="F1613" s="198" t="s">
        <v>103</v>
      </c>
      <c r="G1613" s="198" t="s">
        <v>84</v>
      </c>
      <c r="H1613" s="198" t="s">
        <v>84</v>
      </c>
      <c r="I1613" s="198" t="s">
        <v>187</v>
      </c>
      <c r="J1613" s="198" t="s">
        <v>188</v>
      </c>
      <c r="K1613" s="606" t="s">
        <v>1576</v>
      </c>
      <c r="L1613" s="895"/>
      <c r="M1613" s="240"/>
      <c r="N1613" s="388"/>
      <c r="O1613" s="388"/>
      <c r="P1613" s="388"/>
      <c r="Q1613" s="896"/>
      <c r="R1613" s="896"/>
      <c r="S1613" s="896"/>
      <c r="T1613" s="896">
        <v>8.140854E7</v>
      </c>
      <c r="U1613" s="896">
        <v>8.140854E7</v>
      </c>
      <c r="V1613" s="896">
        <v>8.140854E7</v>
      </c>
      <c r="W1613" s="896">
        <v>8.140854E7</v>
      </c>
      <c r="X1613" s="896">
        <v>8.140854E7</v>
      </c>
      <c r="Y1613" s="896">
        <v>8.140854E7</v>
      </c>
      <c r="Z1613" s="896">
        <v>8.140854E7</v>
      </c>
      <c r="AA1613" s="896">
        <v>8.140854E7</v>
      </c>
      <c r="AB1613" s="896">
        <v>8.140854E7</v>
      </c>
      <c r="AC1613" s="897">
        <v>7.3267686E8</v>
      </c>
      <c r="AD1613" s="273">
        <f>SUM(Q1613:AB1613)-AC1613</f>
        <v>0</v>
      </c>
      <c r="AE1613" s="241"/>
      <c r="AF1613" s="194"/>
      <c r="AG1613" s="194"/>
      <c r="AH1613" s="194"/>
      <c r="AI1613" s="194"/>
    </row>
    <row r="1614" hidden="1">
      <c r="A1614" s="126"/>
      <c r="B1614" s="893"/>
      <c r="C1614" s="206"/>
      <c r="D1614" s="207"/>
      <c r="E1614" s="260"/>
      <c r="F1614" s="207"/>
      <c r="G1614" s="260"/>
      <c r="H1614" s="206"/>
      <c r="I1614" s="206"/>
      <c r="J1614" s="206"/>
      <c r="K1614" s="206" t="s">
        <v>1576</v>
      </c>
      <c r="L1614" s="277"/>
      <c r="M1614" s="244"/>
      <c r="N1614" s="389"/>
      <c r="O1614" s="389"/>
      <c r="P1614" s="389"/>
      <c r="Q1614" s="212"/>
      <c r="R1614" s="212"/>
      <c r="S1614" s="212"/>
      <c r="T1614" s="212"/>
      <c r="U1614" s="212"/>
      <c r="V1614" s="212"/>
      <c r="W1614" s="212"/>
      <c r="X1614" s="212"/>
      <c r="Y1614" s="212"/>
      <c r="Z1614" s="212"/>
      <c r="AA1614" s="212"/>
      <c r="AB1614" s="212"/>
      <c r="AC1614" s="213">
        <f t="shared" ref="AC1614:AC1617" si="711">SUM(Q1614:AB1614)</f>
        <v>0</v>
      </c>
      <c r="AD1614" s="548"/>
      <c r="AE1614" s="241"/>
      <c r="AF1614" s="194"/>
      <c r="AG1614" s="194"/>
      <c r="AH1614" s="194"/>
      <c r="AI1614" s="194"/>
    </row>
    <row r="1615" hidden="1">
      <c r="A1615" s="391"/>
      <c r="B1615" s="893"/>
      <c r="C1615" s="222"/>
      <c r="D1615" s="250" t="s">
        <v>1578</v>
      </c>
      <c r="E1615" s="233"/>
      <c r="F1615" s="224"/>
      <c r="G1615" s="233"/>
      <c r="H1615" s="222"/>
      <c r="I1615" s="222"/>
      <c r="J1615" s="222"/>
      <c r="K1615" s="222" t="s">
        <v>1576</v>
      </c>
      <c r="L1615" s="225"/>
      <c r="M1615" s="236"/>
      <c r="N1615" s="285"/>
      <c r="O1615" s="285"/>
      <c r="P1615" s="285"/>
      <c r="Q1615" s="230"/>
      <c r="R1615" s="230"/>
      <c r="S1615" s="230"/>
      <c r="T1615" s="230"/>
      <c r="U1615" s="230"/>
      <c r="V1615" s="230"/>
      <c r="W1615" s="230"/>
      <c r="X1615" s="230"/>
      <c r="Y1615" s="230"/>
      <c r="Z1615" s="230"/>
      <c r="AA1615" s="230"/>
      <c r="AB1615" s="230"/>
      <c r="AC1615" s="231">
        <f t="shared" si="711"/>
        <v>0</v>
      </c>
      <c r="AD1615" s="214"/>
      <c r="AE1615" s="192"/>
      <c r="AF1615" s="194"/>
      <c r="AG1615" s="194"/>
      <c r="AH1615" s="194"/>
      <c r="AI1615" s="194"/>
    </row>
    <row r="1616" hidden="1">
      <c r="A1616" s="391"/>
      <c r="B1616" s="893"/>
      <c r="C1616" s="196"/>
      <c r="D1616" s="286" t="s">
        <v>194</v>
      </c>
      <c r="E1616" s="233"/>
      <c r="F1616" s="233"/>
      <c r="G1616" s="233"/>
      <c r="H1616" s="234"/>
      <c r="I1616" s="234"/>
      <c r="J1616" s="222"/>
      <c r="K1616" s="222" t="s">
        <v>1576</v>
      </c>
      <c r="L1616" s="225"/>
      <c r="M1616" s="236"/>
      <c r="N1616" s="285"/>
      <c r="O1616" s="285"/>
      <c r="P1616" s="285"/>
      <c r="Q1616" s="718"/>
      <c r="R1616" s="718"/>
      <c r="S1616" s="718"/>
      <c r="T1616" s="718"/>
      <c r="U1616" s="718"/>
      <c r="V1616" s="718"/>
      <c r="W1616" s="718"/>
      <c r="X1616" s="718"/>
      <c r="Y1616" s="718"/>
      <c r="Z1616" s="718"/>
      <c r="AA1616" s="718"/>
      <c r="AB1616" s="718"/>
      <c r="AC1616" s="378">
        <f t="shared" si="711"/>
        <v>0</v>
      </c>
      <c r="AD1616" s="273"/>
      <c r="AE1616" s="192"/>
      <c r="AF1616" s="194"/>
      <c r="AG1616" s="194"/>
      <c r="AH1616" s="194"/>
      <c r="AI1616" s="194"/>
    </row>
    <row r="1617" hidden="1">
      <c r="A1617" s="391"/>
      <c r="B1617" s="893"/>
      <c r="C1617" s="196"/>
      <c r="D1617" s="286" t="s">
        <v>1579</v>
      </c>
      <c r="E1617" s="233"/>
      <c r="F1617" s="233"/>
      <c r="G1617" s="233"/>
      <c r="H1617" s="234"/>
      <c r="I1617" s="234"/>
      <c r="J1617" s="222"/>
      <c r="K1617" s="222" t="s">
        <v>1576</v>
      </c>
      <c r="L1617" s="225"/>
      <c r="M1617" s="236"/>
      <c r="N1617" s="285"/>
      <c r="O1617" s="285"/>
      <c r="P1617" s="285"/>
      <c r="Q1617" s="718"/>
      <c r="R1617" s="718"/>
      <c r="S1617" s="718"/>
      <c r="T1617" s="718"/>
      <c r="U1617" s="718"/>
      <c r="V1617" s="718"/>
      <c r="W1617" s="718"/>
      <c r="X1617" s="718"/>
      <c r="Y1617" s="718"/>
      <c r="Z1617" s="718"/>
      <c r="AA1617" s="718"/>
      <c r="AB1617" s="718"/>
      <c r="AC1617" s="378">
        <f t="shared" si="711"/>
        <v>0</v>
      </c>
      <c r="AD1617" s="273"/>
      <c r="AE1617" s="192"/>
      <c r="AF1617" s="194"/>
      <c r="AG1617" s="194"/>
      <c r="AH1617" s="194"/>
      <c r="AI1617" s="194"/>
    </row>
    <row r="1618">
      <c r="A1618" s="391"/>
      <c r="B1618" s="893"/>
      <c r="C1618" s="196">
        <v>2.0</v>
      </c>
      <c r="D1618" s="925" t="s">
        <v>1580</v>
      </c>
      <c r="E1618" s="198" t="s">
        <v>186</v>
      </c>
      <c r="F1618" s="198" t="s">
        <v>103</v>
      </c>
      <c r="G1618" s="198" t="s">
        <v>84</v>
      </c>
      <c r="H1618" s="198" t="s">
        <v>84</v>
      </c>
      <c r="I1618" s="198" t="s">
        <v>187</v>
      </c>
      <c r="J1618" s="198" t="s">
        <v>188</v>
      </c>
      <c r="K1618" s="606" t="s">
        <v>1576</v>
      </c>
      <c r="L1618" s="895"/>
      <c r="M1618" s="240"/>
      <c r="N1618" s="388"/>
      <c r="O1618" s="388"/>
      <c r="P1618" s="388"/>
      <c r="Q1618" s="896"/>
      <c r="R1618" s="896"/>
      <c r="S1618" s="896"/>
      <c r="T1618" s="896"/>
      <c r="U1618" s="896"/>
      <c r="V1618" s="896"/>
      <c r="W1618" s="896"/>
      <c r="X1618" s="896"/>
      <c r="Y1618" s="896">
        <v>7.42E7</v>
      </c>
      <c r="Z1618" s="896">
        <v>1.5E7</v>
      </c>
      <c r="AA1618" s="896">
        <v>5.4E7</v>
      </c>
      <c r="AB1618" s="896">
        <v>1.5E7</v>
      </c>
      <c r="AC1618" s="897">
        <v>1.582E8</v>
      </c>
      <c r="AD1618" s="273">
        <f>SUM(Q1618:AB1618)-AC1618</f>
        <v>0</v>
      </c>
      <c r="AE1618" s="241"/>
      <c r="AF1618" s="194"/>
      <c r="AG1618" s="194"/>
      <c r="AH1618" s="194"/>
      <c r="AI1618" s="194"/>
    </row>
    <row r="1619" hidden="1">
      <c r="A1619" s="126"/>
      <c r="B1619" s="893"/>
      <c r="C1619" s="206"/>
      <c r="D1619" s="207"/>
      <c r="E1619" s="260"/>
      <c r="F1619" s="207"/>
      <c r="G1619" s="260"/>
      <c r="H1619" s="206"/>
      <c r="I1619" s="206"/>
      <c r="J1619" s="206"/>
      <c r="K1619" s="206" t="s">
        <v>1576</v>
      </c>
      <c r="L1619" s="277"/>
      <c r="M1619" s="244"/>
      <c r="N1619" s="389"/>
      <c r="O1619" s="389"/>
      <c r="P1619" s="389"/>
      <c r="Q1619" s="212"/>
      <c r="R1619" s="212"/>
      <c r="S1619" s="212"/>
      <c r="T1619" s="212"/>
      <c r="U1619" s="212"/>
      <c r="V1619" s="212"/>
      <c r="W1619" s="212"/>
      <c r="X1619" s="212"/>
      <c r="Y1619" s="212"/>
      <c r="Z1619" s="212"/>
      <c r="AA1619" s="212"/>
      <c r="AB1619" s="212"/>
      <c r="AC1619" s="213">
        <f t="shared" ref="AC1619:AC1622" si="712">SUM(Q1619:AB1619)</f>
        <v>0</v>
      </c>
      <c r="AD1619" s="548"/>
      <c r="AE1619" s="241"/>
      <c r="AF1619" s="194"/>
      <c r="AG1619" s="194"/>
      <c r="AH1619" s="194"/>
      <c r="AI1619" s="194"/>
    </row>
    <row r="1620" hidden="1">
      <c r="A1620" s="391"/>
      <c r="B1620" s="893"/>
      <c r="C1620" s="222"/>
      <c r="D1620" s="250" t="s">
        <v>1581</v>
      </c>
      <c r="E1620" s="233"/>
      <c r="F1620" s="224"/>
      <c r="G1620" s="233"/>
      <c r="H1620" s="222"/>
      <c r="I1620" s="222"/>
      <c r="J1620" s="222"/>
      <c r="K1620" s="222" t="s">
        <v>1576</v>
      </c>
      <c r="L1620" s="225"/>
      <c r="M1620" s="236"/>
      <c r="N1620" s="285"/>
      <c r="O1620" s="285"/>
      <c r="P1620" s="285"/>
      <c r="Q1620" s="230"/>
      <c r="R1620" s="230"/>
      <c r="S1620" s="230"/>
      <c r="T1620" s="230"/>
      <c r="U1620" s="230"/>
      <c r="V1620" s="230"/>
      <c r="W1620" s="230"/>
      <c r="X1620" s="230"/>
      <c r="Y1620" s="230"/>
      <c r="Z1620" s="230"/>
      <c r="AA1620" s="230"/>
      <c r="AB1620" s="230"/>
      <c r="AC1620" s="231">
        <f t="shared" si="712"/>
        <v>0</v>
      </c>
      <c r="AD1620" s="273"/>
      <c r="AE1620" s="192"/>
      <c r="AF1620" s="194"/>
      <c r="AG1620" s="194"/>
      <c r="AH1620" s="194"/>
      <c r="AI1620" s="194"/>
    </row>
    <row r="1621" hidden="1">
      <c r="A1621" s="391"/>
      <c r="B1621" s="893"/>
      <c r="C1621" s="196"/>
      <c r="D1621" s="286" t="s">
        <v>194</v>
      </c>
      <c r="E1621" s="233"/>
      <c r="F1621" s="233"/>
      <c r="G1621" s="233"/>
      <c r="H1621" s="234"/>
      <c r="I1621" s="234"/>
      <c r="J1621" s="222"/>
      <c r="K1621" s="222" t="s">
        <v>1576</v>
      </c>
      <c r="L1621" s="225"/>
      <c r="M1621" s="236"/>
      <c r="N1621" s="285"/>
      <c r="O1621" s="285"/>
      <c r="P1621" s="285"/>
      <c r="Q1621" s="718"/>
      <c r="R1621" s="718"/>
      <c r="S1621" s="718"/>
      <c r="T1621" s="718"/>
      <c r="U1621" s="718"/>
      <c r="V1621" s="718"/>
      <c r="W1621" s="718"/>
      <c r="X1621" s="718"/>
      <c r="Y1621" s="718"/>
      <c r="Z1621" s="718"/>
      <c r="AA1621" s="718"/>
      <c r="AB1621" s="718"/>
      <c r="AC1621" s="378">
        <f t="shared" si="712"/>
        <v>0</v>
      </c>
      <c r="AD1621" s="273"/>
      <c r="AE1621" s="192"/>
      <c r="AF1621" s="194"/>
      <c r="AG1621" s="194"/>
      <c r="AH1621" s="194"/>
      <c r="AI1621" s="194"/>
    </row>
    <row r="1622" hidden="1">
      <c r="A1622" s="391"/>
      <c r="B1622" s="893"/>
      <c r="C1622" s="196"/>
      <c r="D1622" s="286" t="s">
        <v>1582</v>
      </c>
      <c r="E1622" s="233"/>
      <c r="F1622" s="233"/>
      <c r="G1622" s="233"/>
      <c r="H1622" s="234"/>
      <c r="I1622" s="234"/>
      <c r="J1622" s="222"/>
      <c r="K1622" s="222" t="s">
        <v>1576</v>
      </c>
      <c r="L1622" s="225"/>
      <c r="M1622" s="236"/>
      <c r="N1622" s="285"/>
      <c r="O1622" s="285"/>
      <c r="P1622" s="285"/>
      <c r="Q1622" s="718"/>
      <c r="R1622" s="718"/>
      <c r="S1622" s="718"/>
      <c r="T1622" s="718"/>
      <c r="U1622" s="718"/>
      <c r="V1622" s="718"/>
      <c r="W1622" s="718"/>
      <c r="X1622" s="718"/>
      <c r="Y1622" s="718"/>
      <c r="Z1622" s="718"/>
      <c r="AA1622" s="718"/>
      <c r="AB1622" s="718"/>
      <c r="AC1622" s="378">
        <f t="shared" si="712"/>
        <v>0</v>
      </c>
      <c r="AD1622" s="273"/>
      <c r="AE1622" s="192"/>
      <c r="AF1622" s="194"/>
      <c r="AG1622" s="194"/>
      <c r="AH1622" s="194"/>
      <c r="AI1622" s="194"/>
    </row>
    <row r="1623">
      <c r="A1623" s="391"/>
      <c r="B1623" s="893"/>
      <c r="C1623" s="196">
        <v>3.0</v>
      </c>
      <c r="D1623" s="925" t="s">
        <v>1583</v>
      </c>
      <c r="E1623" s="198" t="s">
        <v>186</v>
      </c>
      <c r="F1623" s="198" t="s">
        <v>103</v>
      </c>
      <c r="G1623" s="198" t="s">
        <v>86</v>
      </c>
      <c r="H1623" s="198" t="s">
        <v>86</v>
      </c>
      <c r="I1623" s="198" t="s">
        <v>187</v>
      </c>
      <c r="J1623" s="198" t="s">
        <v>188</v>
      </c>
      <c r="K1623" s="606" t="s">
        <v>1576</v>
      </c>
      <c r="L1623" s="895"/>
      <c r="M1623" s="240"/>
      <c r="N1623" s="388"/>
      <c r="O1623" s="388"/>
      <c r="P1623" s="388"/>
      <c r="Q1623" s="896"/>
      <c r="R1623" s="896"/>
      <c r="S1623" s="896"/>
      <c r="T1623" s="896">
        <v>8.762E7</v>
      </c>
      <c r="U1623" s="896">
        <v>8.762E7</v>
      </c>
      <c r="V1623" s="896">
        <v>8.762E7</v>
      </c>
      <c r="W1623" s="896">
        <v>8.762E7</v>
      </c>
      <c r="X1623" s="896">
        <v>8.762E7</v>
      </c>
      <c r="Y1623" s="896">
        <v>8.762E7</v>
      </c>
      <c r="Z1623" s="896">
        <v>8.762E7</v>
      </c>
      <c r="AA1623" s="896">
        <v>8.762E7</v>
      </c>
      <c r="AB1623" s="896">
        <v>8.762E7</v>
      </c>
      <c r="AC1623" s="897">
        <v>7.8858E8</v>
      </c>
      <c r="AD1623" s="273">
        <f>SUM(Q1623:AB1623)-AC1623</f>
        <v>0</v>
      </c>
      <c r="AE1623" s="241"/>
      <c r="AF1623" s="194"/>
      <c r="AG1623" s="194"/>
      <c r="AH1623" s="194"/>
      <c r="AI1623" s="194"/>
    </row>
    <row r="1624" hidden="1">
      <c r="A1624" s="126"/>
      <c r="B1624" s="893"/>
      <c r="C1624" s="206"/>
      <c r="D1624" s="207"/>
      <c r="E1624" s="260"/>
      <c r="F1624" s="207"/>
      <c r="G1624" s="260"/>
      <c r="H1624" s="206"/>
      <c r="I1624" s="206"/>
      <c r="J1624" s="206"/>
      <c r="K1624" s="206" t="s">
        <v>1576</v>
      </c>
      <c r="L1624" s="277"/>
      <c r="M1624" s="244"/>
      <c r="N1624" s="389"/>
      <c r="O1624" s="389"/>
      <c r="P1624" s="389"/>
      <c r="Q1624" s="212"/>
      <c r="R1624" s="212"/>
      <c r="S1624" s="212"/>
      <c r="T1624" s="212"/>
      <c r="U1624" s="212"/>
      <c r="V1624" s="212"/>
      <c r="W1624" s="212"/>
      <c r="X1624" s="212"/>
      <c r="Y1624" s="212"/>
      <c r="Z1624" s="212"/>
      <c r="AA1624" s="212"/>
      <c r="AB1624" s="212"/>
      <c r="AC1624" s="213">
        <f t="shared" ref="AC1624:AC1632" si="713">SUM(Q1624:AB1624)</f>
        <v>0</v>
      </c>
      <c r="AD1624" s="974"/>
      <c r="AE1624" s="241"/>
      <c r="AF1624" s="194"/>
      <c r="AG1624" s="194"/>
      <c r="AH1624" s="194"/>
      <c r="AI1624" s="194"/>
    </row>
    <row r="1625" hidden="1">
      <c r="A1625" s="391"/>
      <c r="B1625" s="893"/>
      <c r="C1625" s="222"/>
      <c r="D1625" s="250" t="s">
        <v>1584</v>
      </c>
      <c r="E1625" s="233"/>
      <c r="F1625" s="224"/>
      <c r="G1625" s="233"/>
      <c r="H1625" s="222"/>
      <c r="I1625" s="222"/>
      <c r="J1625" s="222"/>
      <c r="K1625" s="222" t="s">
        <v>1576</v>
      </c>
      <c r="L1625" s="225"/>
      <c r="M1625" s="236"/>
      <c r="N1625" s="285"/>
      <c r="O1625" s="285"/>
      <c r="P1625" s="285"/>
      <c r="Q1625" s="230"/>
      <c r="R1625" s="230"/>
      <c r="S1625" s="230"/>
      <c r="T1625" s="230"/>
      <c r="U1625" s="230"/>
      <c r="V1625" s="230"/>
      <c r="W1625" s="230"/>
      <c r="X1625" s="230"/>
      <c r="Y1625" s="230"/>
      <c r="Z1625" s="230"/>
      <c r="AA1625" s="230"/>
      <c r="AB1625" s="230"/>
      <c r="AC1625" s="231">
        <f t="shared" si="713"/>
        <v>0</v>
      </c>
      <c r="AD1625" s="974"/>
      <c r="AE1625" s="241"/>
      <c r="AF1625" s="194"/>
      <c r="AG1625" s="194"/>
      <c r="AH1625" s="194"/>
      <c r="AI1625" s="194"/>
    </row>
    <row r="1626" hidden="1">
      <c r="A1626" s="391"/>
      <c r="B1626" s="902"/>
      <c r="C1626" s="222"/>
      <c r="D1626" s="286" t="s">
        <v>194</v>
      </c>
      <c r="E1626" s="233"/>
      <c r="F1626" s="233"/>
      <c r="G1626" s="233"/>
      <c r="H1626" s="234"/>
      <c r="I1626" s="234"/>
      <c r="J1626" s="222"/>
      <c r="K1626" s="222" t="s">
        <v>1576</v>
      </c>
      <c r="L1626" s="287"/>
      <c r="M1626" s="236"/>
      <c r="N1626" s="285"/>
      <c r="O1626" s="285"/>
      <c r="P1626" s="285"/>
      <c r="Q1626" s="288"/>
      <c r="R1626" s="288"/>
      <c r="S1626" s="288"/>
      <c r="T1626" s="288"/>
      <c r="U1626" s="288"/>
      <c r="V1626" s="288"/>
      <c r="W1626" s="288"/>
      <c r="X1626" s="288"/>
      <c r="Y1626" s="288"/>
      <c r="Z1626" s="288"/>
      <c r="AA1626" s="288"/>
      <c r="AB1626" s="288"/>
      <c r="AC1626" s="378">
        <f t="shared" si="713"/>
        <v>0</v>
      </c>
      <c r="AD1626" s="974"/>
      <c r="AE1626" s="241"/>
      <c r="AF1626" s="194"/>
      <c r="AG1626" s="194"/>
      <c r="AH1626" s="194"/>
      <c r="AI1626" s="194"/>
    </row>
    <row r="1627" hidden="1">
      <c r="A1627" s="391"/>
      <c r="B1627" s="902"/>
      <c r="C1627" s="222"/>
      <c r="D1627" s="286" t="s">
        <v>1585</v>
      </c>
      <c r="E1627" s="233"/>
      <c r="F1627" s="233"/>
      <c r="G1627" s="233"/>
      <c r="H1627" s="234"/>
      <c r="I1627" s="234"/>
      <c r="J1627" s="222"/>
      <c r="K1627" s="222" t="s">
        <v>1576</v>
      </c>
      <c r="L1627" s="287"/>
      <c r="M1627" s="236"/>
      <c r="N1627" s="285"/>
      <c r="O1627" s="285"/>
      <c r="P1627" s="285"/>
      <c r="Q1627" s="288"/>
      <c r="R1627" s="288"/>
      <c r="S1627" s="288"/>
      <c r="T1627" s="288"/>
      <c r="U1627" s="288"/>
      <c r="V1627" s="288"/>
      <c r="W1627" s="288"/>
      <c r="X1627" s="288"/>
      <c r="Y1627" s="288"/>
      <c r="Z1627" s="288"/>
      <c r="AA1627" s="288"/>
      <c r="AB1627" s="288"/>
      <c r="AC1627" s="378">
        <f t="shared" si="713"/>
        <v>0</v>
      </c>
      <c r="AD1627" s="974"/>
      <c r="AE1627" s="241"/>
      <c r="AF1627" s="194"/>
      <c r="AG1627" s="194"/>
      <c r="AH1627" s="194"/>
      <c r="AI1627" s="194"/>
    </row>
    <row r="1628" hidden="1">
      <c r="A1628" s="126"/>
      <c r="B1628" s="181"/>
      <c r="C1628" s="289"/>
      <c r="D1628" s="290" t="s">
        <v>1586</v>
      </c>
      <c r="E1628" s="487"/>
      <c r="F1628" s="487"/>
      <c r="G1628" s="487"/>
      <c r="H1628" s="291"/>
      <c r="I1628" s="291"/>
      <c r="J1628" s="292"/>
      <c r="K1628" s="292" t="s">
        <v>1576</v>
      </c>
      <c r="L1628" s="293"/>
      <c r="M1628" s="294"/>
      <c r="N1628" s="295"/>
      <c r="O1628" s="295"/>
      <c r="P1628" s="295"/>
      <c r="Q1628" s="296">
        <f t="shared" ref="Q1628:AB1628" si="714">Q1614+Q1619+Q1624</f>
        <v>0</v>
      </c>
      <c r="R1628" s="296">
        <f t="shared" si="714"/>
        <v>0</v>
      </c>
      <c r="S1628" s="296">
        <f t="shared" si="714"/>
        <v>0</v>
      </c>
      <c r="T1628" s="296">
        <f t="shared" si="714"/>
        <v>0</v>
      </c>
      <c r="U1628" s="296">
        <f t="shared" si="714"/>
        <v>0</v>
      </c>
      <c r="V1628" s="296">
        <f t="shared" si="714"/>
        <v>0</v>
      </c>
      <c r="W1628" s="296">
        <f t="shared" si="714"/>
        <v>0</v>
      </c>
      <c r="X1628" s="296">
        <f t="shared" si="714"/>
        <v>0</v>
      </c>
      <c r="Y1628" s="296">
        <f t="shared" si="714"/>
        <v>0</v>
      </c>
      <c r="Z1628" s="296">
        <f t="shared" si="714"/>
        <v>0</v>
      </c>
      <c r="AA1628" s="296">
        <f t="shared" si="714"/>
        <v>0</v>
      </c>
      <c r="AB1628" s="296">
        <f t="shared" si="714"/>
        <v>0</v>
      </c>
      <c r="AC1628" s="547">
        <f t="shared" si="713"/>
        <v>0</v>
      </c>
      <c r="AD1628" s="974" t="s">
        <v>1108</v>
      </c>
      <c r="AE1628" s="241"/>
      <c r="AF1628" s="194"/>
      <c r="AG1628" s="194"/>
      <c r="AH1628" s="194"/>
      <c r="AI1628" s="194"/>
    </row>
    <row r="1629" hidden="1">
      <c r="A1629" s="391"/>
      <c r="B1629" s="298"/>
      <c r="C1629" s="299"/>
      <c r="D1629" s="300" t="s">
        <v>1587</v>
      </c>
      <c r="E1629" s="488"/>
      <c r="F1629" s="488"/>
      <c r="G1629" s="488"/>
      <c r="H1629" s="301"/>
      <c r="I1629" s="301"/>
      <c r="J1629" s="489"/>
      <c r="K1629" s="932" t="s">
        <v>1576</v>
      </c>
      <c r="L1629" s="304"/>
      <c r="M1629" s="305"/>
      <c r="N1629" s="306"/>
      <c r="O1629" s="306"/>
      <c r="P1629" s="306"/>
      <c r="Q1629" s="307">
        <f t="shared" ref="Q1629:AB1629" si="715">Q1615+Q1620+Q1625</f>
        <v>0</v>
      </c>
      <c r="R1629" s="307">
        <f t="shared" si="715"/>
        <v>0</v>
      </c>
      <c r="S1629" s="307">
        <f t="shared" si="715"/>
        <v>0</v>
      </c>
      <c r="T1629" s="307">
        <f t="shared" si="715"/>
        <v>0</v>
      </c>
      <c r="U1629" s="307">
        <f t="shared" si="715"/>
        <v>0</v>
      </c>
      <c r="V1629" s="307">
        <f t="shared" si="715"/>
        <v>0</v>
      </c>
      <c r="W1629" s="307">
        <f t="shared" si="715"/>
        <v>0</v>
      </c>
      <c r="X1629" s="307">
        <f t="shared" si="715"/>
        <v>0</v>
      </c>
      <c r="Y1629" s="307">
        <f t="shared" si="715"/>
        <v>0</v>
      </c>
      <c r="Z1629" s="307">
        <f t="shared" si="715"/>
        <v>0</v>
      </c>
      <c r="AA1629" s="307">
        <f t="shared" si="715"/>
        <v>0</v>
      </c>
      <c r="AB1629" s="307">
        <f t="shared" si="715"/>
        <v>0</v>
      </c>
      <c r="AC1629" s="309">
        <f t="shared" si="713"/>
        <v>0</v>
      </c>
      <c r="AD1629" s="974" t="s">
        <v>1108</v>
      </c>
      <c r="AE1629" s="241"/>
      <c r="AF1629" s="310">
        <f t="shared" ref="AF1629:AF1630" si="717">AC1629-AC1630</f>
        <v>0</v>
      </c>
      <c r="AG1629" s="311" t="s">
        <v>226</v>
      </c>
      <c r="AH1629" s="194"/>
      <c r="AI1629" s="194"/>
    </row>
    <row r="1630" hidden="1">
      <c r="A1630" s="391"/>
      <c r="B1630" s="298"/>
      <c r="C1630" s="312"/>
      <c r="D1630" s="313" t="s">
        <v>1588</v>
      </c>
      <c r="E1630" s="331"/>
      <c r="F1630" s="331"/>
      <c r="G1630" s="331"/>
      <c r="H1630" s="199"/>
      <c r="I1630" s="199"/>
      <c r="J1630" s="222"/>
      <c r="K1630" s="933" t="s">
        <v>1576</v>
      </c>
      <c r="L1630" s="287"/>
      <c r="M1630" s="236"/>
      <c r="N1630" s="285"/>
      <c r="O1630" s="285"/>
      <c r="P1630" s="285"/>
      <c r="Q1630" s="288">
        <f t="shared" ref="Q1630:V1630" si="716">Q1616+Q1621+Q1626</f>
        <v>0</v>
      </c>
      <c r="R1630" s="288">
        <f t="shared" si="716"/>
        <v>0</v>
      </c>
      <c r="S1630" s="288">
        <f t="shared" si="716"/>
        <v>0</v>
      </c>
      <c r="T1630" s="288">
        <f t="shared" si="716"/>
        <v>0</v>
      </c>
      <c r="U1630" s="288">
        <f t="shared" si="716"/>
        <v>0</v>
      </c>
      <c r="V1630" s="288">
        <f t="shared" si="716"/>
        <v>0</v>
      </c>
      <c r="W1630" s="1030"/>
      <c r="X1630" s="1030"/>
      <c r="Y1630" s="1030"/>
      <c r="Z1630" s="1030"/>
      <c r="AA1630" s="1030"/>
      <c r="AB1630" s="1030"/>
      <c r="AC1630" s="378">
        <f t="shared" si="713"/>
        <v>0</v>
      </c>
      <c r="AD1630" s="214"/>
      <c r="AE1630" s="241"/>
      <c r="AF1630" s="316">
        <f t="shared" si="717"/>
        <v>0</v>
      </c>
      <c r="AG1630" s="311" t="s">
        <v>228</v>
      </c>
      <c r="AH1630" s="194"/>
      <c r="AI1630" s="194"/>
    </row>
    <row r="1631" hidden="1">
      <c r="A1631" s="391"/>
      <c r="B1631" s="298"/>
      <c r="C1631" s="317"/>
      <c r="D1631" s="318" t="s">
        <v>1589</v>
      </c>
      <c r="E1631" s="493"/>
      <c r="F1631" s="493"/>
      <c r="G1631" s="493"/>
      <c r="H1631" s="494"/>
      <c r="I1631" s="494"/>
      <c r="J1631" s="320"/>
      <c r="K1631" s="934" t="s">
        <v>1576</v>
      </c>
      <c r="L1631" s="321"/>
      <c r="M1631" s="322"/>
      <c r="N1631" s="323"/>
      <c r="O1631" s="323"/>
      <c r="P1631" s="323"/>
      <c r="Q1631" s="324">
        <f t="shared" ref="Q1631:V1631" si="718">Q1617+Q1622+Q1627</f>
        <v>0</v>
      </c>
      <c r="R1631" s="324">
        <f t="shared" si="718"/>
        <v>0</v>
      </c>
      <c r="S1631" s="324">
        <f t="shared" si="718"/>
        <v>0</v>
      </c>
      <c r="T1631" s="324">
        <f t="shared" si="718"/>
        <v>0</v>
      </c>
      <c r="U1631" s="324">
        <f t="shared" si="718"/>
        <v>0</v>
      </c>
      <c r="V1631" s="324">
        <f t="shared" si="718"/>
        <v>0</v>
      </c>
      <c r="W1631" s="1031"/>
      <c r="X1631" s="1031"/>
      <c r="Y1631" s="1031"/>
      <c r="Z1631" s="1031"/>
      <c r="AA1631" s="1031"/>
      <c r="AB1631" s="1031"/>
      <c r="AC1631" s="539">
        <f t="shared" si="713"/>
        <v>0</v>
      </c>
      <c r="AD1631" s="214"/>
      <c r="AE1631" s="241"/>
      <c r="AF1631" s="328">
        <f>AC1631</f>
        <v>0</v>
      </c>
      <c r="AG1631" s="311" t="s">
        <v>148</v>
      </c>
      <c r="AH1631" s="194"/>
      <c r="AI1631" s="194"/>
    </row>
    <row r="1632">
      <c r="A1632" s="391"/>
      <c r="B1632" s="655">
        <v>25.0</v>
      </c>
      <c r="C1632" s="329" t="s">
        <v>58</v>
      </c>
      <c r="D1632" s="724"/>
      <c r="E1632" s="496"/>
      <c r="F1632" s="496"/>
      <c r="G1632" s="496"/>
      <c r="H1632" s="332"/>
      <c r="I1632" s="332"/>
      <c r="J1632" s="332"/>
      <c r="K1632" s="988"/>
      <c r="L1632" s="929"/>
      <c r="M1632" s="930"/>
      <c r="N1632" s="931"/>
      <c r="O1632" s="931"/>
      <c r="P1632" s="931"/>
      <c r="Q1632" s="330"/>
      <c r="R1632" s="330"/>
      <c r="S1632" s="330"/>
      <c r="T1632" s="330"/>
      <c r="U1632" s="330"/>
      <c r="V1632" s="330"/>
      <c r="W1632" s="330"/>
      <c r="X1632" s="330"/>
      <c r="Y1632" s="330"/>
      <c r="Z1632" s="330"/>
      <c r="AA1632" s="330"/>
      <c r="AB1632" s="330"/>
      <c r="AC1632" s="338">
        <f t="shared" si="713"/>
        <v>0</v>
      </c>
      <c r="AD1632" s="178">
        <f t="shared" ref="AD1632:AD1633" si="720">SUM(Q1632:AB1632)-AC1632</f>
        <v>0</v>
      </c>
      <c r="AE1632" s="241" t="str">
        <f>'Proker New'!Y290</f>
        <v/>
      </c>
      <c r="AF1632" s="193" t="str">
        <f>C1632</f>
        <v>Kalimantan Utara - Tanjung Selor</v>
      </c>
      <c r="AG1632" s="194"/>
      <c r="AH1632" s="194"/>
      <c r="AI1632" s="194"/>
    </row>
    <row r="1633">
      <c r="A1633" s="391"/>
      <c r="B1633" s="677" t="s">
        <v>59</v>
      </c>
      <c r="C1633" s="1032" t="s">
        <v>61</v>
      </c>
      <c r="D1633" s="1033"/>
      <c r="E1633" s="331"/>
      <c r="F1633" s="331"/>
      <c r="G1633" s="331"/>
      <c r="H1633" s="199"/>
      <c r="I1633" s="199"/>
      <c r="J1633" s="199"/>
      <c r="K1633" s="937"/>
      <c r="L1633" s="895"/>
      <c r="M1633" s="240"/>
      <c r="N1633" s="388"/>
      <c r="O1633" s="388"/>
      <c r="P1633" s="388"/>
      <c r="Q1633" s="1034">
        <f t="shared" ref="Q1633:AC1633" si="719">Q1634+Q1649+Q1650+Q1660+Q1661+Q1690</f>
        <v>1040259976</v>
      </c>
      <c r="R1633" s="1034">
        <f t="shared" si="719"/>
        <v>1040259976</v>
      </c>
      <c r="S1633" s="1034">
        <f t="shared" si="719"/>
        <v>1040259976</v>
      </c>
      <c r="T1633" s="1034">
        <f t="shared" si="719"/>
        <v>1070824582</v>
      </c>
      <c r="U1633" s="1034">
        <f t="shared" si="719"/>
        <v>1162654170</v>
      </c>
      <c r="V1633" s="1034">
        <f t="shared" si="719"/>
        <v>1221104255</v>
      </c>
      <c r="W1633" s="1034">
        <f t="shared" si="719"/>
        <v>1221471655</v>
      </c>
      <c r="X1633" s="1034">
        <f t="shared" si="719"/>
        <v>1221918255</v>
      </c>
      <c r="Y1633" s="1034">
        <f t="shared" si="719"/>
        <v>1284950319</v>
      </c>
      <c r="Z1633" s="1034">
        <f t="shared" si="719"/>
        <v>1284950319</v>
      </c>
      <c r="AA1633" s="1034">
        <f t="shared" si="719"/>
        <v>1285719219</v>
      </c>
      <c r="AB1633" s="1034">
        <f t="shared" si="719"/>
        <v>1285719219</v>
      </c>
      <c r="AC1633" s="1035">
        <f t="shared" si="719"/>
        <v>14160091921</v>
      </c>
      <c r="AD1633" s="178">
        <f t="shared" si="720"/>
        <v>0</v>
      </c>
      <c r="AE1633" s="683">
        <f>AE1634+AE1649+AE1650+AE1660+AE1661+AE1690</f>
        <v>14160091921</v>
      </c>
      <c r="AF1633" s="180"/>
      <c r="AG1633" s="180"/>
      <c r="AH1633" s="180"/>
      <c r="AI1633" s="180"/>
    </row>
    <row r="1634">
      <c r="A1634" s="391"/>
      <c r="B1634" s="924">
        <v>26.0</v>
      </c>
      <c r="C1634" s="1036" t="s">
        <v>1590</v>
      </c>
      <c r="D1634" s="684"/>
      <c r="E1634" s="331"/>
      <c r="F1634" s="331"/>
      <c r="G1634" s="331"/>
      <c r="H1634" s="199"/>
      <c r="I1634" s="199"/>
      <c r="J1634" s="685"/>
      <c r="K1634" s="396" t="s">
        <v>1591</v>
      </c>
      <c r="L1634" s="993">
        <f>L1635+L1640</f>
        <v>0</v>
      </c>
      <c r="M1634" s="240"/>
      <c r="N1634" s="388"/>
      <c r="O1634" s="388"/>
      <c r="P1634" s="388"/>
      <c r="Q1634" s="190">
        <f t="shared" ref="Q1634:AB1634" si="721">Q1635+Q1640</f>
        <v>0</v>
      </c>
      <c r="R1634" s="190">
        <f t="shared" si="721"/>
        <v>0</v>
      </c>
      <c r="S1634" s="190">
        <f t="shared" si="721"/>
        <v>0</v>
      </c>
      <c r="T1634" s="190">
        <f t="shared" si="721"/>
        <v>0</v>
      </c>
      <c r="U1634" s="190">
        <f t="shared" si="721"/>
        <v>91829588</v>
      </c>
      <c r="V1634" s="190">
        <f t="shared" si="721"/>
        <v>91829588</v>
      </c>
      <c r="W1634" s="190">
        <f t="shared" si="721"/>
        <v>91829588</v>
      </c>
      <c r="X1634" s="190">
        <f t="shared" si="721"/>
        <v>91829588</v>
      </c>
      <c r="Y1634" s="190">
        <f t="shared" si="721"/>
        <v>150829588</v>
      </c>
      <c r="Z1634" s="190">
        <f t="shared" si="721"/>
        <v>150829588</v>
      </c>
      <c r="AA1634" s="190">
        <f t="shared" si="721"/>
        <v>150829588</v>
      </c>
      <c r="AB1634" s="190">
        <f t="shared" si="721"/>
        <v>150829588</v>
      </c>
      <c r="AC1634" s="191">
        <f>SUM(Q1634:AB1634)</f>
        <v>970636704</v>
      </c>
      <c r="AD1634" s="178">
        <f>AC1634-AE1634</f>
        <v>0</v>
      </c>
      <c r="AE1634" s="192">
        <f>'Proker New'!Y292</f>
        <v>970636704</v>
      </c>
      <c r="AF1634" s="193" t="str">
        <f>C1634</f>
        <v>Sulawesi Utara - Manado (MDC)</v>
      </c>
      <c r="AG1634" s="194"/>
      <c r="AH1634" s="194"/>
      <c r="AI1634" s="194"/>
    </row>
    <row r="1635">
      <c r="A1635" s="391"/>
      <c r="B1635" s="893"/>
      <c r="C1635" s="196">
        <v>1.0</v>
      </c>
      <c r="D1635" s="925" t="s">
        <v>1592</v>
      </c>
      <c r="E1635" s="198" t="s">
        <v>186</v>
      </c>
      <c r="F1635" s="198" t="s">
        <v>103</v>
      </c>
      <c r="G1635" s="198" t="s">
        <v>86</v>
      </c>
      <c r="H1635" s="198" t="s">
        <v>86</v>
      </c>
      <c r="I1635" s="198" t="s">
        <v>187</v>
      </c>
      <c r="J1635" s="198" t="s">
        <v>188</v>
      </c>
      <c r="K1635" s="606" t="s">
        <v>1591</v>
      </c>
      <c r="L1635" s="895"/>
      <c r="M1635" s="240"/>
      <c r="N1635" s="388"/>
      <c r="O1635" s="388"/>
      <c r="P1635" s="388"/>
      <c r="Q1635" s="896"/>
      <c r="R1635" s="896"/>
      <c r="S1635" s="896"/>
      <c r="T1635" s="896"/>
      <c r="U1635" s="896"/>
      <c r="V1635" s="896"/>
      <c r="W1635" s="896"/>
      <c r="X1635" s="896"/>
      <c r="Y1635" s="896">
        <v>5.9E7</v>
      </c>
      <c r="Z1635" s="896">
        <v>5.9E7</v>
      </c>
      <c r="AA1635" s="896">
        <v>5.9E7</v>
      </c>
      <c r="AB1635" s="896">
        <v>5.9E7</v>
      </c>
      <c r="AC1635" s="897">
        <v>2.36E8</v>
      </c>
      <c r="AD1635" s="273">
        <f>SUM(Q1635:AB1635)-AC1635</f>
        <v>0</v>
      </c>
      <c r="AE1635" s="241"/>
      <c r="AF1635" s="194"/>
      <c r="AG1635" s="194"/>
      <c r="AH1635" s="194"/>
      <c r="AI1635" s="194"/>
    </row>
    <row r="1636" hidden="1">
      <c r="A1636" s="126"/>
      <c r="B1636" s="893"/>
      <c r="C1636" s="206"/>
      <c r="D1636" s="207"/>
      <c r="E1636" s="260"/>
      <c r="F1636" s="207"/>
      <c r="G1636" s="260"/>
      <c r="H1636" s="206"/>
      <c r="I1636" s="206"/>
      <c r="J1636" s="206"/>
      <c r="K1636" s="206" t="s">
        <v>1591</v>
      </c>
      <c r="L1636" s="277"/>
      <c r="M1636" s="244"/>
      <c r="N1636" s="389"/>
      <c r="O1636" s="389"/>
      <c r="P1636" s="389"/>
      <c r="Q1636" s="212"/>
      <c r="R1636" s="212"/>
      <c r="S1636" s="212"/>
      <c r="T1636" s="212"/>
      <c r="U1636" s="212"/>
      <c r="V1636" s="212"/>
      <c r="W1636" s="212"/>
      <c r="X1636" s="212"/>
      <c r="Y1636" s="212"/>
      <c r="Z1636" s="212"/>
      <c r="AA1636" s="212"/>
      <c r="AB1636" s="212"/>
      <c r="AC1636" s="213">
        <f t="shared" ref="AC1636:AC1639" si="722">SUM(Q1636:AB1636)</f>
        <v>0</v>
      </c>
      <c r="AD1636" s="548"/>
      <c r="AE1636" s="241"/>
      <c r="AF1636" s="194"/>
      <c r="AG1636" s="194"/>
      <c r="AH1636" s="194"/>
      <c r="AI1636" s="194"/>
    </row>
    <row r="1637" hidden="1">
      <c r="A1637" s="391"/>
      <c r="B1637" s="893"/>
      <c r="C1637" s="222"/>
      <c r="D1637" s="250" t="s">
        <v>1593</v>
      </c>
      <c r="E1637" s="233"/>
      <c r="F1637" s="224"/>
      <c r="G1637" s="233"/>
      <c r="H1637" s="222"/>
      <c r="I1637" s="222"/>
      <c r="J1637" s="222"/>
      <c r="K1637" s="222" t="s">
        <v>1591</v>
      </c>
      <c r="L1637" s="225"/>
      <c r="M1637" s="236"/>
      <c r="N1637" s="285"/>
      <c r="O1637" s="285"/>
      <c r="P1637" s="285"/>
      <c r="Q1637" s="230"/>
      <c r="R1637" s="230"/>
      <c r="S1637" s="230"/>
      <c r="T1637" s="230"/>
      <c r="U1637" s="230"/>
      <c r="V1637" s="230"/>
      <c r="W1637" s="230"/>
      <c r="X1637" s="230"/>
      <c r="Y1637" s="230"/>
      <c r="Z1637" s="230"/>
      <c r="AA1637" s="230"/>
      <c r="AB1637" s="230"/>
      <c r="AC1637" s="231">
        <f t="shared" si="722"/>
        <v>0</v>
      </c>
      <c r="AD1637" s="273"/>
      <c r="AE1637" s="192"/>
      <c r="AF1637" s="194"/>
      <c r="AG1637" s="194"/>
      <c r="AH1637" s="194"/>
      <c r="AI1637" s="194"/>
    </row>
    <row r="1638" hidden="1">
      <c r="A1638" s="391"/>
      <c r="B1638" s="893"/>
      <c r="C1638" s="196"/>
      <c r="D1638" s="286" t="s">
        <v>194</v>
      </c>
      <c r="E1638" s="233"/>
      <c r="F1638" s="233"/>
      <c r="G1638" s="233"/>
      <c r="H1638" s="234"/>
      <c r="I1638" s="234"/>
      <c r="J1638" s="222"/>
      <c r="K1638" s="222" t="s">
        <v>1591</v>
      </c>
      <c r="L1638" s="225"/>
      <c r="M1638" s="236"/>
      <c r="N1638" s="285"/>
      <c r="O1638" s="285"/>
      <c r="P1638" s="285"/>
      <c r="Q1638" s="718"/>
      <c r="R1638" s="718"/>
      <c r="S1638" s="718"/>
      <c r="T1638" s="718"/>
      <c r="U1638" s="718"/>
      <c r="V1638" s="718"/>
      <c r="W1638" s="718"/>
      <c r="X1638" s="718"/>
      <c r="Y1638" s="718"/>
      <c r="Z1638" s="718"/>
      <c r="AA1638" s="718"/>
      <c r="AB1638" s="718"/>
      <c r="AC1638" s="378">
        <f t="shared" si="722"/>
        <v>0</v>
      </c>
      <c r="AD1638" s="273"/>
      <c r="AE1638" s="192"/>
      <c r="AF1638" s="194"/>
      <c r="AG1638" s="194"/>
      <c r="AH1638" s="194"/>
      <c r="AI1638" s="194"/>
    </row>
    <row r="1639" hidden="1">
      <c r="A1639" s="391"/>
      <c r="B1639" s="893"/>
      <c r="C1639" s="196"/>
      <c r="D1639" s="286" t="s">
        <v>1594</v>
      </c>
      <c r="E1639" s="233"/>
      <c r="F1639" s="233"/>
      <c r="G1639" s="233"/>
      <c r="H1639" s="234"/>
      <c r="I1639" s="234"/>
      <c r="J1639" s="222"/>
      <c r="K1639" s="222" t="s">
        <v>1591</v>
      </c>
      <c r="L1639" s="225"/>
      <c r="M1639" s="236"/>
      <c r="N1639" s="285"/>
      <c r="O1639" s="285"/>
      <c r="P1639" s="285"/>
      <c r="Q1639" s="718"/>
      <c r="R1639" s="718"/>
      <c r="S1639" s="718"/>
      <c r="T1639" s="718"/>
      <c r="U1639" s="718"/>
      <c r="V1639" s="718"/>
      <c r="W1639" s="718"/>
      <c r="X1639" s="718"/>
      <c r="Y1639" s="718"/>
      <c r="Z1639" s="718"/>
      <c r="AA1639" s="718"/>
      <c r="AB1639" s="718"/>
      <c r="AC1639" s="378">
        <f t="shared" si="722"/>
        <v>0</v>
      </c>
      <c r="AD1639" s="273"/>
      <c r="AE1639" s="192"/>
      <c r="AF1639" s="194"/>
      <c r="AG1639" s="194"/>
      <c r="AH1639" s="194"/>
      <c r="AI1639" s="194"/>
    </row>
    <row r="1640">
      <c r="A1640" s="391"/>
      <c r="B1640" s="893"/>
      <c r="C1640" s="196">
        <v>2.0</v>
      </c>
      <c r="D1640" s="925" t="s">
        <v>1595</v>
      </c>
      <c r="E1640" s="198" t="s">
        <v>186</v>
      </c>
      <c r="F1640" s="198" t="s">
        <v>305</v>
      </c>
      <c r="G1640" s="198" t="s">
        <v>92</v>
      </c>
      <c r="H1640" s="198" t="s">
        <v>306</v>
      </c>
      <c r="I1640" s="198" t="s">
        <v>187</v>
      </c>
      <c r="J1640" s="198" t="s">
        <v>188</v>
      </c>
      <c r="K1640" s="606" t="s">
        <v>1591</v>
      </c>
      <c r="L1640" s="895"/>
      <c r="M1640" s="240"/>
      <c r="N1640" s="388"/>
      <c r="O1640" s="388"/>
      <c r="P1640" s="388"/>
      <c r="Q1640" s="896"/>
      <c r="R1640" s="896"/>
      <c r="S1640" s="896"/>
      <c r="T1640" s="896"/>
      <c r="U1640" s="896">
        <v>9.1829588E7</v>
      </c>
      <c r="V1640" s="896">
        <v>9.1829588E7</v>
      </c>
      <c r="W1640" s="896">
        <v>9.1829588E7</v>
      </c>
      <c r="X1640" s="896">
        <v>9.1829588E7</v>
      </c>
      <c r="Y1640" s="896">
        <v>9.1829588E7</v>
      </c>
      <c r="Z1640" s="896">
        <v>9.1829588E7</v>
      </c>
      <c r="AA1640" s="896">
        <v>9.1829588E7</v>
      </c>
      <c r="AB1640" s="896">
        <v>9.1829588E7</v>
      </c>
      <c r="AC1640" s="897">
        <v>7.34636704E8</v>
      </c>
      <c r="AD1640" s="273">
        <f>SUM(Q1640:AB1640)-AC1640</f>
        <v>0</v>
      </c>
      <c r="AE1640" s="241"/>
      <c r="AF1640" s="194"/>
      <c r="AG1640" s="194"/>
      <c r="AH1640" s="194"/>
      <c r="AI1640" s="194"/>
    </row>
    <row r="1641" hidden="1">
      <c r="A1641" s="126"/>
      <c r="B1641" s="893"/>
      <c r="C1641" s="206"/>
      <c r="D1641" s="207"/>
      <c r="E1641" s="260"/>
      <c r="F1641" s="207"/>
      <c r="G1641" s="260"/>
      <c r="H1641" s="206"/>
      <c r="I1641" s="206"/>
      <c r="J1641" s="206"/>
      <c r="K1641" s="206" t="s">
        <v>1591</v>
      </c>
      <c r="L1641" s="277"/>
      <c r="M1641" s="244"/>
      <c r="N1641" s="389"/>
      <c r="O1641" s="389"/>
      <c r="P1641" s="389"/>
      <c r="Q1641" s="212"/>
      <c r="R1641" s="212"/>
      <c r="S1641" s="212"/>
      <c r="T1641" s="212"/>
      <c r="U1641" s="212"/>
      <c r="V1641" s="212"/>
      <c r="W1641" s="212"/>
      <c r="X1641" s="212"/>
      <c r="Y1641" s="212"/>
      <c r="Z1641" s="212"/>
      <c r="AA1641" s="212"/>
      <c r="AB1641" s="212"/>
      <c r="AC1641" s="213">
        <f t="shared" ref="AC1641:AC1650" si="723">SUM(Q1641:AB1641)</f>
        <v>0</v>
      </c>
      <c r="AD1641" s="974"/>
      <c r="AE1641" s="241"/>
      <c r="AF1641" s="194"/>
      <c r="AG1641" s="194"/>
      <c r="AH1641" s="194"/>
      <c r="AI1641" s="194"/>
    </row>
    <row r="1642" hidden="1">
      <c r="A1642" s="391"/>
      <c r="B1642" s="893"/>
      <c r="C1642" s="222"/>
      <c r="D1642" s="250" t="s">
        <v>1596</v>
      </c>
      <c r="E1642" s="233"/>
      <c r="F1642" s="224"/>
      <c r="G1642" s="233"/>
      <c r="H1642" s="222"/>
      <c r="I1642" s="222"/>
      <c r="J1642" s="222"/>
      <c r="K1642" s="222" t="s">
        <v>1591</v>
      </c>
      <c r="L1642" s="225"/>
      <c r="M1642" s="236"/>
      <c r="N1642" s="285"/>
      <c r="O1642" s="285"/>
      <c r="P1642" s="285"/>
      <c r="Q1642" s="230"/>
      <c r="R1642" s="230"/>
      <c r="S1642" s="230"/>
      <c r="T1642" s="230"/>
      <c r="U1642" s="230"/>
      <c r="V1642" s="230"/>
      <c r="W1642" s="230"/>
      <c r="X1642" s="230"/>
      <c r="Y1642" s="230"/>
      <c r="Z1642" s="230"/>
      <c r="AA1642" s="230"/>
      <c r="AB1642" s="230"/>
      <c r="AC1642" s="231">
        <f t="shared" si="723"/>
        <v>0</v>
      </c>
      <c r="AD1642" s="974"/>
      <c r="AE1642" s="241"/>
      <c r="AF1642" s="194"/>
      <c r="AG1642" s="194"/>
      <c r="AH1642" s="194"/>
      <c r="AI1642" s="194"/>
    </row>
    <row r="1643" hidden="1">
      <c r="A1643" s="391"/>
      <c r="B1643" s="902"/>
      <c r="C1643" s="222"/>
      <c r="D1643" s="286" t="s">
        <v>194</v>
      </c>
      <c r="E1643" s="233"/>
      <c r="F1643" s="233"/>
      <c r="G1643" s="233"/>
      <c r="H1643" s="234"/>
      <c r="I1643" s="234"/>
      <c r="J1643" s="222"/>
      <c r="K1643" s="222" t="s">
        <v>1591</v>
      </c>
      <c r="L1643" s="287"/>
      <c r="M1643" s="236"/>
      <c r="N1643" s="285"/>
      <c r="O1643" s="285"/>
      <c r="P1643" s="285"/>
      <c r="Q1643" s="288"/>
      <c r="R1643" s="288"/>
      <c r="S1643" s="288"/>
      <c r="T1643" s="288"/>
      <c r="U1643" s="288"/>
      <c r="V1643" s="288"/>
      <c r="W1643" s="288"/>
      <c r="X1643" s="288"/>
      <c r="Y1643" s="288"/>
      <c r="Z1643" s="288"/>
      <c r="AA1643" s="288"/>
      <c r="AB1643" s="288"/>
      <c r="AC1643" s="378">
        <f t="shared" si="723"/>
        <v>0</v>
      </c>
      <c r="AD1643" s="974"/>
      <c r="AE1643" s="241"/>
      <c r="AF1643" s="194"/>
      <c r="AG1643" s="194"/>
      <c r="AH1643" s="194"/>
      <c r="AI1643" s="194"/>
    </row>
    <row r="1644" hidden="1">
      <c r="A1644" s="391"/>
      <c r="B1644" s="902"/>
      <c r="C1644" s="222"/>
      <c r="D1644" s="286" t="s">
        <v>1597</v>
      </c>
      <c r="E1644" s="233"/>
      <c r="F1644" s="233"/>
      <c r="G1644" s="233"/>
      <c r="H1644" s="234"/>
      <c r="I1644" s="234"/>
      <c r="J1644" s="222"/>
      <c r="K1644" s="222" t="s">
        <v>1591</v>
      </c>
      <c r="L1644" s="287"/>
      <c r="M1644" s="236"/>
      <c r="N1644" s="285"/>
      <c r="O1644" s="285"/>
      <c r="P1644" s="285"/>
      <c r="Q1644" s="288"/>
      <c r="R1644" s="288"/>
      <c r="S1644" s="288"/>
      <c r="T1644" s="288"/>
      <c r="U1644" s="288"/>
      <c r="V1644" s="288"/>
      <c r="W1644" s="288"/>
      <c r="X1644" s="288"/>
      <c r="Y1644" s="288"/>
      <c r="Z1644" s="288"/>
      <c r="AA1644" s="288"/>
      <c r="AB1644" s="288"/>
      <c r="AC1644" s="378">
        <f t="shared" si="723"/>
        <v>0</v>
      </c>
      <c r="AD1644" s="974"/>
      <c r="AE1644" s="241"/>
      <c r="AF1644" s="194"/>
      <c r="AG1644" s="194"/>
      <c r="AH1644" s="194"/>
      <c r="AI1644" s="194"/>
    </row>
    <row r="1645" hidden="1">
      <c r="A1645" s="126"/>
      <c r="B1645" s="181"/>
      <c r="C1645" s="289"/>
      <c r="D1645" s="290" t="s">
        <v>1598</v>
      </c>
      <c r="E1645" s="487"/>
      <c r="F1645" s="487"/>
      <c r="G1645" s="487"/>
      <c r="H1645" s="291"/>
      <c r="I1645" s="291"/>
      <c r="J1645" s="292"/>
      <c r="K1645" s="292" t="s">
        <v>1591</v>
      </c>
      <c r="L1645" s="293"/>
      <c r="M1645" s="294"/>
      <c r="N1645" s="295"/>
      <c r="O1645" s="295"/>
      <c r="P1645" s="295"/>
      <c r="Q1645" s="296">
        <f t="shared" ref="Q1645:AB1645" si="724">Q1636+Q1641</f>
        <v>0</v>
      </c>
      <c r="R1645" s="296">
        <f t="shared" si="724"/>
        <v>0</v>
      </c>
      <c r="S1645" s="296">
        <f t="shared" si="724"/>
        <v>0</v>
      </c>
      <c r="T1645" s="296">
        <f t="shared" si="724"/>
        <v>0</v>
      </c>
      <c r="U1645" s="296">
        <f t="shared" si="724"/>
        <v>0</v>
      </c>
      <c r="V1645" s="296">
        <f t="shared" si="724"/>
        <v>0</v>
      </c>
      <c r="W1645" s="296">
        <f t="shared" si="724"/>
        <v>0</v>
      </c>
      <c r="X1645" s="296">
        <f t="shared" si="724"/>
        <v>0</v>
      </c>
      <c r="Y1645" s="296">
        <f t="shared" si="724"/>
        <v>0</v>
      </c>
      <c r="Z1645" s="296">
        <f t="shared" si="724"/>
        <v>0</v>
      </c>
      <c r="AA1645" s="296">
        <f t="shared" si="724"/>
        <v>0</v>
      </c>
      <c r="AB1645" s="296">
        <f t="shared" si="724"/>
        <v>0</v>
      </c>
      <c r="AC1645" s="547">
        <f t="shared" si="723"/>
        <v>0</v>
      </c>
      <c r="AD1645" s="974" t="s">
        <v>1108</v>
      </c>
      <c r="AE1645" s="241"/>
      <c r="AF1645" s="194"/>
      <c r="AG1645" s="194"/>
      <c r="AH1645" s="194"/>
      <c r="AI1645" s="194"/>
    </row>
    <row r="1646" hidden="1">
      <c r="A1646" s="391"/>
      <c r="B1646" s="298"/>
      <c r="C1646" s="299"/>
      <c r="D1646" s="300" t="s">
        <v>1599</v>
      </c>
      <c r="E1646" s="488"/>
      <c r="F1646" s="488"/>
      <c r="G1646" s="488"/>
      <c r="H1646" s="301"/>
      <c r="I1646" s="301"/>
      <c r="J1646" s="489"/>
      <c r="K1646" s="932" t="s">
        <v>1591</v>
      </c>
      <c r="L1646" s="304"/>
      <c r="M1646" s="305"/>
      <c r="N1646" s="306"/>
      <c r="O1646" s="306"/>
      <c r="P1646" s="306"/>
      <c r="Q1646" s="307">
        <f t="shared" ref="Q1646:AB1646" si="725">Q1637+Q1637</f>
        <v>0</v>
      </c>
      <c r="R1646" s="307">
        <f t="shared" si="725"/>
        <v>0</v>
      </c>
      <c r="S1646" s="307">
        <f t="shared" si="725"/>
        <v>0</v>
      </c>
      <c r="T1646" s="307">
        <f t="shared" si="725"/>
        <v>0</v>
      </c>
      <c r="U1646" s="307">
        <f t="shared" si="725"/>
        <v>0</v>
      </c>
      <c r="V1646" s="307">
        <f t="shared" si="725"/>
        <v>0</v>
      </c>
      <c r="W1646" s="307">
        <f t="shared" si="725"/>
        <v>0</v>
      </c>
      <c r="X1646" s="307">
        <f t="shared" si="725"/>
        <v>0</v>
      </c>
      <c r="Y1646" s="307">
        <f t="shared" si="725"/>
        <v>0</v>
      </c>
      <c r="Z1646" s="307">
        <f t="shared" si="725"/>
        <v>0</v>
      </c>
      <c r="AA1646" s="307">
        <f t="shared" si="725"/>
        <v>0</v>
      </c>
      <c r="AB1646" s="307">
        <f t="shared" si="725"/>
        <v>0</v>
      </c>
      <c r="AC1646" s="309">
        <f t="shared" si="723"/>
        <v>0</v>
      </c>
      <c r="AD1646" s="995">
        <f>AD1649</f>
        <v>0</v>
      </c>
      <c r="AE1646" s="241"/>
      <c r="AF1646" s="310">
        <f t="shared" ref="AF1646:AF1647" si="726">AC1646-AC1647</f>
        <v>0</v>
      </c>
      <c r="AG1646" s="311" t="s">
        <v>226</v>
      </c>
      <c r="AH1646" s="194"/>
      <c r="AI1646" s="194"/>
    </row>
    <row r="1647" hidden="1">
      <c r="A1647" s="391"/>
      <c r="B1647" s="298"/>
      <c r="C1647" s="312"/>
      <c r="D1647" s="313" t="s">
        <v>1600</v>
      </c>
      <c r="E1647" s="331"/>
      <c r="F1647" s="331"/>
      <c r="G1647" s="331"/>
      <c r="H1647" s="199"/>
      <c r="I1647" s="199"/>
      <c r="J1647" s="222"/>
      <c r="K1647" s="933" t="s">
        <v>1591</v>
      </c>
      <c r="L1647" s="287"/>
      <c r="M1647" s="236"/>
      <c r="N1647" s="285"/>
      <c r="O1647" s="285"/>
      <c r="P1647" s="285"/>
      <c r="Q1647" s="1030"/>
      <c r="R1647" s="1030"/>
      <c r="S1647" s="1030"/>
      <c r="T1647" s="1030"/>
      <c r="U1647" s="1030"/>
      <c r="V1647" s="1030"/>
      <c r="W1647" s="1030"/>
      <c r="X1647" s="1030"/>
      <c r="Y1647" s="1030"/>
      <c r="Z1647" s="1030"/>
      <c r="AA1647" s="1030"/>
      <c r="AB1647" s="1030"/>
      <c r="AC1647" s="378">
        <f t="shared" si="723"/>
        <v>0</v>
      </c>
      <c r="AD1647" s="214"/>
      <c r="AE1647" s="241"/>
      <c r="AF1647" s="316">
        <f t="shared" si="726"/>
        <v>0</v>
      </c>
      <c r="AG1647" s="311" t="s">
        <v>228</v>
      </c>
      <c r="AH1647" s="194"/>
      <c r="AI1647" s="194"/>
    </row>
    <row r="1648" hidden="1">
      <c r="A1648" s="391"/>
      <c r="B1648" s="298"/>
      <c r="C1648" s="317"/>
      <c r="D1648" s="318" t="s">
        <v>1601</v>
      </c>
      <c r="E1648" s="493"/>
      <c r="F1648" s="493"/>
      <c r="G1648" s="493"/>
      <c r="H1648" s="494"/>
      <c r="I1648" s="494"/>
      <c r="J1648" s="320"/>
      <c r="K1648" s="934" t="s">
        <v>1591</v>
      </c>
      <c r="L1648" s="321"/>
      <c r="M1648" s="322"/>
      <c r="N1648" s="323"/>
      <c r="O1648" s="323"/>
      <c r="P1648" s="323"/>
      <c r="Q1648" s="1031"/>
      <c r="R1648" s="1031"/>
      <c r="S1648" s="1031"/>
      <c r="T1648" s="1031"/>
      <c r="U1648" s="1031"/>
      <c r="V1648" s="1031"/>
      <c r="W1648" s="1031"/>
      <c r="X1648" s="1031"/>
      <c r="Y1648" s="1031"/>
      <c r="Z1648" s="1031"/>
      <c r="AA1648" s="1031"/>
      <c r="AB1648" s="1031"/>
      <c r="AC1648" s="539">
        <f t="shared" si="723"/>
        <v>0</v>
      </c>
      <c r="AD1648" s="214"/>
      <c r="AE1648" s="241"/>
      <c r="AF1648" s="328">
        <f>AC1648</f>
        <v>0</v>
      </c>
      <c r="AG1648" s="311" t="s">
        <v>148</v>
      </c>
      <c r="AH1648" s="194"/>
      <c r="AI1648" s="194"/>
    </row>
    <row r="1649">
      <c r="A1649" s="391"/>
      <c r="B1649" s="655">
        <v>27.0</v>
      </c>
      <c r="C1649" s="329" t="s">
        <v>62</v>
      </c>
      <c r="D1649" s="724"/>
      <c r="E1649" s="496"/>
      <c r="F1649" s="496"/>
      <c r="G1649" s="496"/>
      <c r="H1649" s="332"/>
      <c r="I1649" s="332"/>
      <c r="J1649" s="332"/>
      <c r="K1649" s="988"/>
      <c r="L1649" s="929"/>
      <c r="M1649" s="930"/>
      <c r="N1649" s="931"/>
      <c r="O1649" s="931"/>
      <c r="P1649" s="931"/>
      <c r="Q1649" s="330"/>
      <c r="R1649" s="330"/>
      <c r="S1649" s="330"/>
      <c r="T1649" s="330"/>
      <c r="U1649" s="330"/>
      <c r="V1649" s="330"/>
      <c r="W1649" s="330"/>
      <c r="X1649" s="330"/>
      <c r="Y1649" s="330"/>
      <c r="Z1649" s="330"/>
      <c r="AA1649" s="330"/>
      <c r="AB1649" s="330"/>
      <c r="AC1649" s="338">
        <f t="shared" si="723"/>
        <v>0</v>
      </c>
      <c r="AD1649" s="178">
        <f>SUM(Q1649:AB1649)-AC1649</f>
        <v>0</v>
      </c>
      <c r="AE1649" s="241" t="str">
        <f>'Proker New'!Y295</f>
        <v/>
      </c>
      <c r="AF1649" s="193" t="str">
        <f t="shared" ref="AF1649:AF1650" si="728">C1649</f>
        <v>Sulawesi Barat - Mamuju</v>
      </c>
      <c r="AG1649" s="194"/>
      <c r="AH1649" s="194"/>
      <c r="AI1649" s="194"/>
    </row>
    <row r="1650">
      <c r="A1650" s="391"/>
      <c r="B1650" s="655">
        <v>28.0</v>
      </c>
      <c r="C1650" s="182" t="s">
        <v>63</v>
      </c>
      <c r="D1650" s="684"/>
      <c r="E1650" s="331"/>
      <c r="F1650" s="331"/>
      <c r="G1650" s="331"/>
      <c r="H1650" s="199"/>
      <c r="I1650" s="199"/>
      <c r="J1650" s="685"/>
      <c r="K1650" s="396" t="s">
        <v>1602</v>
      </c>
      <c r="L1650" s="993"/>
      <c r="M1650" s="240"/>
      <c r="N1650" s="388"/>
      <c r="O1650" s="388"/>
      <c r="P1650" s="388"/>
      <c r="Q1650" s="190">
        <f t="shared" ref="Q1650:AB1650" si="727">Q1651</f>
        <v>142243008</v>
      </c>
      <c r="R1650" s="190">
        <f t="shared" si="727"/>
        <v>142243008</v>
      </c>
      <c r="S1650" s="190">
        <f t="shared" si="727"/>
        <v>142243008</v>
      </c>
      <c r="T1650" s="190">
        <f t="shared" si="727"/>
        <v>142243008</v>
      </c>
      <c r="U1650" s="190">
        <f t="shared" si="727"/>
        <v>142243008</v>
      </c>
      <c r="V1650" s="190">
        <f t="shared" si="727"/>
        <v>142243008</v>
      </c>
      <c r="W1650" s="190">
        <f t="shared" si="727"/>
        <v>142243008</v>
      </c>
      <c r="X1650" s="190">
        <f t="shared" si="727"/>
        <v>142243008</v>
      </c>
      <c r="Y1650" s="190">
        <f t="shared" si="727"/>
        <v>142243008</v>
      </c>
      <c r="Z1650" s="190">
        <f t="shared" si="727"/>
        <v>142243008</v>
      </c>
      <c r="AA1650" s="190">
        <f t="shared" si="727"/>
        <v>142243008</v>
      </c>
      <c r="AB1650" s="190">
        <f t="shared" si="727"/>
        <v>142243008</v>
      </c>
      <c r="AC1650" s="191">
        <f t="shared" si="723"/>
        <v>1706916096</v>
      </c>
      <c r="AD1650" s="178">
        <f>AC1650-AE1650</f>
        <v>0</v>
      </c>
      <c r="AE1650" s="192">
        <f>'Proker New'!Y296</f>
        <v>1706916096</v>
      </c>
      <c r="AF1650" s="193" t="str">
        <f t="shared" si="728"/>
        <v>Sulawesi Tengah - Palu</v>
      </c>
      <c r="AG1650" s="194"/>
      <c r="AH1650" s="194"/>
      <c r="AI1650" s="194"/>
    </row>
    <row r="1651">
      <c r="A1651" s="391"/>
      <c r="B1651" s="195"/>
      <c r="C1651" s="196">
        <v>1.0</v>
      </c>
      <c r="D1651" s="730" t="s">
        <v>1603</v>
      </c>
      <c r="E1651" s="198" t="s">
        <v>186</v>
      </c>
      <c r="F1651" s="198" t="s">
        <v>88</v>
      </c>
      <c r="G1651" s="198" t="s">
        <v>88</v>
      </c>
      <c r="H1651" s="198" t="s">
        <v>218</v>
      </c>
      <c r="I1651" s="198" t="s">
        <v>253</v>
      </c>
      <c r="J1651" s="198" t="s">
        <v>254</v>
      </c>
      <c r="K1651" s="937" t="s">
        <v>1602</v>
      </c>
      <c r="L1651" s="1037"/>
      <c r="M1651" s="201" t="s">
        <v>1604</v>
      </c>
      <c r="N1651" s="541"/>
      <c r="O1651" s="541">
        <v>45505.0</v>
      </c>
      <c r="P1651" s="541">
        <v>45869.0</v>
      </c>
      <c r="Q1651" s="204">
        <v>1.42243008E8</v>
      </c>
      <c r="R1651" s="204">
        <v>1.42243008E8</v>
      </c>
      <c r="S1651" s="204">
        <v>1.42243008E8</v>
      </c>
      <c r="T1651" s="204">
        <v>1.42243008E8</v>
      </c>
      <c r="U1651" s="204">
        <v>1.42243008E8</v>
      </c>
      <c r="V1651" s="204">
        <v>1.42243008E8</v>
      </c>
      <c r="W1651" s="204">
        <v>1.42243008E8</v>
      </c>
      <c r="X1651" s="204">
        <v>1.42243008E8</v>
      </c>
      <c r="Y1651" s="204">
        <v>1.42243008E8</v>
      </c>
      <c r="Z1651" s="204">
        <v>1.42243008E8</v>
      </c>
      <c r="AA1651" s="204">
        <v>1.42243008E8</v>
      </c>
      <c r="AB1651" s="204">
        <v>1.42243008E8</v>
      </c>
      <c r="AC1651" s="205">
        <v>1.706916096E9</v>
      </c>
      <c r="AD1651" s="178">
        <f>SUM(Q1651:AB1651)-AC1651</f>
        <v>0</v>
      </c>
      <c r="AE1651" s="241"/>
      <c r="AF1651" s="194"/>
      <c r="AG1651" s="194"/>
      <c r="AH1651" s="194"/>
      <c r="AI1651" s="194"/>
    </row>
    <row r="1652" hidden="1">
      <c r="A1652" s="126"/>
      <c r="B1652" s="195"/>
      <c r="C1652" s="206"/>
      <c r="D1652" s="207"/>
      <c r="E1652" s="260"/>
      <c r="F1652" s="207"/>
      <c r="G1652" s="260"/>
      <c r="H1652" s="206"/>
      <c r="I1652" s="206"/>
      <c r="J1652" s="206"/>
      <c r="K1652" s="206" t="s">
        <v>1602</v>
      </c>
      <c r="L1652" s="277"/>
      <c r="M1652" s="244"/>
      <c r="N1652" s="389"/>
      <c r="O1652" s="389"/>
      <c r="P1652" s="389"/>
      <c r="Q1652" s="249">
        <v>1.38082979E8</v>
      </c>
      <c r="R1652" s="249">
        <v>1.27461211E8</v>
      </c>
      <c r="S1652" s="212"/>
      <c r="T1652" s="212"/>
      <c r="U1652" s="212"/>
      <c r="V1652" s="212"/>
      <c r="W1652" s="212"/>
      <c r="X1652" s="212"/>
      <c r="Y1652" s="212"/>
      <c r="Z1652" s="212"/>
      <c r="AA1652" s="212"/>
      <c r="AB1652" s="212"/>
      <c r="AC1652" s="213">
        <f t="shared" ref="AC1652:AC1661" si="729">SUM(Q1652:AB1652)</f>
        <v>265544190</v>
      </c>
      <c r="AD1652" s="974"/>
      <c r="AE1652" s="241"/>
      <c r="AF1652" s="194"/>
      <c r="AG1652" s="194"/>
      <c r="AH1652" s="194"/>
      <c r="AI1652" s="194"/>
    </row>
    <row r="1653" hidden="1">
      <c r="A1653" s="391"/>
      <c r="B1653" s="195"/>
      <c r="C1653" s="222"/>
      <c r="D1653" s="250" t="s">
        <v>1605</v>
      </c>
      <c r="E1653" s="233"/>
      <c r="F1653" s="224"/>
      <c r="G1653" s="233"/>
      <c r="H1653" s="222"/>
      <c r="I1653" s="222"/>
      <c r="J1653" s="222"/>
      <c r="K1653" s="222" t="s">
        <v>1602</v>
      </c>
      <c r="L1653" s="225"/>
      <c r="M1653" s="236"/>
      <c r="N1653" s="285"/>
      <c r="O1653" s="285"/>
      <c r="P1653" s="285"/>
      <c r="Q1653" s="228">
        <v>1.38082979E8</v>
      </c>
      <c r="R1653" s="228">
        <v>1.27461211E8</v>
      </c>
      <c r="S1653" s="228">
        <v>1.59326514E8</v>
      </c>
      <c r="T1653" s="228">
        <v>1.435374E8</v>
      </c>
      <c r="U1653" s="228">
        <v>1.3396824E8</v>
      </c>
      <c r="V1653" s="228">
        <v>1.435374E8</v>
      </c>
      <c r="W1653" s="230"/>
      <c r="X1653" s="230"/>
      <c r="Y1653" s="230"/>
      <c r="Z1653" s="230"/>
      <c r="AA1653" s="230"/>
      <c r="AB1653" s="230"/>
      <c r="AC1653" s="231">
        <f t="shared" si="729"/>
        <v>845913744</v>
      </c>
      <c r="AD1653" s="974"/>
      <c r="AE1653" s="241"/>
      <c r="AF1653" s="194"/>
      <c r="AG1653" s="194"/>
      <c r="AH1653" s="194"/>
      <c r="AI1653" s="194"/>
    </row>
    <row r="1654" hidden="1">
      <c r="A1654" s="391"/>
      <c r="B1654" s="181"/>
      <c r="C1654" s="222"/>
      <c r="D1654" s="286" t="s">
        <v>194</v>
      </c>
      <c r="E1654" s="233"/>
      <c r="F1654" s="233"/>
      <c r="G1654" s="233"/>
      <c r="H1654" s="234"/>
      <c r="I1654" s="234"/>
      <c r="J1654" s="222"/>
      <c r="K1654" s="222" t="s">
        <v>1602</v>
      </c>
      <c r="L1654" s="287"/>
      <c r="M1654" s="236"/>
      <c r="N1654" s="285"/>
      <c r="O1654" s="285"/>
      <c r="P1654" s="285"/>
      <c r="Q1654" s="228">
        <v>1.38082979E8</v>
      </c>
      <c r="R1654" s="228">
        <v>1.27461211E8</v>
      </c>
      <c r="S1654" s="228">
        <v>1.59326514E8</v>
      </c>
      <c r="T1654" s="228">
        <v>1.435374E8</v>
      </c>
      <c r="U1654" s="228">
        <v>1.3396824E8</v>
      </c>
      <c r="V1654" s="228">
        <v>1.435374E8</v>
      </c>
      <c r="W1654" s="288"/>
      <c r="X1654" s="288"/>
      <c r="Y1654" s="288"/>
      <c r="Z1654" s="288"/>
      <c r="AA1654" s="288"/>
      <c r="AB1654" s="288"/>
      <c r="AC1654" s="378">
        <f t="shared" si="729"/>
        <v>845913744</v>
      </c>
      <c r="AD1654" s="974"/>
      <c r="AE1654" s="241"/>
      <c r="AF1654" s="194"/>
      <c r="AG1654" s="194"/>
      <c r="AH1654" s="194"/>
      <c r="AI1654" s="194"/>
    </row>
    <row r="1655" hidden="1">
      <c r="A1655" s="391"/>
      <c r="B1655" s="181"/>
      <c r="C1655" s="222"/>
      <c r="D1655" s="286" t="s">
        <v>1606</v>
      </c>
      <c r="E1655" s="233"/>
      <c r="F1655" s="233"/>
      <c r="G1655" s="233"/>
      <c r="H1655" s="234"/>
      <c r="I1655" s="234"/>
      <c r="J1655" s="222"/>
      <c r="K1655" s="222" t="s">
        <v>1602</v>
      </c>
      <c r="L1655" s="287"/>
      <c r="M1655" s="236"/>
      <c r="N1655" s="285"/>
      <c r="O1655" s="285"/>
      <c r="P1655" s="285"/>
      <c r="Q1655" s="228">
        <v>1.38082979E8</v>
      </c>
      <c r="R1655" s="228">
        <v>1.27461211E8</v>
      </c>
      <c r="S1655" s="228">
        <v>1.59326514E8</v>
      </c>
      <c r="T1655" s="228">
        <v>1.435374E8</v>
      </c>
      <c r="U1655" s="228">
        <v>1.3396824E8</v>
      </c>
      <c r="V1655" s="228">
        <v>1.435374E8</v>
      </c>
      <c r="W1655" s="288"/>
      <c r="X1655" s="288"/>
      <c r="Y1655" s="288"/>
      <c r="Z1655" s="288"/>
      <c r="AA1655" s="288"/>
      <c r="AB1655" s="288"/>
      <c r="AC1655" s="378">
        <f t="shared" si="729"/>
        <v>845913744</v>
      </c>
      <c r="AD1655" s="974"/>
      <c r="AE1655" s="241"/>
      <c r="AF1655" s="194"/>
      <c r="AG1655" s="194"/>
      <c r="AH1655" s="194"/>
      <c r="AI1655" s="194"/>
    </row>
    <row r="1656" hidden="1">
      <c r="A1656" s="126"/>
      <c r="B1656" s="181"/>
      <c r="C1656" s="289"/>
      <c r="D1656" s="290" t="s">
        <v>1607</v>
      </c>
      <c r="E1656" s="487"/>
      <c r="F1656" s="487"/>
      <c r="G1656" s="487"/>
      <c r="H1656" s="291"/>
      <c r="I1656" s="291"/>
      <c r="J1656" s="292"/>
      <c r="K1656" s="292" t="s">
        <v>1602</v>
      </c>
      <c r="L1656" s="293"/>
      <c r="M1656" s="294"/>
      <c r="N1656" s="295"/>
      <c r="O1656" s="295"/>
      <c r="P1656" s="295"/>
      <c r="Q1656" s="296">
        <f t="shared" ref="Q1656:AB1656" si="730">Q1652</f>
        <v>138082979</v>
      </c>
      <c r="R1656" s="296">
        <f t="shared" si="730"/>
        <v>127461211</v>
      </c>
      <c r="S1656" s="296" t="str">
        <f t="shared" si="730"/>
        <v/>
      </c>
      <c r="T1656" s="296" t="str">
        <f t="shared" si="730"/>
        <v/>
      </c>
      <c r="U1656" s="296" t="str">
        <f t="shared" si="730"/>
        <v/>
      </c>
      <c r="V1656" s="296" t="str">
        <f t="shared" si="730"/>
        <v/>
      </c>
      <c r="W1656" s="296" t="str">
        <f t="shared" si="730"/>
        <v/>
      </c>
      <c r="X1656" s="296" t="str">
        <f t="shared" si="730"/>
        <v/>
      </c>
      <c r="Y1656" s="296" t="str">
        <f t="shared" si="730"/>
        <v/>
      </c>
      <c r="Z1656" s="296" t="str">
        <f t="shared" si="730"/>
        <v/>
      </c>
      <c r="AA1656" s="296" t="str">
        <f t="shared" si="730"/>
        <v/>
      </c>
      <c r="AB1656" s="296" t="str">
        <f t="shared" si="730"/>
        <v/>
      </c>
      <c r="AC1656" s="547">
        <f t="shared" si="729"/>
        <v>265544190</v>
      </c>
      <c r="AD1656" s="974" t="s">
        <v>1108</v>
      </c>
      <c r="AE1656" s="241"/>
      <c r="AF1656" s="194"/>
      <c r="AG1656" s="194"/>
      <c r="AH1656" s="194"/>
      <c r="AI1656" s="194"/>
    </row>
    <row r="1657" hidden="1">
      <c r="A1657" s="391"/>
      <c r="B1657" s="298"/>
      <c r="C1657" s="299"/>
      <c r="D1657" s="300" t="s">
        <v>1608</v>
      </c>
      <c r="E1657" s="488"/>
      <c r="F1657" s="488"/>
      <c r="G1657" s="488"/>
      <c r="H1657" s="301"/>
      <c r="I1657" s="301"/>
      <c r="J1657" s="489"/>
      <c r="K1657" s="932" t="s">
        <v>1602</v>
      </c>
      <c r="L1657" s="304"/>
      <c r="M1657" s="305"/>
      <c r="N1657" s="306"/>
      <c r="O1657" s="306"/>
      <c r="P1657" s="306"/>
      <c r="Q1657" s="307">
        <f t="shared" ref="Q1657:AB1657" si="731">Q1653</f>
        <v>138082979</v>
      </c>
      <c r="R1657" s="307">
        <f t="shared" si="731"/>
        <v>127461211</v>
      </c>
      <c r="S1657" s="307">
        <f t="shared" si="731"/>
        <v>159326514</v>
      </c>
      <c r="T1657" s="307">
        <f t="shared" si="731"/>
        <v>143537400</v>
      </c>
      <c r="U1657" s="307">
        <f t="shared" si="731"/>
        <v>133968240</v>
      </c>
      <c r="V1657" s="307">
        <f t="shared" si="731"/>
        <v>143537400</v>
      </c>
      <c r="W1657" s="307" t="str">
        <f t="shared" si="731"/>
        <v/>
      </c>
      <c r="X1657" s="307" t="str">
        <f t="shared" si="731"/>
        <v/>
      </c>
      <c r="Y1657" s="307" t="str">
        <f t="shared" si="731"/>
        <v/>
      </c>
      <c r="Z1657" s="307" t="str">
        <f t="shared" si="731"/>
        <v/>
      </c>
      <c r="AA1657" s="307" t="str">
        <f t="shared" si="731"/>
        <v/>
      </c>
      <c r="AB1657" s="307" t="str">
        <f t="shared" si="731"/>
        <v/>
      </c>
      <c r="AC1657" s="309">
        <f t="shared" si="729"/>
        <v>845913744</v>
      </c>
      <c r="AD1657" s="995">
        <f>AD1660+AD1664</f>
        <v>0</v>
      </c>
      <c r="AE1657" s="241"/>
      <c r="AF1657" s="310">
        <f t="shared" ref="AF1657:AF1658" si="733">AC1657-AC1658</f>
        <v>0</v>
      </c>
      <c r="AG1657" s="311" t="s">
        <v>226</v>
      </c>
      <c r="AH1657" s="194"/>
      <c r="AI1657" s="194"/>
    </row>
    <row r="1658" hidden="1">
      <c r="A1658" s="391"/>
      <c r="B1658" s="298"/>
      <c r="C1658" s="312"/>
      <c r="D1658" s="313" t="s">
        <v>1609</v>
      </c>
      <c r="E1658" s="331"/>
      <c r="F1658" s="331"/>
      <c r="G1658" s="331"/>
      <c r="H1658" s="199"/>
      <c r="I1658" s="199"/>
      <c r="J1658" s="222"/>
      <c r="K1658" s="933" t="s">
        <v>1602</v>
      </c>
      <c r="L1658" s="287"/>
      <c r="M1658" s="236"/>
      <c r="N1658" s="285"/>
      <c r="O1658" s="285"/>
      <c r="P1658" s="285"/>
      <c r="Q1658" s="288">
        <f t="shared" ref="Q1658:V1658" si="732">Q1654</f>
        <v>138082979</v>
      </c>
      <c r="R1658" s="288">
        <f t="shared" si="732"/>
        <v>127461211</v>
      </c>
      <c r="S1658" s="288">
        <f t="shared" si="732"/>
        <v>159326514</v>
      </c>
      <c r="T1658" s="288">
        <f t="shared" si="732"/>
        <v>143537400</v>
      </c>
      <c r="U1658" s="288">
        <f t="shared" si="732"/>
        <v>133968240</v>
      </c>
      <c r="V1658" s="288">
        <f t="shared" si="732"/>
        <v>143537400</v>
      </c>
      <c r="W1658" s="1030"/>
      <c r="X1658" s="1030"/>
      <c r="Y1658" s="1030"/>
      <c r="Z1658" s="1030"/>
      <c r="AA1658" s="1030"/>
      <c r="AB1658" s="1030"/>
      <c r="AC1658" s="378">
        <f t="shared" si="729"/>
        <v>845913744</v>
      </c>
      <c r="AD1658" s="214"/>
      <c r="AE1658" s="241"/>
      <c r="AF1658" s="316">
        <f t="shared" si="733"/>
        <v>0</v>
      </c>
      <c r="AG1658" s="311" t="s">
        <v>228</v>
      </c>
      <c r="AH1658" s="194"/>
      <c r="AI1658" s="194"/>
    </row>
    <row r="1659" hidden="1">
      <c r="A1659" s="391"/>
      <c r="B1659" s="298"/>
      <c r="C1659" s="317"/>
      <c r="D1659" s="318" t="s">
        <v>1610</v>
      </c>
      <c r="E1659" s="493"/>
      <c r="F1659" s="493"/>
      <c r="G1659" s="493"/>
      <c r="H1659" s="494"/>
      <c r="I1659" s="494"/>
      <c r="J1659" s="320"/>
      <c r="K1659" s="934" t="s">
        <v>1602</v>
      </c>
      <c r="L1659" s="321"/>
      <c r="M1659" s="322"/>
      <c r="N1659" s="323"/>
      <c r="O1659" s="323"/>
      <c r="P1659" s="323"/>
      <c r="Q1659" s="324">
        <f t="shared" ref="Q1659:V1659" si="734">Q1655</f>
        <v>138082979</v>
      </c>
      <c r="R1659" s="324">
        <f t="shared" si="734"/>
        <v>127461211</v>
      </c>
      <c r="S1659" s="324">
        <f t="shared" si="734"/>
        <v>159326514</v>
      </c>
      <c r="T1659" s="324">
        <f t="shared" si="734"/>
        <v>143537400</v>
      </c>
      <c r="U1659" s="324">
        <f t="shared" si="734"/>
        <v>133968240</v>
      </c>
      <c r="V1659" s="324">
        <f t="shared" si="734"/>
        <v>143537400</v>
      </c>
      <c r="W1659" s="1031"/>
      <c r="X1659" s="1031"/>
      <c r="Y1659" s="1031"/>
      <c r="Z1659" s="1031"/>
      <c r="AA1659" s="1031"/>
      <c r="AB1659" s="1031"/>
      <c r="AC1659" s="539">
        <f t="shared" si="729"/>
        <v>845913744</v>
      </c>
      <c r="AD1659" s="214"/>
      <c r="AE1659" s="241"/>
      <c r="AF1659" s="328">
        <f>AC1659</f>
        <v>845913744</v>
      </c>
      <c r="AG1659" s="311" t="s">
        <v>148</v>
      </c>
      <c r="AH1659" s="194"/>
      <c r="AI1659" s="194"/>
    </row>
    <row r="1660">
      <c r="A1660" s="391"/>
      <c r="B1660" s="655">
        <v>29.0</v>
      </c>
      <c r="C1660" s="329" t="s">
        <v>64</v>
      </c>
      <c r="D1660" s="724"/>
      <c r="E1660" s="496"/>
      <c r="F1660" s="496"/>
      <c r="G1660" s="496"/>
      <c r="H1660" s="332"/>
      <c r="I1660" s="332"/>
      <c r="J1660" s="332"/>
      <c r="K1660" s="988"/>
      <c r="L1660" s="929"/>
      <c r="M1660" s="930"/>
      <c r="N1660" s="931"/>
      <c r="O1660" s="931"/>
      <c r="P1660" s="931"/>
      <c r="Q1660" s="330"/>
      <c r="R1660" s="330"/>
      <c r="S1660" s="330"/>
      <c r="T1660" s="330"/>
      <c r="U1660" s="330"/>
      <c r="V1660" s="330"/>
      <c r="W1660" s="330"/>
      <c r="X1660" s="330"/>
      <c r="Y1660" s="330"/>
      <c r="Z1660" s="330"/>
      <c r="AA1660" s="330"/>
      <c r="AB1660" s="330"/>
      <c r="AC1660" s="338">
        <f t="shared" si="729"/>
        <v>0</v>
      </c>
      <c r="AD1660" s="178">
        <f>SUM(Q1660:AB1660)-AC1660</f>
        <v>0</v>
      </c>
      <c r="AE1660" s="241" t="str">
        <f>'Proker New'!Y298</f>
        <v/>
      </c>
      <c r="AF1660" s="193" t="str">
        <f t="shared" ref="AF1660:AF1661" si="736">C1660</f>
        <v>Gorontalo - Gorontalo</v>
      </c>
      <c r="AG1660" s="194"/>
      <c r="AH1660" s="194"/>
      <c r="AI1660" s="194"/>
    </row>
    <row r="1661">
      <c r="A1661" s="391"/>
      <c r="B1661" s="655">
        <v>30.0</v>
      </c>
      <c r="C1661" s="182" t="s">
        <v>65</v>
      </c>
      <c r="D1661" s="684"/>
      <c r="E1661" s="331"/>
      <c r="F1661" s="331"/>
      <c r="G1661" s="331"/>
      <c r="H1661" s="199"/>
      <c r="I1661" s="199"/>
      <c r="J1661" s="685"/>
      <c r="K1661" s="396" t="s">
        <v>1611</v>
      </c>
      <c r="L1661" s="993">
        <f>L1662+L1671+L1676</f>
        <v>2458735845</v>
      </c>
      <c r="M1661" s="240"/>
      <c r="N1661" s="388"/>
      <c r="O1661" s="388"/>
      <c r="P1661" s="388"/>
      <c r="Q1661" s="190">
        <f t="shared" ref="Q1661:AB1661" si="735">Q1662+Q1670</f>
        <v>898016968</v>
      </c>
      <c r="R1661" s="190">
        <f t="shared" si="735"/>
        <v>898016968</v>
      </c>
      <c r="S1661" s="190">
        <f t="shared" si="735"/>
        <v>898016968</v>
      </c>
      <c r="T1661" s="190">
        <f t="shared" si="735"/>
        <v>898016968</v>
      </c>
      <c r="U1661" s="190">
        <f t="shared" si="735"/>
        <v>898016968</v>
      </c>
      <c r="V1661" s="190">
        <f t="shared" si="735"/>
        <v>898016968</v>
      </c>
      <c r="W1661" s="190">
        <f t="shared" si="735"/>
        <v>898016968</v>
      </c>
      <c r="X1661" s="190">
        <f t="shared" si="735"/>
        <v>898016968</v>
      </c>
      <c r="Y1661" s="190">
        <f t="shared" si="735"/>
        <v>898016968</v>
      </c>
      <c r="Z1661" s="190">
        <f t="shared" si="735"/>
        <v>898016968</v>
      </c>
      <c r="AA1661" s="190">
        <f t="shared" si="735"/>
        <v>898016968</v>
      </c>
      <c r="AB1661" s="190">
        <f t="shared" si="735"/>
        <v>898016968</v>
      </c>
      <c r="AC1661" s="191">
        <f t="shared" si="729"/>
        <v>10776203616</v>
      </c>
      <c r="AD1661" s="178">
        <f>AC1661-AE1661</f>
        <v>0</v>
      </c>
      <c r="AE1661" s="192">
        <f>'Proker New'!Y299</f>
        <v>10776203616</v>
      </c>
      <c r="AF1661" s="193" t="str">
        <f t="shared" si="736"/>
        <v>Sulawesi Tenggara - Kendari</v>
      </c>
      <c r="AG1661" s="194"/>
      <c r="AH1661" s="194"/>
      <c r="AI1661" s="194"/>
    </row>
    <row r="1662">
      <c r="A1662" s="391"/>
      <c r="B1662" s="195"/>
      <c r="C1662" s="196">
        <v>1.0</v>
      </c>
      <c r="D1662" s="634" t="s">
        <v>1612</v>
      </c>
      <c r="E1662" s="198" t="s">
        <v>186</v>
      </c>
      <c r="F1662" s="198" t="s">
        <v>88</v>
      </c>
      <c r="G1662" s="198" t="s">
        <v>88</v>
      </c>
      <c r="H1662" s="198" t="s">
        <v>218</v>
      </c>
      <c r="I1662" s="198" t="s">
        <v>253</v>
      </c>
      <c r="J1662" s="198" t="s">
        <v>254</v>
      </c>
      <c r="K1662" s="937" t="s">
        <v>1613</v>
      </c>
      <c r="L1662" s="540">
        <v>2.028194477E9</v>
      </c>
      <c r="M1662" s="201" t="s">
        <v>1614</v>
      </c>
      <c r="N1662" s="541"/>
      <c r="O1662" s="541">
        <v>45658.0</v>
      </c>
      <c r="P1662" s="541">
        <v>45747.0</v>
      </c>
      <c r="Q1662" s="204">
        <v>6.84538922E8</v>
      </c>
      <c r="R1662" s="204">
        <v>6.84538922E8</v>
      </c>
      <c r="S1662" s="204">
        <v>6.84538922E8</v>
      </c>
      <c r="T1662" s="204">
        <v>6.84538922E8</v>
      </c>
      <c r="U1662" s="204">
        <v>6.84538922E8</v>
      </c>
      <c r="V1662" s="204">
        <v>6.84538922E8</v>
      </c>
      <c r="W1662" s="204">
        <v>6.84538922E8</v>
      </c>
      <c r="X1662" s="204">
        <v>6.84538922E8</v>
      </c>
      <c r="Y1662" s="204">
        <v>6.84538922E8</v>
      </c>
      <c r="Z1662" s="204">
        <v>6.84538922E8</v>
      </c>
      <c r="AA1662" s="204">
        <v>6.84538922E8</v>
      </c>
      <c r="AB1662" s="204">
        <v>6.84538922E8</v>
      </c>
      <c r="AC1662" s="205">
        <v>8.214467064E9</v>
      </c>
      <c r="AD1662" s="178">
        <f>SUM(Q1662:AB1662)-AC1662</f>
        <v>0</v>
      </c>
      <c r="AE1662" s="192"/>
      <c r="AF1662" s="194"/>
      <c r="AG1662" s="194"/>
      <c r="AH1662" s="194"/>
      <c r="AI1662" s="194"/>
    </row>
    <row r="1663" hidden="1">
      <c r="A1663" s="126"/>
      <c r="B1663" s="195"/>
      <c r="C1663" s="206"/>
      <c r="D1663" s="215"/>
      <c r="E1663" s="260"/>
      <c r="F1663" s="207"/>
      <c r="G1663" s="260"/>
      <c r="H1663" s="206"/>
      <c r="I1663" s="206"/>
      <c r="J1663" s="206"/>
      <c r="K1663" s="206" t="s">
        <v>1613</v>
      </c>
      <c r="L1663" s="277"/>
      <c r="M1663" s="209"/>
      <c r="N1663" s="367"/>
      <c r="O1663" s="367"/>
      <c r="P1663" s="367">
        <f>P1662</f>
        <v>45747</v>
      </c>
      <c r="Q1663" s="249">
        <v>6.84538922E8</v>
      </c>
      <c r="R1663" s="249">
        <v>6.84538922E8</v>
      </c>
      <c r="S1663" s="249">
        <v>6.84538922E8</v>
      </c>
      <c r="T1663" s="212"/>
      <c r="U1663" s="212"/>
      <c r="V1663" s="212"/>
      <c r="W1663" s="212"/>
      <c r="X1663" s="212"/>
      <c r="Y1663" s="212"/>
      <c r="Z1663" s="212"/>
      <c r="AA1663" s="212"/>
      <c r="AB1663" s="212"/>
      <c r="AC1663" s="213">
        <f t="shared" ref="AC1663:AC1669" si="737">SUM(Q1663:AB1663)</f>
        <v>2053616766</v>
      </c>
      <c r="AD1663" s="273"/>
      <c r="AE1663" s="241"/>
      <c r="AF1663" s="194"/>
      <c r="AG1663" s="194"/>
      <c r="AH1663" s="194"/>
      <c r="AI1663" s="194"/>
    </row>
    <row r="1664" hidden="1">
      <c r="A1664" s="126"/>
      <c r="B1664" s="195"/>
      <c r="C1664" s="206"/>
      <c r="D1664" s="215"/>
      <c r="E1664" s="787"/>
      <c r="F1664" s="215"/>
      <c r="G1664" s="787"/>
      <c r="H1664" s="242"/>
      <c r="I1664" s="242"/>
      <c r="J1664" s="206"/>
      <c r="K1664" s="206" t="s">
        <v>1613</v>
      </c>
      <c r="L1664" s="245">
        <f>2287340124</f>
        <v>2287340124</v>
      </c>
      <c r="M1664" s="209" t="s">
        <v>1615</v>
      </c>
      <c r="N1664" s="367"/>
      <c r="O1664" s="367">
        <f t="shared" ref="O1664:O1666" si="738">P1663+1</f>
        <v>45748</v>
      </c>
      <c r="P1664" s="367">
        <v>45808.0</v>
      </c>
      <c r="Q1664" s="249"/>
      <c r="R1664" s="249"/>
      <c r="S1664" s="249"/>
      <c r="T1664" s="249">
        <v>6.84538922E8</v>
      </c>
      <c r="U1664" s="249">
        <v>6.84538922E8</v>
      </c>
      <c r="V1664" s="249"/>
      <c r="W1664" s="212"/>
      <c r="X1664" s="212"/>
      <c r="Y1664" s="212"/>
      <c r="Z1664" s="212"/>
      <c r="AA1664" s="212"/>
      <c r="AB1664" s="212"/>
      <c r="AC1664" s="213">
        <f t="shared" si="737"/>
        <v>1369077844</v>
      </c>
      <c r="AD1664" s="264"/>
      <c r="AE1664" s="241"/>
      <c r="AF1664" s="194"/>
      <c r="AG1664" s="194"/>
      <c r="AH1664" s="194"/>
      <c r="AI1664" s="194"/>
    </row>
    <row r="1665" hidden="1">
      <c r="A1665" s="126"/>
      <c r="B1665" s="195"/>
      <c r="C1665" s="206"/>
      <c r="D1665" s="215"/>
      <c r="E1665" s="787"/>
      <c r="F1665" s="215"/>
      <c r="G1665" s="787"/>
      <c r="H1665" s="242"/>
      <c r="I1665" s="242"/>
      <c r="J1665" s="242"/>
      <c r="K1665" s="242" t="s">
        <v>1613</v>
      </c>
      <c r="L1665" s="245">
        <f>585685892+L1664</f>
        <v>2873026016</v>
      </c>
      <c r="M1665" s="246" t="s">
        <v>1616</v>
      </c>
      <c r="N1665" s="367"/>
      <c r="O1665" s="367">
        <f t="shared" si="738"/>
        <v>45809</v>
      </c>
      <c r="P1665" s="367">
        <v>45838.0</v>
      </c>
      <c r="Q1665" s="249"/>
      <c r="R1665" s="249"/>
      <c r="S1665" s="249"/>
      <c r="T1665" s="249"/>
      <c r="U1665" s="249"/>
      <c r="V1665" s="249">
        <v>5.85685892E8</v>
      </c>
      <c r="W1665" s="1038"/>
      <c r="X1665" s="212"/>
      <c r="Y1665" s="212"/>
      <c r="Z1665" s="212"/>
      <c r="AA1665" s="212"/>
      <c r="AB1665" s="212"/>
      <c r="AC1665" s="213">
        <f t="shared" si="737"/>
        <v>585685892</v>
      </c>
      <c r="AD1665" s="271"/>
      <c r="AE1665" s="192"/>
      <c r="AF1665" s="194"/>
      <c r="AG1665" s="194"/>
      <c r="AH1665" s="194"/>
      <c r="AI1665" s="194"/>
    </row>
    <row r="1666" hidden="1">
      <c r="A1666" s="126"/>
      <c r="B1666" s="195"/>
      <c r="C1666" s="206"/>
      <c r="D1666" s="220" t="s">
        <v>1617</v>
      </c>
      <c r="E1666" s="787"/>
      <c r="F1666" s="215"/>
      <c r="G1666" s="787"/>
      <c r="H1666" s="242"/>
      <c r="I1666" s="242"/>
      <c r="J1666" s="242"/>
      <c r="K1666" s="242"/>
      <c r="L1666" s="245">
        <f>(616354051*6)/1.11</f>
        <v>3331643519</v>
      </c>
      <c r="M1666" s="246" t="s">
        <v>1618</v>
      </c>
      <c r="N1666" s="367"/>
      <c r="O1666" s="367">
        <f t="shared" si="738"/>
        <v>45839</v>
      </c>
      <c r="P1666" s="367">
        <v>46022.0</v>
      </c>
      <c r="Q1666" s="249"/>
      <c r="R1666" s="249"/>
      <c r="S1666" s="249"/>
      <c r="T1666" s="249"/>
      <c r="U1666" s="249"/>
      <c r="V1666" s="249"/>
      <c r="W1666" s="249">
        <f>L1666/6</f>
        <v>555273919.8</v>
      </c>
      <c r="X1666" s="249">
        <f t="shared" ref="X1666:AB1666" si="739">W1666</f>
        <v>555273919.8</v>
      </c>
      <c r="Y1666" s="249">
        <f t="shared" si="739"/>
        <v>555273919.8</v>
      </c>
      <c r="Z1666" s="249">
        <f t="shared" si="739"/>
        <v>555273919.8</v>
      </c>
      <c r="AA1666" s="249">
        <f t="shared" si="739"/>
        <v>555273919.8</v>
      </c>
      <c r="AB1666" s="249">
        <f t="shared" si="739"/>
        <v>555273919.8</v>
      </c>
      <c r="AC1666" s="213">
        <f t="shared" si="737"/>
        <v>3331643519</v>
      </c>
      <c r="AD1666" s="271"/>
      <c r="AE1666" s="192"/>
      <c r="AF1666" s="194"/>
      <c r="AG1666" s="194"/>
      <c r="AH1666" s="194"/>
      <c r="AI1666" s="194"/>
    </row>
    <row r="1667" hidden="1">
      <c r="A1667" s="391"/>
      <c r="B1667" s="195"/>
      <c r="C1667" s="222"/>
      <c r="D1667" s="250" t="s">
        <v>1619</v>
      </c>
      <c r="E1667" s="1039"/>
      <c r="F1667" s="649" t="s">
        <v>88</v>
      </c>
      <c r="G1667" s="1039" t="s">
        <v>1620</v>
      </c>
      <c r="H1667" s="196"/>
      <c r="I1667" s="196" t="s">
        <v>1621</v>
      </c>
      <c r="J1667" s="222"/>
      <c r="K1667" s="222" t="s">
        <v>1613</v>
      </c>
      <c r="L1667" s="346"/>
      <c r="M1667" s="255"/>
      <c r="N1667" s="365"/>
      <c r="O1667" s="365"/>
      <c r="P1667" s="365"/>
      <c r="Q1667" s="228">
        <v>6.84538922E8</v>
      </c>
      <c r="R1667" s="228">
        <v>6.84538922E8</v>
      </c>
      <c r="S1667" s="228">
        <v>6.84538922E8</v>
      </c>
      <c r="T1667" s="228">
        <v>9.35210472E8</v>
      </c>
      <c r="U1667" s="228">
        <v>6.76064826E8</v>
      </c>
      <c r="V1667" s="275">
        <v>5.85685892E8</v>
      </c>
      <c r="W1667" s="230"/>
      <c r="X1667" s="230"/>
      <c r="Y1667" s="230"/>
      <c r="Z1667" s="230"/>
      <c r="AA1667" s="230"/>
      <c r="AB1667" s="230"/>
      <c r="AC1667" s="231">
        <f t="shared" si="737"/>
        <v>4250577956</v>
      </c>
      <c r="AD1667" s="273"/>
      <c r="AE1667" s="192"/>
      <c r="AF1667" s="194"/>
      <c r="AG1667" s="194"/>
      <c r="AH1667" s="194"/>
      <c r="AI1667" s="194"/>
    </row>
    <row r="1668" hidden="1">
      <c r="A1668" s="391"/>
      <c r="B1668" s="195"/>
      <c r="C1668" s="196"/>
      <c r="D1668" s="286" t="s">
        <v>194</v>
      </c>
      <c r="E1668" s="233"/>
      <c r="F1668" s="233"/>
      <c r="G1668" s="233"/>
      <c r="H1668" s="234"/>
      <c r="I1668" s="234"/>
      <c r="J1668" s="222"/>
      <c r="K1668" s="222" t="s">
        <v>1613</v>
      </c>
      <c r="L1668" s="225"/>
      <c r="M1668" s="236"/>
      <c r="N1668" s="285"/>
      <c r="O1668" s="285"/>
      <c r="P1668" s="285"/>
      <c r="Q1668" s="228">
        <v>6.84538922E8</v>
      </c>
      <c r="R1668" s="228">
        <v>6.84538922E8</v>
      </c>
      <c r="S1668" s="228">
        <v>6.84538922E8</v>
      </c>
      <c r="T1668" s="228">
        <v>9.35210472E8</v>
      </c>
      <c r="U1668" s="228">
        <v>6.76064826E8</v>
      </c>
      <c r="V1668" s="238">
        <v>5.85685892E8</v>
      </c>
      <c r="W1668" s="238"/>
      <c r="X1668" s="238"/>
      <c r="Y1668" s="238"/>
      <c r="Z1668" s="238"/>
      <c r="AA1668" s="238"/>
      <c r="AB1668" s="238"/>
      <c r="AC1668" s="378">
        <f t="shared" si="737"/>
        <v>4250577956</v>
      </c>
      <c r="AD1668" s="214"/>
      <c r="AE1668" s="192"/>
      <c r="AF1668" s="194"/>
      <c r="AG1668" s="194"/>
      <c r="AH1668" s="194"/>
      <c r="AI1668" s="194"/>
    </row>
    <row r="1669" hidden="1">
      <c r="A1669" s="391"/>
      <c r="B1669" s="195"/>
      <c r="C1669" s="196"/>
      <c r="D1669" s="286" t="s">
        <v>1622</v>
      </c>
      <c r="E1669" s="233"/>
      <c r="F1669" s="233"/>
      <c r="G1669" s="233"/>
      <c r="H1669" s="234"/>
      <c r="I1669" s="234"/>
      <c r="J1669" s="222"/>
      <c r="K1669" s="222" t="s">
        <v>1613</v>
      </c>
      <c r="L1669" s="225"/>
      <c r="M1669" s="236"/>
      <c r="N1669" s="285"/>
      <c r="O1669" s="285"/>
      <c r="P1669" s="285"/>
      <c r="Q1669" s="228">
        <v>6.84538922E8</v>
      </c>
      <c r="R1669" s="228">
        <v>6.84538922E8</v>
      </c>
      <c r="S1669" s="228">
        <v>6.84538922E8</v>
      </c>
      <c r="T1669" s="228">
        <v>9.35210472E8</v>
      </c>
      <c r="U1669" s="228">
        <v>6.76064826E8</v>
      </c>
      <c r="V1669" s="238"/>
      <c r="W1669" s="238"/>
      <c r="X1669" s="238"/>
      <c r="Y1669" s="238"/>
      <c r="Z1669" s="238"/>
      <c r="AA1669" s="238"/>
      <c r="AB1669" s="238"/>
      <c r="AC1669" s="378">
        <f t="shared" si="737"/>
        <v>3664892064</v>
      </c>
      <c r="AD1669" s="214"/>
      <c r="AE1669" s="192"/>
      <c r="AF1669" s="194"/>
      <c r="AG1669" s="194"/>
      <c r="AH1669" s="194"/>
      <c r="AI1669" s="194"/>
    </row>
    <row r="1670">
      <c r="A1670" s="391"/>
      <c r="B1670" s="195"/>
      <c r="C1670" s="196">
        <v>2.0</v>
      </c>
      <c r="D1670" s="1040" t="s">
        <v>1623</v>
      </c>
      <c r="E1670" s="198" t="s">
        <v>186</v>
      </c>
      <c r="F1670" s="198" t="s">
        <v>88</v>
      </c>
      <c r="G1670" s="198" t="s">
        <v>88</v>
      </c>
      <c r="H1670" s="198" t="s">
        <v>218</v>
      </c>
      <c r="I1670" s="198" t="s">
        <v>253</v>
      </c>
      <c r="J1670" s="198" t="s">
        <v>254</v>
      </c>
      <c r="K1670" s="396" t="s">
        <v>1624</v>
      </c>
      <c r="L1670" s="895"/>
      <c r="M1670" s="240"/>
      <c r="N1670" s="388"/>
      <c r="O1670" s="388"/>
      <c r="P1670" s="388"/>
      <c r="Q1670" s="204">
        <v>2.13478046E8</v>
      </c>
      <c r="R1670" s="204">
        <v>2.13478046E8</v>
      </c>
      <c r="S1670" s="204">
        <v>2.13478046E8</v>
      </c>
      <c r="T1670" s="204">
        <v>2.13478046E8</v>
      </c>
      <c r="U1670" s="204">
        <v>2.13478046E8</v>
      </c>
      <c r="V1670" s="204">
        <v>2.13478046E8</v>
      </c>
      <c r="W1670" s="204">
        <v>2.13478046E8</v>
      </c>
      <c r="X1670" s="204">
        <v>2.13478046E8</v>
      </c>
      <c r="Y1670" s="204">
        <v>2.13478046E8</v>
      </c>
      <c r="Z1670" s="204">
        <v>2.13478046E8</v>
      </c>
      <c r="AA1670" s="204">
        <v>2.13478046E8</v>
      </c>
      <c r="AB1670" s="204">
        <v>2.13478046E8</v>
      </c>
      <c r="AC1670" s="205">
        <v>2.561736552E9</v>
      </c>
      <c r="AD1670" s="178">
        <f>SUM(Q1670:AB1670)-AC1670</f>
        <v>0</v>
      </c>
      <c r="AE1670" s="241"/>
      <c r="AF1670" s="194"/>
      <c r="AG1670" s="194"/>
      <c r="AH1670" s="194"/>
      <c r="AI1670" s="194"/>
    </row>
    <row r="1671" hidden="1">
      <c r="A1671" s="126"/>
      <c r="B1671" s="195"/>
      <c r="C1671" s="206"/>
      <c r="D1671" s="999" t="s">
        <v>1625</v>
      </c>
      <c r="E1671" s="260"/>
      <c r="F1671" s="207"/>
      <c r="G1671" s="260"/>
      <c r="H1671" s="206"/>
      <c r="I1671" s="206"/>
      <c r="J1671" s="242"/>
      <c r="K1671" s="242" t="s">
        <v>1624</v>
      </c>
      <c r="L1671" s="245">
        <v>4.30541368E8</v>
      </c>
      <c r="M1671" s="209" t="s">
        <v>1626</v>
      </c>
      <c r="N1671" s="367"/>
      <c r="O1671" s="367">
        <v>45658.0</v>
      </c>
      <c r="P1671" s="367">
        <v>45716.0</v>
      </c>
      <c r="Q1671" s="249">
        <v>2.15270684E8</v>
      </c>
      <c r="R1671" s="249">
        <v>2.15270684E8</v>
      </c>
      <c r="S1671" s="212"/>
      <c r="T1671" s="212"/>
      <c r="U1671" s="212"/>
      <c r="V1671" s="212"/>
      <c r="W1671" s="212"/>
      <c r="X1671" s="212"/>
      <c r="Y1671" s="212"/>
      <c r="Z1671" s="212"/>
      <c r="AA1671" s="212"/>
      <c r="AB1671" s="212"/>
      <c r="AC1671" s="213">
        <f t="shared" ref="AC1671:AC1685" si="740">SUM(Q1671:AB1671)</f>
        <v>430541368</v>
      </c>
      <c r="AD1671" s="420"/>
      <c r="AE1671" s="241"/>
      <c r="AF1671" s="194"/>
      <c r="AG1671" s="194"/>
      <c r="AH1671" s="194"/>
      <c r="AI1671" s="194"/>
    </row>
    <row r="1672" hidden="1">
      <c r="A1672" s="391"/>
      <c r="B1672" s="195"/>
      <c r="C1672" s="222"/>
      <c r="D1672" s="250" t="s">
        <v>1627</v>
      </c>
      <c r="E1672" s="233"/>
      <c r="F1672" s="224"/>
      <c r="G1672" s="233"/>
      <c r="H1672" s="222"/>
      <c r="I1672" s="222"/>
      <c r="J1672" s="196"/>
      <c r="K1672" s="196" t="s">
        <v>1624</v>
      </c>
      <c r="L1672" s="225"/>
      <c r="M1672" s="236"/>
      <c r="N1672" s="285"/>
      <c r="O1672" s="285"/>
      <c r="P1672" s="285"/>
      <c r="Q1672" s="230">
        <v>2.15270686E8</v>
      </c>
      <c r="R1672" s="230">
        <v>2.15270686E8</v>
      </c>
      <c r="S1672" s="230"/>
      <c r="T1672" s="230"/>
      <c r="U1672" s="230"/>
      <c r="V1672" s="230"/>
      <c r="W1672" s="230"/>
      <c r="X1672" s="230"/>
      <c r="Y1672" s="230"/>
      <c r="Z1672" s="230"/>
      <c r="AA1672" s="230"/>
      <c r="AB1672" s="230"/>
      <c r="AC1672" s="231">
        <f t="shared" si="740"/>
        <v>430541372</v>
      </c>
      <c r="AD1672" s="420"/>
      <c r="AE1672" s="430"/>
      <c r="AF1672" s="431"/>
      <c r="AG1672" s="431"/>
      <c r="AH1672" s="431"/>
      <c r="AI1672" s="431"/>
    </row>
    <row r="1673" hidden="1">
      <c r="A1673" s="391"/>
      <c r="B1673" s="421"/>
      <c r="C1673" s="433"/>
      <c r="D1673" s="286" t="s">
        <v>194</v>
      </c>
      <c r="E1673" s="527"/>
      <c r="F1673" s="527"/>
      <c r="G1673" s="527"/>
      <c r="H1673" s="510"/>
      <c r="I1673" s="510"/>
      <c r="J1673" s="1024"/>
      <c r="K1673" s="196" t="s">
        <v>1624</v>
      </c>
      <c r="L1673" s="346"/>
      <c r="M1673" s="513"/>
      <c r="N1673" s="514"/>
      <c r="O1673" s="514"/>
      <c r="P1673" s="514"/>
      <c r="Q1673" s="230">
        <v>2.15270686E8</v>
      </c>
      <c r="R1673" s="230">
        <v>2.15270686E8</v>
      </c>
      <c r="S1673" s="452"/>
      <c r="T1673" s="452"/>
      <c r="U1673" s="452"/>
      <c r="V1673" s="452"/>
      <c r="W1673" s="452"/>
      <c r="X1673" s="452"/>
      <c r="Y1673" s="452"/>
      <c r="Z1673" s="452"/>
      <c r="AA1673" s="452"/>
      <c r="AB1673" s="452"/>
      <c r="AC1673" s="378">
        <f t="shared" si="740"/>
        <v>430541372</v>
      </c>
      <c r="AD1673" s="420"/>
      <c r="AE1673" s="430"/>
      <c r="AF1673" s="431"/>
      <c r="AG1673" s="431"/>
      <c r="AH1673" s="431"/>
      <c r="AI1673" s="431"/>
    </row>
    <row r="1674" hidden="1">
      <c r="A1674" s="391"/>
      <c r="B1674" s="421"/>
      <c r="C1674" s="433"/>
      <c r="D1674" s="286" t="s">
        <v>1628</v>
      </c>
      <c r="E1674" s="527"/>
      <c r="F1674" s="527"/>
      <c r="G1674" s="527"/>
      <c r="H1674" s="510"/>
      <c r="I1674" s="510"/>
      <c r="J1674" s="1024"/>
      <c r="K1674" s="196" t="s">
        <v>1624</v>
      </c>
      <c r="L1674" s="346"/>
      <c r="M1674" s="513"/>
      <c r="N1674" s="514"/>
      <c r="O1674" s="514"/>
      <c r="P1674" s="514"/>
      <c r="Q1674" s="230">
        <v>2.15270686E8</v>
      </c>
      <c r="R1674" s="230">
        <v>2.15270686E8</v>
      </c>
      <c r="S1674" s="452"/>
      <c r="T1674" s="452"/>
      <c r="U1674" s="452"/>
      <c r="V1674" s="452"/>
      <c r="W1674" s="452"/>
      <c r="X1674" s="452"/>
      <c r="Y1674" s="452"/>
      <c r="Z1674" s="452"/>
      <c r="AA1674" s="452"/>
      <c r="AB1674" s="452"/>
      <c r="AC1674" s="378">
        <f t="shared" si="740"/>
        <v>430541372</v>
      </c>
      <c r="AD1674" s="420"/>
      <c r="AE1674" s="430"/>
      <c r="AF1674" s="431"/>
      <c r="AG1674" s="431"/>
      <c r="AH1674" s="431"/>
      <c r="AI1674" s="431"/>
    </row>
    <row r="1675">
      <c r="A1675" s="391"/>
      <c r="B1675" s="432"/>
      <c r="C1675" s="433">
        <v>3.0</v>
      </c>
      <c r="D1675" s="1041" t="s">
        <v>1629</v>
      </c>
      <c r="E1675" s="198" t="s">
        <v>186</v>
      </c>
      <c r="F1675" s="198" t="s">
        <v>135</v>
      </c>
      <c r="G1675" s="198" t="s">
        <v>135</v>
      </c>
      <c r="H1675" s="198" t="s">
        <v>203</v>
      </c>
      <c r="I1675" s="198" t="s">
        <v>253</v>
      </c>
      <c r="J1675" s="198" t="s">
        <v>254</v>
      </c>
      <c r="K1675" s="529" t="s">
        <v>1630</v>
      </c>
      <c r="L1675" s="436">
        <f>126926971*3</f>
        <v>380780913</v>
      </c>
      <c r="M1675" s="531" t="s">
        <v>1631</v>
      </c>
      <c r="N1675" s="532"/>
      <c r="O1675" s="532">
        <v>45658.0</v>
      </c>
      <c r="P1675" s="532">
        <v>45747.0</v>
      </c>
      <c r="Q1675" s="439"/>
      <c r="R1675" s="439"/>
      <c r="S1675" s="439"/>
      <c r="T1675" s="439"/>
      <c r="U1675" s="439"/>
      <c r="V1675" s="439"/>
      <c r="W1675" s="439"/>
      <c r="X1675" s="439"/>
      <c r="Y1675" s="439"/>
      <c r="Z1675" s="439"/>
      <c r="AA1675" s="439"/>
      <c r="AB1675" s="439"/>
      <c r="AC1675" s="440">
        <f t="shared" si="740"/>
        <v>0</v>
      </c>
      <c r="AD1675" s="420"/>
      <c r="AE1675" s="849"/>
      <c r="AF1675" s="420"/>
      <c r="AG1675" s="420"/>
      <c r="AH1675" s="420"/>
      <c r="AI1675" s="420"/>
    </row>
    <row r="1676" hidden="1">
      <c r="A1676" s="126"/>
      <c r="B1676" s="432"/>
      <c r="C1676" s="816"/>
      <c r="D1676" s="1042"/>
      <c r="E1676" s="758"/>
      <c r="F1676" s="758"/>
      <c r="G1676" s="758"/>
      <c r="H1676" s="759"/>
      <c r="I1676" s="759"/>
      <c r="J1676" s="760"/>
      <c r="K1676" s="761" t="s">
        <v>1630</v>
      </c>
      <c r="L1676" s="762"/>
      <c r="M1676" s="825"/>
      <c r="N1676" s="764"/>
      <c r="O1676" s="764"/>
      <c r="P1676" s="764"/>
      <c r="Q1676" s="447">
        <f>L1675/3</f>
        <v>126926971</v>
      </c>
      <c r="R1676" s="447">
        <v>1.26926971E8</v>
      </c>
      <c r="S1676" s="447">
        <f>L1675/3</f>
        <v>126926971</v>
      </c>
      <c r="T1676" s="447"/>
      <c r="U1676" s="447"/>
      <c r="V1676" s="447"/>
      <c r="W1676" s="447"/>
      <c r="X1676" s="447"/>
      <c r="Y1676" s="447"/>
      <c r="Z1676" s="447"/>
      <c r="AA1676" s="447"/>
      <c r="AB1676" s="447"/>
      <c r="AC1676" s="449">
        <f t="shared" si="740"/>
        <v>380780913</v>
      </c>
      <c r="AD1676" s="420"/>
      <c r="AE1676" s="849"/>
      <c r="AF1676" s="420"/>
      <c r="AG1676" s="420"/>
      <c r="AH1676" s="420"/>
      <c r="AI1676" s="420"/>
    </row>
    <row r="1677" hidden="1">
      <c r="A1677" s="126"/>
      <c r="B1677" s="432"/>
      <c r="C1677" s="206"/>
      <c r="D1677" s="999" t="s">
        <v>1632</v>
      </c>
      <c r="E1677" s="534"/>
      <c r="F1677" s="534"/>
      <c r="G1677" s="534"/>
      <c r="H1677" s="523"/>
      <c r="I1677" s="523"/>
      <c r="J1677" s="596"/>
      <c r="K1677" s="596" t="s">
        <v>1630</v>
      </c>
      <c r="L1677" s="463"/>
      <c r="M1677" s="485"/>
      <c r="N1677" s="464"/>
      <c r="O1677" s="464"/>
      <c r="P1677" s="464"/>
      <c r="Q1677" s="447"/>
      <c r="R1677" s="447"/>
      <c r="S1677" s="447"/>
      <c r="T1677" s="447"/>
      <c r="U1677" s="447"/>
      <c r="V1677" s="447"/>
      <c r="W1677" s="447"/>
      <c r="X1677" s="447"/>
      <c r="Y1677" s="447"/>
      <c r="Z1677" s="447"/>
      <c r="AA1677" s="447"/>
      <c r="AB1677" s="447"/>
      <c r="AC1677" s="449">
        <f t="shared" si="740"/>
        <v>0</v>
      </c>
      <c r="AD1677" s="420"/>
      <c r="AE1677" s="692"/>
      <c r="AF1677" s="273"/>
      <c r="AG1677" s="273"/>
      <c r="AH1677" s="273"/>
      <c r="AI1677" s="273"/>
    </row>
    <row r="1678" hidden="1">
      <c r="A1678" s="391"/>
      <c r="B1678" s="432"/>
      <c r="C1678" s="222"/>
      <c r="D1678" s="250" t="s">
        <v>1633</v>
      </c>
      <c r="E1678" s="470"/>
      <c r="F1678" s="470"/>
      <c r="G1678" s="470"/>
      <c r="H1678" s="456"/>
      <c r="I1678" s="456"/>
      <c r="J1678" s="471"/>
      <c r="K1678" s="719" t="s">
        <v>1630</v>
      </c>
      <c r="L1678" s="536"/>
      <c r="M1678" s="926"/>
      <c r="N1678" s="537"/>
      <c r="O1678" s="537"/>
      <c r="P1678" s="537"/>
      <c r="Q1678" s="452">
        <v>1.26926971E8</v>
      </c>
      <c r="R1678" s="452">
        <v>1.26926971E8</v>
      </c>
      <c r="S1678" s="452">
        <v>1.26926971E8</v>
      </c>
      <c r="T1678" s="452"/>
      <c r="U1678" s="452"/>
      <c r="V1678" s="452"/>
      <c r="W1678" s="452"/>
      <c r="X1678" s="452"/>
      <c r="Y1678" s="452"/>
      <c r="Z1678" s="452"/>
      <c r="AA1678" s="452"/>
      <c r="AB1678" s="452"/>
      <c r="AC1678" s="538">
        <f t="shared" si="740"/>
        <v>380780913</v>
      </c>
      <c r="AD1678" s="284"/>
      <c r="AE1678" s="692"/>
      <c r="AF1678" s="273"/>
      <c r="AG1678" s="273"/>
      <c r="AH1678" s="273"/>
      <c r="AI1678" s="273"/>
    </row>
    <row r="1679" hidden="1">
      <c r="A1679" s="391"/>
      <c r="B1679" s="432"/>
      <c r="C1679" s="1043"/>
      <c r="D1679" s="286" t="s">
        <v>194</v>
      </c>
      <c r="E1679" s="233"/>
      <c r="F1679" s="233"/>
      <c r="G1679" s="233"/>
      <c r="H1679" s="234"/>
      <c r="I1679" s="234"/>
      <c r="J1679" s="471"/>
      <c r="K1679" s="471" t="s">
        <v>1630</v>
      </c>
      <c r="L1679" s="1044"/>
      <c r="M1679" s="255"/>
      <c r="N1679" s="365"/>
      <c r="O1679" s="365"/>
      <c r="P1679" s="365"/>
      <c r="Q1679" s="452">
        <v>1.26926971E8</v>
      </c>
      <c r="R1679" s="452">
        <v>1.26926971E8</v>
      </c>
      <c r="S1679" s="452">
        <v>1.26926971E8</v>
      </c>
      <c r="T1679" s="474"/>
      <c r="U1679" s="474"/>
      <c r="V1679" s="474"/>
      <c r="W1679" s="474"/>
      <c r="X1679" s="474"/>
      <c r="Y1679" s="474"/>
      <c r="Z1679" s="474"/>
      <c r="AA1679" s="474"/>
      <c r="AB1679" s="474"/>
      <c r="AC1679" s="378">
        <f t="shared" si="740"/>
        <v>380780913</v>
      </c>
      <c r="AD1679" s="284"/>
      <c r="AE1679" s="692"/>
      <c r="AF1679" s="273"/>
      <c r="AG1679" s="273"/>
      <c r="AH1679" s="273"/>
      <c r="AI1679" s="273"/>
    </row>
    <row r="1680" hidden="1">
      <c r="A1680" s="391"/>
      <c r="B1680" s="432"/>
      <c r="C1680" s="1043"/>
      <c r="D1680" s="286" t="s">
        <v>1634</v>
      </c>
      <c r="E1680" s="233"/>
      <c r="F1680" s="233"/>
      <c r="G1680" s="233"/>
      <c r="H1680" s="234"/>
      <c r="I1680" s="234"/>
      <c r="J1680" s="471"/>
      <c r="K1680" s="471" t="s">
        <v>1630</v>
      </c>
      <c r="L1680" s="1044"/>
      <c r="M1680" s="255"/>
      <c r="N1680" s="365"/>
      <c r="O1680" s="365"/>
      <c r="P1680" s="365"/>
      <c r="Q1680" s="452">
        <v>1.26926971E8</v>
      </c>
      <c r="R1680" s="452">
        <v>1.26926971E8</v>
      </c>
      <c r="S1680" s="452">
        <v>1.26926971E8</v>
      </c>
      <c r="T1680" s="474"/>
      <c r="U1680" s="474"/>
      <c r="V1680" s="474"/>
      <c r="W1680" s="474"/>
      <c r="X1680" s="474"/>
      <c r="Y1680" s="474"/>
      <c r="Z1680" s="474"/>
      <c r="AA1680" s="474"/>
      <c r="AB1680" s="474"/>
      <c r="AC1680" s="378">
        <f t="shared" si="740"/>
        <v>380780913</v>
      </c>
      <c r="AD1680" s="284"/>
      <c r="AE1680" s="692"/>
      <c r="AF1680" s="273"/>
      <c r="AG1680" s="273"/>
      <c r="AH1680" s="273"/>
      <c r="AI1680" s="273"/>
    </row>
    <row r="1681">
      <c r="A1681" s="391"/>
      <c r="B1681" s="432"/>
      <c r="C1681" s="1043">
        <v>4.0</v>
      </c>
      <c r="D1681" s="1045" t="s">
        <v>1635</v>
      </c>
      <c r="E1681" s="198" t="s">
        <v>186</v>
      </c>
      <c r="F1681" s="198" t="s">
        <v>88</v>
      </c>
      <c r="G1681" s="198" t="s">
        <v>88</v>
      </c>
      <c r="H1681" s="198" t="s">
        <v>218</v>
      </c>
      <c r="I1681" s="198" t="s">
        <v>253</v>
      </c>
      <c r="J1681" s="198" t="s">
        <v>254</v>
      </c>
      <c r="K1681" s="477" t="s">
        <v>1613</v>
      </c>
      <c r="L1681" s="478">
        <v>7.9804776E7</v>
      </c>
      <c r="M1681" s="479" t="s">
        <v>1636</v>
      </c>
      <c r="N1681" s="438"/>
      <c r="O1681" s="438">
        <v>45839.0</v>
      </c>
      <c r="P1681" s="438">
        <v>45869.0</v>
      </c>
      <c r="Q1681" s="480"/>
      <c r="R1681" s="480"/>
      <c r="S1681" s="480"/>
      <c r="T1681" s="480"/>
      <c r="U1681" s="480"/>
      <c r="V1681" s="480"/>
      <c r="W1681" s="480"/>
      <c r="X1681" s="480"/>
      <c r="Y1681" s="480"/>
      <c r="Z1681" s="480"/>
      <c r="AA1681" s="480"/>
      <c r="AB1681" s="480"/>
      <c r="AC1681" s="440">
        <f t="shared" si="740"/>
        <v>0</v>
      </c>
      <c r="AD1681" s="284"/>
      <c r="AE1681" s="692"/>
      <c r="AF1681" s="273"/>
      <c r="AG1681" s="273"/>
      <c r="AH1681" s="273"/>
      <c r="AI1681" s="273"/>
    </row>
    <row r="1682" hidden="1">
      <c r="A1682" s="126"/>
      <c r="B1682" s="432"/>
      <c r="C1682" s="441"/>
      <c r="D1682" s="533" t="s">
        <v>1637</v>
      </c>
      <c r="E1682" s="260"/>
      <c r="F1682" s="260"/>
      <c r="G1682" s="260"/>
      <c r="H1682" s="221"/>
      <c r="I1682" s="221"/>
      <c r="J1682" s="497"/>
      <c r="K1682" s="596" t="s">
        <v>1613</v>
      </c>
      <c r="L1682" s="597"/>
      <c r="M1682" s="485"/>
      <c r="N1682" s="464"/>
      <c r="O1682" s="464"/>
      <c r="P1682" s="464"/>
      <c r="Q1682" s="482"/>
      <c r="R1682" s="482"/>
      <c r="S1682" s="482"/>
      <c r="T1682" s="482"/>
      <c r="U1682" s="482"/>
      <c r="V1682" s="482"/>
      <c r="W1682" s="1046">
        <f>L1681</f>
        <v>79804776</v>
      </c>
      <c r="X1682" s="482"/>
      <c r="Y1682" s="482"/>
      <c r="Z1682" s="482"/>
      <c r="AA1682" s="482"/>
      <c r="AB1682" s="482"/>
      <c r="AC1682" s="449">
        <f t="shared" si="740"/>
        <v>79804776</v>
      </c>
      <c r="AD1682" s="284"/>
      <c r="AE1682" s="692"/>
      <c r="AF1682" s="273"/>
      <c r="AG1682" s="273"/>
      <c r="AH1682" s="273"/>
      <c r="AI1682" s="273"/>
    </row>
    <row r="1683" hidden="1">
      <c r="A1683" s="391"/>
      <c r="B1683" s="432"/>
      <c r="C1683" s="182"/>
      <c r="D1683" s="250" t="s">
        <v>1638</v>
      </c>
      <c r="E1683" s="233"/>
      <c r="F1683" s="233"/>
      <c r="G1683" s="233"/>
      <c r="H1683" s="234"/>
      <c r="I1683" s="234"/>
      <c r="J1683" s="377"/>
      <c r="K1683" s="719" t="s">
        <v>1613</v>
      </c>
      <c r="L1683" s="287"/>
      <c r="M1683" s="255"/>
      <c r="N1683" s="285"/>
      <c r="O1683" s="285"/>
      <c r="P1683" s="285"/>
      <c r="Q1683" s="474"/>
      <c r="R1683" s="474"/>
      <c r="S1683" s="474"/>
      <c r="T1683" s="474"/>
      <c r="U1683" s="474"/>
      <c r="V1683" s="474"/>
      <c r="W1683" s="474"/>
      <c r="X1683" s="474"/>
      <c r="Y1683" s="474"/>
      <c r="Z1683" s="474"/>
      <c r="AA1683" s="474"/>
      <c r="AB1683" s="474"/>
      <c r="AC1683" s="231">
        <f t="shared" si="740"/>
        <v>0</v>
      </c>
      <c r="AD1683" s="284"/>
      <c r="AE1683" s="692"/>
      <c r="AF1683" s="273"/>
      <c r="AG1683" s="273"/>
      <c r="AH1683" s="273"/>
      <c r="AI1683" s="273"/>
    </row>
    <row r="1684" hidden="1">
      <c r="A1684" s="391"/>
      <c r="B1684" s="432"/>
      <c r="C1684" s="182"/>
      <c r="D1684" s="286" t="s">
        <v>194</v>
      </c>
      <c r="E1684" s="233"/>
      <c r="F1684" s="233"/>
      <c r="G1684" s="233"/>
      <c r="H1684" s="234"/>
      <c r="I1684" s="234"/>
      <c r="J1684" s="377"/>
      <c r="K1684" s="377" t="s">
        <v>1613</v>
      </c>
      <c r="L1684" s="287"/>
      <c r="M1684" s="236"/>
      <c r="N1684" s="285"/>
      <c r="O1684" s="285"/>
      <c r="P1684" s="285"/>
      <c r="Q1684" s="288"/>
      <c r="R1684" s="288"/>
      <c r="S1684" s="288"/>
      <c r="T1684" s="288"/>
      <c r="U1684" s="288"/>
      <c r="V1684" s="288"/>
      <c r="W1684" s="288"/>
      <c r="X1684" s="288"/>
      <c r="Y1684" s="288"/>
      <c r="Z1684" s="288"/>
      <c r="AA1684" s="288"/>
      <c r="AB1684" s="288"/>
      <c r="AC1684" s="378">
        <f t="shared" si="740"/>
        <v>0</v>
      </c>
      <c r="AD1684" s="284"/>
      <c r="AE1684" s="692"/>
      <c r="AF1684" s="273"/>
      <c r="AG1684" s="273"/>
      <c r="AH1684" s="273"/>
      <c r="AI1684" s="273"/>
    </row>
    <row r="1685" hidden="1">
      <c r="A1685" s="391"/>
      <c r="B1685" s="432"/>
      <c r="C1685" s="182"/>
      <c r="D1685" s="286" t="s">
        <v>1639</v>
      </c>
      <c r="E1685" s="233"/>
      <c r="F1685" s="233"/>
      <c r="G1685" s="233"/>
      <c r="H1685" s="234"/>
      <c r="I1685" s="234"/>
      <c r="J1685" s="377"/>
      <c r="K1685" s="377" t="s">
        <v>1613</v>
      </c>
      <c r="L1685" s="287"/>
      <c r="M1685" s="236"/>
      <c r="N1685" s="285"/>
      <c r="O1685" s="285"/>
      <c r="P1685" s="285"/>
      <c r="Q1685" s="288"/>
      <c r="R1685" s="288"/>
      <c r="S1685" s="288"/>
      <c r="T1685" s="288"/>
      <c r="U1685" s="288"/>
      <c r="V1685" s="288"/>
      <c r="W1685" s="288"/>
      <c r="X1685" s="288"/>
      <c r="Y1685" s="288"/>
      <c r="Z1685" s="288"/>
      <c r="AA1685" s="288"/>
      <c r="AB1685" s="288"/>
      <c r="AC1685" s="378">
        <f t="shared" si="740"/>
        <v>0</v>
      </c>
      <c r="AD1685" s="284"/>
      <c r="AE1685" s="692"/>
      <c r="AF1685" s="273"/>
      <c r="AG1685" s="273"/>
      <c r="AH1685" s="273"/>
      <c r="AI1685" s="273"/>
    </row>
    <row r="1686" hidden="1">
      <c r="A1686" s="126"/>
      <c r="B1686" s="421"/>
      <c r="C1686" s="289"/>
      <c r="D1686" s="290" t="s">
        <v>1640</v>
      </c>
      <c r="E1686" s="487"/>
      <c r="F1686" s="487"/>
      <c r="G1686" s="487"/>
      <c r="H1686" s="291"/>
      <c r="I1686" s="291"/>
      <c r="J1686" s="292"/>
      <c r="K1686" s="292" t="s">
        <v>1611</v>
      </c>
      <c r="L1686" s="293"/>
      <c r="M1686" s="294"/>
      <c r="N1686" s="295"/>
      <c r="O1686" s="295"/>
      <c r="P1686" s="295"/>
      <c r="Q1686" s="296">
        <f t="shared" ref="Q1686:AC1686" si="741">Q1663+Q1664+Q1665+Q1666+Q1671</f>
        <v>899809606</v>
      </c>
      <c r="R1686" s="296">
        <f t="shared" si="741"/>
        <v>899809606</v>
      </c>
      <c r="S1686" s="296">
        <f t="shared" si="741"/>
        <v>684538922</v>
      </c>
      <c r="T1686" s="296">
        <f t="shared" si="741"/>
        <v>684538922</v>
      </c>
      <c r="U1686" s="296">
        <f t="shared" si="741"/>
        <v>684538922</v>
      </c>
      <c r="V1686" s="296">
        <f t="shared" si="741"/>
        <v>585685892</v>
      </c>
      <c r="W1686" s="296">
        <f t="shared" si="741"/>
        <v>555273919.8</v>
      </c>
      <c r="X1686" s="296">
        <f t="shared" si="741"/>
        <v>555273919.8</v>
      </c>
      <c r="Y1686" s="296">
        <f t="shared" si="741"/>
        <v>555273919.8</v>
      </c>
      <c r="Z1686" s="296">
        <f t="shared" si="741"/>
        <v>555273919.8</v>
      </c>
      <c r="AA1686" s="296">
        <f t="shared" si="741"/>
        <v>555273919.8</v>
      </c>
      <c r="AB1686" s="296">
        <f t="shared" si="741"/>
        <v>555273919.8</v>
      </c>
      <c r="AC1686" s="297">
        <f t="shared" si="741"/>
        <v>7770565389</v>
      </c>
      <c r="AD1686" s="284"/>
      <c r="AE1686" s="241"/>
      <c r="AF1686" s="194"/>
      <c r="AG1686" s="194"/>
      <c r="AH1686" s="194"/>
      <c r="AI1686" s="194"/>
    </row>
    <row r="1687" hidden="1">
      <c r="A1687" s="391"/>
      <c r="B1687" s="923"/>
      <c r="C1687" s="299"/>
      <c r="D1687" s="300" t="s">
        <v>1641</v>
      </c>
      <c r="E1687" s="488"/>
      <c r="F1687" s="488"/>
      <c r="G1687" s="488"/>
      <c r="H1687" s="301"/>
      <c r="I1687" s="301"/>
      <c r="J1687" s="302"/>
      <c r="K1687" s="303" t="s">
        <v>1611</v>
      </c>
      <c r="L1687" s="304"/>
      <c r="M1687" s="305"/>
      <c r="N1687" s="306"/>
      <c r="O1687" s="306"/>
      <c r="P1687" s="306"/>
      <c r="Q1687" s="307">
        <f t="shared" ref="Q1687:AB1687" si="742">Q1667+Q1672+Q1678+Q1683</f>
        <v>1026736579</v>
      </c>
      <c r="R1687" s="307">
        <f t="shared" si="742"/>
        <v>1026736579</v>
      </c>
      <c r="S1687" s="307">
        <f t="shared" si="742"/>
        <v>811465893</v>
      </c>
      <c r="T1687" s="307">
        <f t="shared" si="742"/>
        <v>935210472</v>
      </c>
      <c r="U1687" s="307">
        <f t="shared" si="742"/>
        <v>676064826</v>
      </c>
      <c r="V1687" s="490">
        <f t="shared" si="742"/>
        <v>585685892</v>
      </c>
      <c r="W1687" s="307">
        <f t="shared" si="742"/>
        <v>0</v>
      </c>
      <c r="X1687" s="307">
        <f t="shared" si="742"/>
        <v>0</v>
      </c>
      <c r="Y1687" s="307">
        <f t="shared" si="742"/>
        <v>0</v>
      </c>
      <c r="Z1687" s="307">
        <f t="shared" si="742"/>
        <v>0</v>
      </c>
      <c r="AA1687" s="307">
        <f t="shared" si="742"/>
        <v>0</v>
      </c>
      <c r="AB1687" s="307">
        <f t="shared" si="742"/>
        <v>0</v>
      </c>
      <c r="AC1687" s="309">
        <f t="shared" ref="AC1687:AC1690" si="744">SUM(Q1687:AB1687)</f>
        <v>5061900241</v>
      </c>
      <c r="AD1687" s="284"/>
      <c r="AE1687" s="241"/>
      <c r="AF1687" s="310">
        <f t="shared" ref="AF1687:AF1688" si="745">AC1687-AC1688</f>
        <v>0</v>
      </c>
      <c r="AG1687" s="311" t="s">
        <v>226</v>
      </c>
      <c r="AH1687" s="194"/>
      <c r="AI1687" s="194"/>
    </row>
    <row r="1688" hidden="1">
      <c r="A1688" s="391"/>
      <c r="B1688" s="923"/>
      <c r="C1688" s="312"/>
      <c r="D1688" s="313" t="s">
        <v>1642</v>
      </c>
      <c r="E1688" s="331"/>
      <c r="F1688" s="331"/>
      <c r="G1688" s="331"/>
      <c r="H1688" s="199"/>
      <c r="I1688" s="199"/>
      <c r="J1688" s="377"/>
      <c r="K1688" s="719" t="s">
        <v>1611</v>
      </c>
      <c r="L1688" s="287"/>
      <c r="M1688" s="236"/>
      <c r="N1688" s="285"/>
      <c r="O1688" s="285"/>
      <c r="P1688" s="285"/>
      <c r="Q1688" s="288">
        <f t="shared" ref="Q1688:V1688" si="743">Q1668+Q1673+Q1679+Q1684</f>
        <v>1026736579</v>
      </c>
      <c r="R1688" s="288">
        <f t="shared" si="743"/>
        <v>1026736579</v>
      </c>
      <c r="S1688" s="288">
        <f t="shared" si="743"/>
        <v>811465893</v>
      </c>
      <c r="T1688" s="288">
        <f t="shared" si="743"/>
        <v>935210472</v>
      </c>
      <c r="U1688" s="288">
        <f t="shared" si="743"/>
        <v>676064826</v>
      </c>
      <c r="V1688" s="314">
        <f t="shared" si="743"/>
        <v>585685892</v>
      </c>
      <c r="W1688" s="288"/>
      <c r="X1688" s="288"/>
      <c r="Y1688" s="288"/>
      <c r="Z1688" s="288"/>
      <c r="AA1688" s="288"/>
      <c r="AB1688" s="288"/>
      <c r="AC1688" s="378">
        <f t="shared" si="744"/>
        <v>5061900241</v>
      </c>
      <c r="AD1688" s="214"/>
      <c r="AE1688" s="241"/>
      <c r="AF1688" s="316">
        <f t="shared" si="745"/>
        <v>585685892</v>
      </c>
      <c r="AG1688" s="311" t="s">
        <v>228</v>
      </c>
      <c r="AH1688" s="194"/>
      <c r="AI1688" s="194"/>
    </row>
    <row r="1689" hidden="1">
      <c r="A1689" s="391"/>
      <c r="B1689" s="923"/>
      <c r="C1689" s="317"/>
      <c r="D1689" s="318" t="s">
        <v>1643</v>
      </c>
      <c r="E1689" s="493"/>
      <c r="F1689" s="493"/>
      <c r="G1689" s="493"/>
      <c r="H1689" s="494"/>
      <c r="I1689" s="494"/>
      <c r="J1689" s="722"/>
      <c r="K1689" s="723" t="s">
        <v>1611</v>
      </c>
      <c r="L1689" s="321"/>
      <c r="M1689" s="322"/>
      <c r="N1689" s="323"/>
      <c r="O1689" s="323"/>
      <c r="P1689" s="323"/>
      <c r="Q1689" s="324">
        <f t="shared" ref="Q1689:V1689" si="746">Q1669+Q1674+Q1680+Q1685</f>
        <v>1026736579</v>
      </c>
      <c r="R1689" s="324">
        <f t="shared" si="746"/>
        <v>1026736579</v>
      </c>
      <c r="S1689" s="324">
        <f t="shared" si="746"/>
        <v>811465893</v>
      </c>
      <c r="T1689" s="324">
        <f t="shared" si="746"/>
        <v>935210472</v>
      </c>
      <c r="U1689" s="324">
        <f t="shared" si="746"/>
        <v>676064826</v>
      </c>
      <c r="V1689" s="325">
        <f t="shared" si="746"/>
        <v>0</v>
      </c>
      <c r="W1689" s="324"/>
      <c r="X1689" s="324"/>
      <c r="Y1689" s="324"/>
      <c r="Z1689" s="324"/>
      <c r="AA1689" s="324"/>
      <c r="AB1689" s="324"/>
      <c r="AC1689" s="539">
        <f t="shared" si="744"/>
        <v>4476214349</v>
      </c>
      <c r="AD1689" s="214"/>
      <c r="AE1689" s="241"/>
      <c r="AF1689" s="328">
        <f>AC1689</f>
        <v>4476214349</v>
      </c>
      <c r="AG1689" s="311" t="s">
        <v>148</v>
      </c>
      <c r="AH1689" s="194"/>
      <c r="AI1689" s="194"/>
    </row>
    <row r="1690">
      <c r="A1690" s="391"/>
      <c r="B1690" s="924">
        <v>31.0</v>
      </c>
      <c r="C1690" s="329" t="s">
        <v>66</v>
      </c>
      <c r="D1690" s="724"/>
      <c r="E1690" s="496"/>
      <c r="F1690" s="496"/>
      <c r="G1690" s="496"/>
      <c r="H1690" s="332"/>
      <c r="I1690" s="332"/>
      <c r="J1690" s="333"/>
      <c r="K1690" s="928" t="s">
        <v>1644</v>
      </c>
      <c r="L1690" s="929">
        <f>L1691+L1696+L1701+L1706+L1711+L1716+L1721</f>
        <v>0</v>
      </c>
      <c r="M1690" s="930"/>
      <c r="N1690" s="931"/>
      <c r="O1690" s="931"/>
      <c r="P1690" s="931"/>
      <c r="Q1690" s="337">
        <f t="shared" ref="Q1690:AB1690" si="747">Q1691+Q1696+Q1701+Q1706+Q1711+Q1716+Q1721</f>
        <v>0</v>
      </c>
      <c r="R1690" s="337">
        <f t="shared" si="747"/>
        <v>0</v>
      </c>
      <c r="S1690" s="337">
        <f t="shared" si="747"/>
        <v>0</v>
      </c>
      <c r="T1690" s="337">
        <f t="shared" si="747"/>
        <v>30564606</v>
      </c>
      <c r="U1690" s="337">
        <f t="shared" si="747"/>
        <v>30564606</v>
      </c>
      <c r="V1690" s="337">
        <f t="shared" si="747"/>
        <v>89014691</v>
      </c>
      <c r="W1690" s="337">
        <f t="shared" si="747"/>
        <v>89382091</v>
      </c>
      <c r="X1690" s="337">
        <f t="shared" si="747"/>
        <v>89828691</v>
      </c>
      <c r="Y1690" s="337">
        <f t="shared" si="747"/>
        <v>93860755</v>
      </c>
      <c r="Z1690" s="337">
        <f t="shared" si="747"/>
        <v>93860755</v>
      </c>
      <c r="AA1690" s="337">
        <f t="shared" si="747"/>
        <v>94629655</v>
      </c>
      <c r="AB1690" s="337">
        <f t="shared" si="747"/>
        <v>94629655</v>
      </c>
      <c r="AC1690" s="338">
        <f t="shared" si="744"/>
        <v>706335505</v>
      </c>
      <c r="AD1690" s="178">
        <f>AC1690-AE1690</f>
        <v>0</v>
      </c>
      <c r="AE1690" s="241">
        <f>'Proker New'!Y304</f>
        <v>706335505</v>
      </c>
      <c r="AF1690" s="193" t="str">
        <f>C1690</f>
        <v>Sulawesi Selatan - Makassar</v>
      </c>
      <c r="AG1690" s="194"/>
      <c r="AH1690" s="194"/>
      <c r="AI1690" s="194"/>
    </row>
    <row r="1691">
      <c r="A1691" s="391"/>
      <c r="B1691" s="893"/>
      <c r="C1691" s="196">
        <v>1.0</v>
      </c>
      <c r="D1691" s="925" t="s">
        <v>1645</v>
      </c>
      <c r="E1691" s="198" t="s">
        <v>186</v>
      </c>
      <c r="F1691" s="198" t="s">
        <v>88</v>
      </c>
      <c r="G1691" s="198" t="s">
        <v>88</v>
      </c>
      <c r="H1691" s="198" t="s">
        <v>218</v>
      </c>
      <c r="I1691" s="198" t="s">
        <v>253</v>
      </c>
      <c r="J1691" s="198" t="s">
        <v>254</v>
      </c>
      <c r="K1691" s="606" t="s">
        <v>1644</v>
      </c>
      <c r="L1691" s="895"/>
      <c r="M1691" s="240"/>
      <c r="N1691" s="388"/>
      <c r="O1691" s="388"/>
      <c r="P1691" s="388"/>
      <c r="Q1691" s="896"/>
      <c r="R1691" s="896"/>
      <c r="S1691" s="896"/>
      <c r="T1691" s="896">
        <v>3.0564606E7</v>
      </c>
      <c r="U1691" s="896">
        <v>3.0564606E7</v>
      </c>
      <c r="V1691" s="896">
        <v>3.0564606E7</v>
      </c>
      <c r="W1691" s="896">
        <v>3.0564606E7</v>
      </c>
      <c r="X1691" s="896">
        <v>3.0564606E7</v>
      </c>
      <c r="Y1691" s="896">
        <v>3.0564606E7</v>
      </c>
      <c r="Z1691" s="896">
        <v>3.0564606E7</v>
      </c>
      <c r="AA1691" s="896">
        <v>3.0564606E7</v>
      </c>
      <c r="AB1691" s="896">
        <v>3.0564606E7</v>
      </c>
      <c r="AC1691" s="897">
        <v>2.75081454E8</v>
      </c>
      <c r="AD1691" s="273">
        <f>SUM(Q1691:AB1691)-AC1691</f>
        <v>0</v>
      </c>
      <c r="AE1691" s="192"/>
      <c r="AF1691" s="194"/>
      <c r="AG1691" s="194"/>
      <c r="AH1691" s="194"/>
      <c r="AI1691" s="194"/>
    </row>
    <row r="1692" hidden="1">
      <c r="A1692" s="126"/>
      <c r="B1692" s="893"/>
      <c r="C1692" s="206"/>
      <c r="D1692" s="207"/>
      <c r="E1692" s="260"/>
      <c r="F1692" s="207"/>
      <c r="G1692" s="260"/>
      <c r="H1692" s="206"/>
      <c r="I1692" s="206"/>
      <c r="J1692" s="206"/>
      <c r="K1692" s="206" t="s">
        <v>1644</v>
      </c>
      <c r="L1692" s="277"/>
      <c r="M1692" s="244"/>
      <c r="N1692" s="389"/>
      <c r="O1692" s="389"/>
      <c r="P1692" s="389"/>
      <c r="Q1692" s="212"/>
      <c r="R1692" s="212"/>
      <c r="S1692" s="212"/>
      <c r="T1692" s="212"/>
      <c r="U1692" s="212"/>
      <c r="V1692" s="212"/>
      <c r="W1692" s="212"/>
      <c r="X1692" s="212"/>
      <c r="Y1692" s="212"/>
      <c r="Z1692" s="212"/>
      <c r="AA1692" s="212"/>
      <c r="AB1692" s="212"/>
      <c r="AC1692" s="213">
        <f t="shared" ref="AC1692:AC1695" si="748">SUM(Q1692:AB1692)</f>
        <v>0</v>
      </c>
      <c r="AD1692" s="214"/>
      <c r="AE1692" s="241"/>
      <c r="AF1692" s="194"/>
      <c r="AG1692" s="194"/>
      <c r="AH1692" s="194"/>
      <c r="AI1692" s="194"/>
    </row>
    <row r="1693" hidden="1">
      <c r="A1693" s="391"/>
      <c r="B1693" s="893"/>
      <c r="C1693" s="222"/>
      <c r="D1693" s="250" t="s">
        <v>1646</v>
      </c>
      <c r="E1693" s="233"/>
      <c r="F1693" s="224"/>
      <c r="G1693" s="233"/>
      <c r="H1693" s="222"/>
      <c r="I1693" s="222"/>
      <c r="J1693" s="222"/>
      <c r="K1693" s="222" t="s">
        <v>1644</v>
      </c>
      <c r="L1693" s="225"/>
      <c r="M1693" s="236"/>
      <c r="N1693" s="285"/>
      <c r="O1693" s="285"/>
      <c r="P1693" s="285"/>
      <c r="Q1693" s="230"/>
      <c r="R1693" s="230"/>
      <c r="S1693" s="230"/>
      <c r="T1693" s="230"/>
      <c r="U1693" s="230"/>
      <c r="V1693" s="230"/>
      <c r="W1693" s="230"/>
      <c r="X1693" s="230"/>
      <c r="Y1693" s="230"/>
      <c r="Z1693" s="230"/>
      <c r="AA1693" s="230"/>
      <c r="AB1693" s="230"/>
      <c r="AC1693" s="231">
        <f t="shared" si="748"/>
        <v>0</v>
      </c>
      <c r="AD1693" s="548"/>
      <c r="AE1693" s="241"/>
      <c r="AF1693" s="194"/>
      <c r="AG1693" s="194"/>
      <c r="AH1693" s="194"/>
      <c r="AI1693" s="194"/>
    </row>
    <row r="1694" hidden="1">
      <c r="A1694" s="391"/>
      <c r="B1694" s="893"/>
      <c r="C1694" s="196"/>
      <c r="D1694" s="286" t="s">
        <v>194</v>
      </c>
      <c r="E1694" s="233"/>
      <c r="F1694" s="233"/>
      <c r="G1694" s="233"/>
      <c r="H1694" s="234"/>
      <c r="I1694" s="234"/>
      <c r="J1694" s="222"/>
      <c r="K1694" s="222" t="s">
        <v>1644</v>
      </c>
      <c r="L1694" s="225"/>
      <c r="M1694" s="236"/>
      <c r="N1694" s="285"/>
      <c r="O1694" s="285"/>
      <c r="P1694" s="285"/>
      <c r="Q1694" s="718"/>
      <c r="R1694" s="718"/>
      <c r="S1694" s="718"/>
      <c r="T1694" s="718"/>
      <c r="U1694" s="718"/>
      <c r="V1694" s="718"/>
      <c r="W1694" s="718"/>
      <c r="X1694" s="718"/>
      <c r="Y1694" s="718"/>
      <c r="Z1694" s="718"/>
      <c r="AA1694" s="718"/>
      <c r="AB1694" s="718"/>
      <c r="AC1694" s="378">
        <f t="shared" si="748"/>
        <v>0</v>
      </c>
      <c r="AD1694" s="273"/>
      <c r="AE1694" s="192"/>
      <c r="AF1694" s="194"/>
      <c r="AG1694" s="194"/>
      <c r="AH1694" s="194"/>
      <c r="AI1694" s="194"/>
    </row>
    <row r="1695" hidden="1">
      <c r="A1695" s="391"/>
      <c r="B1695" s="893"/>
      <c r="C1695" s="196"/>
      <c r="D1695" s="286" t="s">
        <v>1647</v>
      </c>
      <c r="E1695" s="233"/>
      <c r="F1695" s="233"/>
      <c r="G1695" s="233"/>
      <c r="H1695" s="234"/>
      <c r="I1695" s="234"/>
      <c r="J1695" s="222"/>
      <c r="K1695" s="222" t="s">
        <v>1644</v>
      </c>
      <c r="L1695" s="225"/>
      <c r="M1695" s="236"/>
      <c r="N1695" s="285"/>
      <c r="O1695" s="285"/>
      <c r="P1695" s="285"/>
      <c r="Q1695" s="718"/>
      <c r="R1695" s="718"/>
      <c r="S1695" s="718"/>
      <c r="T1695" s="718"/>
      <c r="U1695" s="718"/>
      <c r="V1695" s="718"/>
      <c r="W1695" s="718"/>
      <c r="X1695" s="718"/>
      <c r="Y1695" s="718"/>
      <c r="Z1695" s="718"/>
      <c r="AA1695" s="718"/>
      <c r="AB1695" s="718"/>
      <c r="AC1695" s="378">
        <f t="shared" si="748"/>
        <v>0</v>
      </c>
      <c r="AD1695" s="273"/>
      <c r="AE1695" s="192"/>
      <c r="AF1695" s="194"/>
      <c r="AG1695" s="194"/>
      <c r="AH1695" s="194"/>
      <c r="AI1695" s="194"/>
    </row>
    <row r="1696">
      <c r="A1696" s="391"/>
      <c r="B1696" s="893"/>
      <c r="C1696" s="196">
        <v>2.0</v>
      </c>
      <c r="D1696" s="925" t="s">
        <v>1648</v>
      </c>
      <c r="E1696" s="198" t="s">
        <v>186</v>
      </c>
      <c r="F1696" s="198" t="s">
        <v>103</v>
      </c>
      <c r="G1696" s="198" t="s">
        <v>86</v>
      </c>
      <c r="H1696" s="198" t="s">
        <v>86</v>
      </c>
      <c r="I1696" s="198" t="s">
        <v>253</v>
      </c>
      <c r="J1696" s="198" t="s">
        <v>254</v>
      </c>
      <c r="K1696" s="606" t="s">
        <v>1644</v>
      </c>
      <c r="L1696" s="895"/>
      <c r="M1696" s="240"/>
      <c r="N1696" s="388"/>
      <c r="O1696" s="388"/>
      <c r="P1696" s="388"/>
      <c r="Q1696" s="896"/>
      <c r="R1696" s="896"/>
      <c r="S1696" s="896"/>
      <c r="T1696" s="896"/>
      <c r="U1696" s="896"/>
      <c r="V1696" s="896">
        <v>5.8450085E7</v>
      </c>
      <c r="W1696" s="896">
        <v>5.8450085E7</v>
      </c>
      <c r="X1696" s="896">
        <v>5.8450085E7</v>
      </c>
      <c r="Y1696" s="896">
        <v>5.8450085E7</v>
      </c>
      <c r="Z1696" s="896">
        <v>5.8450085E7</v>
      </c>
      <c r="AA1696" s="896">
        <v>5.8450085E7</v>
      </c>
      <c r="AB1696" s="896">
        <v>5.8450085E7</v>
      </c>
      <c r="AC1696" s="897">
        <v>4.09150595E8</v>
      </c>
      <c r="AD1696" s="273">
        <f>SUM(Q1696:AB1696)-AC1696</f>
        <v>0</v>
      </c>
      <c r="AE1696" s="192"/>
      <c r="AF1696" s="194"/>
      <c r="AG1696" s="194"/>
      <c r="AH1696" s="194"/>
      <c r="AI1696" s="194"/>
    </row>
    <row r="1697" hidden="1">
      <c r="A1697" s="126"/>
      <c r="B1697" s="893"/>
      <c r="C1697" s="206"/>
      <c r="D1697" s="207"/>
      <c r="E1697" s="260"/>
      <c r="F1697" s="207"/>
      <c r="G1697" s="260"/>
      <c r="H1697" s="206"/>
      <c r="I1697" s="206"/>
      <c r="J1697" s="206"/>
      <c r="K1697" s="206" t="s">
        <v>1644</v>
      </c>
      <c r="L1697" s="277"/>
      <c r="M1697" s="244"/>
      <c r="N1697" s="389"/>
      <c r="O1697" s="389"/>
      <c r="P1697" s="389"/>
      <c r="Q1697" s="212"/>
      <c r="R1697" s="212"/>
      <c r="S1697" s="212"/>
      <c r="T1697" s="212"/>
      <c r="U1697" s="212"/>
      <c r="V1697" s="212"/>
      <c r="W1697" s="212"/>
      <c r="X1697" s="212"/>
      <c r="Y1697" s="212"/>
      <c r="Z1697" s="212"/>
      <c r="AA1697" s="212"/>
      <c r="AB1697" s="212"/>
      <c r="AC1697" s="213">
        <f t="shared" ref="AC1697:AC1700" si="749">SUM(Q1697:AB1697)</f>
        <v>0</v>
      </c>
      <c r="AD1697" s="214"/>
      <c r="AE1697" s="241"/>
      <c r="AF1697" s="194"/>
      <c r="AG1697" s="194"/>
      <c r="AH1697" s="194"/>
      <c r="AI1697" s="194"/>
    </row>
    <row r="1698" hidden="1">
      <c r="A1698" s="391"/>
      <c r="B1698" s="893"/>
      <c r="C1698" s="222"/>
      <c r="D1698" s="250" t="s">
        <v>1649</v>
      </c>
      <c r="E1698" s="233"/>
      <c r="F1698" s="224"/>
      <c r="G1698" s="233"/>
      <c r="H1698" s="222"/>
      <c r="I1698" s="222"/>
      <c r="J1698" s="222"/>
      <c r="K1698" s="222" t="s">
        <v>1644</v>
      </c>
      <c r="L1698" s="225"/>
      <c r="M1698" s="236"/>
      <c r="N1698" s="285"/>
      <c r="O1698" s="285"/>
      <c r="P1698" s="285"/>
      <c r="Q1698" s="230"/>
      <c r="R1698" s="230"/>
      <c r="S1698" s="230"/>
      <c r="T1698" s="230"/>
      <c r="U1698" s="230"/>
      <c r="V1698" s="230"/>
      <c r="W1698" s="230"/>
      <c r="X1698" s="230"/>
      <c r="Y1698" s="230"/>
      <c r="Z1698" s="230"/>
      <c r="AA1698" s="230"/>
      <c r="AB1698" s="230"/>
      <c r="AC1698" s="231">
        <f t="shared" si="749"/>
        <v>0</v>
      </c>
      <c r="AD1698" s="548"/>
      <c r="AE1698" s="241"/>
      <c r="AF1698" s="194"/>
      <c r="AG1698" s="194"/>
      <c r="AH1698" s="194"/>
      <c r="AI1698" s="194"/>
    </row>
    <row r="1699" hidden="1">
      <c r="A1699" s="391"/>
      <c r="B1699" s="893"/>
      <c r="C1699" s="196"/>
      <c r="D1699" s="286" t="s">
        <v>194</v>
      </c>
      <c r="E1699" s="233"/>
      <c r="F1699" s="233"/>
      <c r="G1699" s="233"/>
      <c r="H1699" s="234"/>
      <c r="I1699" s="234"/>
      <c r="J1699" s="222"/>
      <c r="K1699" s="222" t="s">
        <v>1644</v>
      </c>
      <c r="L1699" s="225"/>
      <c r="M1699" s="236"/>
      <c r="N1699" s="285"/>
      <c r="O1699" s="285"/>
      <c r="P1699" s="285"/>
      <c r="Q1699" s="718"/>
      <c r="R1699" s="718"/>
      <c r="S1699" s="718"/>
      <c r="T1699" s="718"/>
      <c r="U1699" s="718"/>
      <c r="V1699" s="718"/>
      <c r="W1699" s="718"/>
      <c r="X1699" s="718"/>
      <c r="Y1699" s="718"/>
      <c r="Z1699" s="718"/>
      <c r="AA1699" s="718"/>
      <c r="AB1699" s="718"/>
      <c r="AC1699" s="378">
        <f t="shared" si="749"/>
        <v>0</v>
      </c>
      <c r="AD1699" s="273"/>
      <c r="AE1699" s="192"/>
      <c r="AF1699" s="194"/>
      <c r="AG1699" s="194"/>
      <c r="AH1699" s="194"/>
      <c r="AI1699" s="194"/>
    </row>
    <row r="1700" hidden="1">
      <c r="A1700" s="391"/>
      <c r="B1700" s="893"/>
      <c r="C1700" s="196"/>
      <c r="D1700" s="286" t="s">
        <v>1650</v>
      </c>
      <c r="E1700" s="233"/>
      <c r="F1700" s="233"/>
      <c r="G1700" s="233"/>
      <c r="H1700" s="234"/>
      <c r="I1700" s="234"/>
      <c r="J1700" s="222"/>
      <c r="K1700" s="222" t="s">
        <v>1644</v>
      </c>
      <c r="L1700" s="225"/>
      <c r="M1700" s="236"/>
      <c r="N1700" s="285"/>
      <c r="O1700" s="285"/>
      <c r="P1700" s="285"/>
      <c r="Q1700" s="718"/>
      <c r="R1700" s="718"/>
      <c r="S1700" s="718"/>
      <c r="T1700" s="718"/>
      <c r="U1700" s="718"/>
      <c r="V1700" s="718"/>
      <c r="W1700" s="718"/>
      <c r="X1700" s="718"/>
      <c r="Y1700" s="718"/>
      <c r="Z1700" s="718"/>
      <c r="AA1700" s="718"/>
      <c r="AB1700" s="718"/>
      <c r="AC1700" s="378">
        <f t="shared" si="749"/>
        <v>0</v>
      </c>
      <c r="AD1700" s="273"/>
      <c r="AE1700" s="192"/>
      <c r="AF1700" s="194"/>
      <c r="AG1700" s="194"/>
      <c r="AH1700" s="194"/>
      <c r="AI1700" s="194"/>
    </row>
    <row r="1701">
      <c r="A1701" s="391"/>
      <c r="B1701" s="893"/>
      <c r="C1701" s="196">
        <v>3.0</v>
      </c>
      <c r="D1701" s="925" t="s">
        <v>1651</v>
      </c>
      <c r="E1701" s="198" t="s">
        <v>186</v>
      </c>
      <c r="F1701" s="198" t="s">
        <v>103</v>
      </c>
      <c r="G1701" s="198" t="s">
        <v>86</v>
      </c>
      <c r="H1701" s="198" t="s">
        <v>86</v>
      </c>
      <c r="I1701" s="198" t="s">
        <v>253</v>
      </c>
      <c r="J1701" s="198" t="s">
        <v>254</v>
      </c>
      <c r="K1701" s="606" t="s">
        <v>1644</v>
      </c>
      <c r="L1701" s="895"/>
      <c r="M1701" s="240"/>
      <c r="N1701" s="388"/>
      <c r="O1701" s="388"/>
      <c r="P1701" s="388"/>
      <c r="Q1701" s="896"/>
      <c r="R1701" s="896"/>
      <c r="S1701" s="896"/>
      <c r="T1701" s="896"/>
      <c r="U1701" s="896"/>
      <c r="V1701" s="896"/>
      <c r="W1701" s="896"/>
      <c r="X1701" s="896"/>
      <c r="Y1701" s="896">
        <v>3244464.0</v>
      </c>
      <c r="Z1701" s="896">
        <v>3244464.0</v>
      </c>
      <c r="AA1701" s="896">
        <v>3244464.0</v>
      </c>
      <c r="AB1701" s="896">
        <v>3244464.0</v>
      </c>
      <c r="AC1701" s="897">
        <v>1.2977856E7</v>
      </c>
      <c r="AD1701" s="273">
        <f>SUM(Q1701:AB1701)-AC1701</f>
        <v>0</v>
      </c>
      <c r="AE1701" s="192"/>
      <c r="AF1701" s="194"/>
      <c r="AG1701" s="194"/>
      <c r="AH1701" s="194"/>
      <c r="AI1701" s="194"/>
    </row>
    <row r="1702" hidden="1">
      <c r="A1702" s="126"/>
      <c r="B1702" s="893"/>
      <c r="C1702" s="206"/>
      <c r="D1702" s="207"/>
      <c r="E1702" s="260"/>
      <c r="F1702" s="207"/>
      <c r="G1702" s="260"/>
      <c r="H1702" s="206"/>
      <c r="I1702" s="206"/>
      <c r="J1702" s="206"/>
      <c r="K1702" s="206" t="s">
        <v>1644</v>
      </c>
      <c r="L1702" s="277"/>
      <c r="M1702" s="244"/>
      <c r="N1702" s="389"/>
      <c r="O1702" s="389"/>
      <c r="P1702" s="389"/>
      <c r="Q1702" s="212"/>
      <c r="R1702" s="212"/>
      <c r="S1702" s="212"/>
      <c r="T1702" s="212"/>
      <c r="U1702" s="212"/>
      <c r="V1702" s="212"/>
      <c r="W1702" s="212"/>
      <c r="X1702" s="212"/>
      <c r="Y1702" s="212"/>
      <c r="Z1702" s="212"/>
      <c r="AA1702" s="212"/>
      <c r="AB1702" s="212"/>
      <c r="AC1702" s="213">
        <f t="shared" ref="AC1702:AC1705" si="750">SUM(Q1702:AB1702)</f>
        <v>0</v>
      </c>
      <c r="AD1702" s="214"/>
      <c r="AE1702" s="241"/>
      <c r="AF1702" s="194"/>
      <c r="AG1702" s="194"/>
      <c r="AH1702" s="194"/>
      <c r="AI1702" s="194"/>
    </row>
    <row r="1703" hidden="1">
      <c r="A1703" s="391"/>
      <c r="B1703" s="893"/>
      <c r="C1703" s="222"/>
      <c r="D1703" s="250" t="s">
        <v>1652</v>
      </c>
      <c r="E1703" s="233"/>
      <c r="F1703" s="224"/>
      <c r="G1703" s="233"/>
      <c r="H1703" s="222"/>
      <c r="I1703" s="222"/>
      <c r="J1703" s="222"/>
      <c r="K1703" s="222" t="s">
        <v>1644</v>
      </c>
      <c r="L1703" s="225"/>
      <c r="M1703" s="236"/>
      <c r="N1703" s="285"/>
      <c r="O1703" s="285"/>
      <c r="P1703" s="285"/>
      <c r="Q1703" s="230"/>
      <c r="R1703" s="230"/>
      <c r="S1703" s="230"/>
      <c r="T1703" s="230"/>
      <c r="U1703" s="230"/>
      <c r="V1703" s="230"/>
      <c r="W1703" s="230"/>
      <c r="X1703" s="230"/>
      <c r="Y1703" s="230"/>
      <c r="Z1703" s="230"/>
      <c r="AA1703" s="230"/>
      <c r="AB1703" s="230"/>
      <c r="AC1703" s="231">
        <f t="shared" si="750"/>
        <v>0</v>
      </c>
      <c r="AD1703" s="548"/>
      <c r="AE1703" s="241"/>
      <c r="AF1703" s="194"/>
      <c r="AG1703" s="194"/>
      <c r="AH1703" s="194"/>
      <c r="AI1703" s="194"/>
    </row>
    <row r="1704" hidden="1">
      <c r="A1704" s="391"/>
      <c r="B1704" s="893"/>
      <c r="C1704" s="196"/>
      <c r="D1704" s="286" t="s">
        <v>194</v>
      </c>
      <c r="E1704" s="233"/>
      <c r="F1704" s="233"/>
      <c r="G1704" s="233"/>
      <c r="H1704" s="234"/>
      <c r="I1704" s="234"/>
      <c r="J1704" s="222"/>
      <c r="K1704" s="222" t="s">
        <v>1644</v>
      </c>
      <c r="L1704" s="225"/>
      <c r="M1704" s="236"/>
      <c r="N1704" s="285"/>
      <c r="O1704" s="285"/>
      <c r="P1704" s="285"/>
      <c r="Q1704" s="718"/>
      <c r="R1704" s="718"/>
      <c r="S1704" s="718"/>
      <c r="T1704" s="718"/>
      <c r="U1704" s="718"/>
      <c r="V1704" s="718"/>
      <c r="W1704" s="718"/>
      <c r="X1704" s="718"/>
      <c r="Y1704" s="718"/>
      <c r="Z1704" s="718"/>
      <c r="AA1704" s="718"/>
      <c r="AB1704" s="718"/>
      <c r="AC1704" s="378">
        <f t="shared" si="750"/>
        <v>0</v>
      </c>
      <c r="AD1704" s="273"/>
      <c r="AE1704" s="192"/>
      <c r="AF1704" s="194"/>
      <c r="AG1704" s="194"/>
      <c r="AH1704" s="194"/>
      <c r="AI1704" s="194"/>
    </row>
    <row r="1705" hidden="1">
      <c r="A1705" s="391"/>
      <c r="B1705" s="893"/>
      <c r="C1705" s="196"/>
      <c r="D1705" s="286" t="s">
        <v>1653</v>
      </c>
      <c r="E1705" s="233"/>
      <c r="F1705" s="233"/>
      <c r="G1705" s="233"/>
      <c r="H1705" s="234"/>
      <c r="I1705" s="234"/>
      <c r="J1705" s="222"/>
      <c r="K1705" s="222" t="s">
        <v>1644</v>
      </c>
      <c r="L1705" s="225"/>
      <c r="M1705" s="236"/>
      <c r="N1705" s="285"/>
      <c r="O1705" s="285"/>
      <c r="P1705" s="285"/>
      <c r="Q1705" s="718"/>
      <c r="R1705" s="718"/>
      <c r="S1705" s="718"/>
      <c r="T1705" s="718"/>
      <c r="U1705" s="718"/>
      <c r="V1705" s="718"/>
      <c r="W1705" s="718"/>
      <c r="X1705" s="718"/>
      <c r="Y1705" s="718"/>
      <c r="Z1705" s="718"/>
      <c r="AA1705" s="718"/>
      <c r="AB1705" s="718"/>
      <c r="AC1705" s="378">
        <f t="shared" si="750"/>
        <v>0</v>
      </c>
      <c r="AD1705" s="273"/>
      <c r="AE1705" s="192"/>
      <c r="AF1705" s="194"/>
      <c r="AG1705" s="194"/>
      <c r="AH1705" s="194"/>
      <c r="AI1705" s="194"/>
    </row>
    <row r="1706">
      <c r="A1706" s="391"/>
      <c r="B1706" s="893"/>
      <c r="C1706" s="196">
        <v>4.0</v>
      </c>
      <c r="D1706" s="925" t="s">
        <v>1654</v>
      </c>
      <c r="E1706" s="198" t="s">
        <v>186</v>
      </c>
      <c r="F1706" s="198" t="s">
        <v>103</v>
      </c>
      <c r="G1706" s="198" t="s">
        <v>86</v>
      </c>
      <c r="H1706" s="198" t="s">
        <v>86</v>
      </c>
      <c r="I1706" s="198" t="s">
        <v>253</v>
      </c>
      <c r="J1706" s="198" t="s">
        <v>254</v>
      </c>
      <c r="K1706" s="606" t="s">
        <v>1644</v>
      </c>
      <c r="L1706" s="895"/>
      <c r="M1706" s="240"/>
      <c r="N1706" s="388"/>
      <c r="O1706" s="388"/>
      <c r="P1706" s="388"/>
      <c r="Q1706" s="896"/>
      <c r="R1706" s="896"/>
      <c r="S1706" s="896"/>
      <c r="T1706" s="896"/>
      <c r="U1706" s="896"/>
      <c r="V1706" s="896"/>
      <c r="W1706" s="896">
        <v>367400.0</v>
      </c>
      <c r="X1706" s="896">
        <v>367400.0</v>
      </c>
      <c r="Y1706" s="896">
        <v>367400.0</v>
      </c>
      <c r="Z1706" s="896">
        <v>367400.0</v>
      </c>
      <c r="AA1706" s="896">
        <v>367400.0</v>
      </c>
      <c r="AB1706" s="896">
        <v>367400.0</v>
      </c>
      <c r="AC1706" s="897">
        <v>2204400.0</v>
      </c>
      <c r="AD1706" s="273">
        <f>SUM(Q1706:AB1706)-AC1706</f>
        <v>0</v>
      </c>
      <c r="AE1706" s="192"/>
      <c r="AF1706" s="194"/>
      <c r="AG1706" s="194"/>
      <c r="AH1706" s="194"/>
      <c r="AI1706" s="194"/>
    </row>
    <row r="1707" hidden="1">
      <c r="A1707" s="126"/>
      <c r="B1707" s="893"/>
      <c r="C1707" s="206"/>
      <c r="D1707" s="207"/>
      <c r="E1707" s="260"/>
      <c r="F1707" s="207"/>
      <c r="G1707" s="260"/>
      <c r="H1707" s="206"/>
      <c r="I1707" s="206"/>
      <c r="J1707" s="206"/>
      <c r="K1707" s="206" t="s">
        <v>1644</v>
      </c>
      <c r="L1707" s="277"/>
      <c r="M1707" s="244"/>
      <c r="N1707" s="389"/>
      <c r="O1707" s="389"/>
      <c r="P1707" s="389"/>
      <c r="Q1707" s="212"/>
      <c r="R1707" s="212"/>
      <c r="S1707" s="212"/>
      <c r="T1707" s="212"/>
      <c r="U1707" s="212"/>
      <c r="V1707" s="212"/>
      <c r="W1707" s="212"/>
      <c r="X1707" s="212"/>
      <c r="Y1707" s="212"/>
      <c r="Z1707" s="212"/>
      <c r="AA1707" s="212"/>
      <c r="AB1707" s="212"/>
      <c r="AC1707" s="213">
        <f t="shared" ref="AC1707:AC1710" si="751">SUM(Q1707:AB1707)</f>
        <v>0</v>
      </c>
      <c r="AD1707" s="214"/>
      <c r="AE1707" s="241"/>
      <c r="AF1707" s="194"/>
      <c r="AG1707" s="194"/>
      <c r="AH1707" s="194"/>
      <c r="AI1707" s="194"/>
    </row>
    <row r="1708" hidden="1">
      <c r="A1708" s="126"/>
      <c r="B1708" s="893"/>
      <c r="C1708" s="222"/>
      <c r="D1708" s="250" t="s">
        <v>1655</v>
      </c>
      <c r="E1708" s="233"/>
      <c r="F1708" s="224"/>
      <c r="G1708" s="233"/>
      <c r="H1708" s="222"/>
      <c r="I1708" s="222"/>
      <c r="J1708" s="222"/>
      <c r="K1708" s="222" t="s">
        <v>1644</v>
      </c>
      <c r="L1708" s="225"/>
      <c r="M1708" s="236"/>
      <c r="N1708" s="285"/>
      <c r="O1708" s="285"/>
      <c r="P1708" s="285"/>
      <c r="Q1708" s="230"/>
      <c r="R1708" s="230"/>
      <c r="S1708" s="230"/>
      <c r="T1708" s="230"/>
      <c r="U1708" s="230"/>
      <c r="V1708" s="230"/>
      <c r="W1708" s="230"/>
      <c r="X1708" s="230"/>
      <c r="Y1708" s="230"/>
      <c r="Z1708" s="230"/>
      <c r="AA1708" s="230"/>
      <c r="AB1708" s="230"/>
      <c r="AC1708" s="231">
        <f t="shared" si="751"/>
        <v>0</v>
      </c>
      <c r="AD1708" s="548"/>
      <c r="AE1708" s="241"/>
      <c r="AF1708" s="194"/>
      <c r="AG1708" s="194"/>
      <c r="AH1708" s="194"/>
      <c r="AI1708" s="194"/>
    </row>
    <row r="1709" hidden="1">
      <c r="A1709" s="126"/>
      <c r="B1709" s="893"/>
      <c r="C1709" s="196"/>
      <c r="D1709" s="286" t="s">
        <v>194</v>
      </c>
      <c r="E1709" s="233"/>
      <c r="F1709" s="233"/>
      <c r="G1709" s="233"/>
      <c r="H1709" s="234"/>
      <c r="I1709" s="234"/>
      <c r="J1709" s="222"/>
      <c r="K1709" s="222" t="s">
        <v>1644</v>
      </c>
      <c r="L1709" s="225"/>
      <c r="M1709" s="236"/>
      <c r="N1709" s="285"/>
      <c r="O1709" s="285"/>
      <c r="P1709" s="285"/>
      <c r="Q1709" s="718"/>
      <c r="R1709" s="718"/>
      <c r="S1709" s="718"/>
      <c r="T1709" s="718"/>
      <c r="U1709" s="718"/>
      <c r="V1709" s="718"/>
      <c r="W1709" s="718"/>
      <c r="X1709" s="718"/>
      <c r="Y1709" s="718"/>
      <c r="Z1709" s="718"/>
      <c r="AA1709" s="718"/>
      <c r="AB1709" s="718"/>
      <c r="AC1709" s="378">
        <f t="shared" si="751"/>
        <v>0</v>
      </c>
      <c r="AD1709" s="273"/>
      <c r="AE1709" s="192"/>
      <c r="AF1709" s="194"/>
      <c r="AG1709" s="194"/>
      <c r="AH1709" s="194"/>
      <c r="AI1709" s="194"/>
    </row>
    <row r="1710" hidden="1">
      <c r="A1710" s="126"/>
      <c r="B1710" s="893"/>
      <c r="C1710" s="196"/>
      <c r="D1710" s="286" t="s">
        <v>1656</v>
      </c>
      <c r="E1710" s="233"/>
      <c r="F1710" s="233"/>
      <c r="G1710" s="233"/>
      <c r="H1710" s="234"/>
      <c r="I1710" s="234"/>
      <c r="J1710" s="222"/>
      <c r="K1710" s="222" t="s">
        <v>1644</v>
      </c>
      <c r="L1710" s="225"/>
      <c r="M1710" s="236"/>
      <c r="N1710" s="285"/>
      <c r="O1710" s="285"/>
      <c r="P1710" s="285"/>
      <c r="Q1710" s="718"/>
      <c r="R1710" s="718"/>
      <c r="S1710" s="718"/>
      <c r="T1710" s="718"/>
      <c r="U1710" s="718"/>
      <c r="V1710" s="718"/>
      <c r="W1710" s="718"/>
      <c r="X1710" s="718"/>
      <c r="Y1710" s="718"/>
      <c r="Z1710" s="718"/>
      <c r="AA1710" s="718"/>
      <c r="AB1710" s="718"/>
      <c r="AC1710" s="378">
        <f t="shared" si="751"/>
        <v>0</v>
      </c>
      <c r="AD1710" s="273"/>
      <c r="AE1710" s="192"/>
      <c r="AF1710" s="194"/>
      <c r="AG1710" s="194"/>
      <c r="AH1710" s="194"/>
      <c r="AI1710" s="194"/>
    </row>
    <row r="1711">
      <c r="A1711" s="126"/>
      <c r="B1711" s="893"/>
      <c r="C1711" s="196">
        <v>5.0</v>
      </c>
      <c r="D1711" s="925" t="s">
        <v>1657</v>
      </c>
      <c r="E1711" s="198" t="s">
        <v>186</v>
      </c>
      <c r="F1711" s="198" t="s">
        <v>103</v>
      </c>
      <c r="G1711" s="198" t="s">
        <v>86</v>
      </c>
      <c r="H1711" s="198" t="s">
        <v>86</v>
      </c>
      <c r="I1711" s="198" t="s">
        <v>253</v>
      </c>
      <c r="J1711" s="198" t="s">
        <v>254</v>
      </c>
      <c r="K1711" s="606" t="s">
        <v>1644</v>
      </c>
      <c r="L1711" s="895"/>
      <c r="M1711" s="240"/>
      <c r="N1711" s="388"/>
      <c r="O1711" s="388"/>
      <c r="P1711" s="388"/>
      <c r="Q1711" s="896"/>
      <c r="R1711" s="896"/>
      <c r="S1711" s="896"/>
      <c r="T1711" s="896"/>
      <c r="U1711" s="896"/>
      <c r="V1711" s="896"/>
      <c r="W1711" s="896"/>
      <c r="X1711" s="896">
        <v>446600.0</v>
      </c>
      <c r="Y1711" s="896">
        <v>446600.0</v>
      </c>
      <c r="Z1711" s="896">
        <v>446600.0</v>
      </c>
      <c r="AA1711" s="896">
        <v>446600.0</v>
      </c>
      <c r="AB1711" s="896">
        <v>446600.0</v>
      </c>
      <c r="AC1711" s="897">
        <v>2233000.0</v>
      </c>
      <c r="AD1711" s="273">
        <f>SUM(Q1711:AB1711)-AC1711</f>
        <v>0</v>
      </c>
      <c r="AE1711" s="192"/>
      <c r="AF1711" s="194"/>
      <c r="AG1711" s="194"/>
      <c r="AH1711" s="194"/>
      <c r="AI1711" s="194"/>
    </row>
    <row r="1712" hidden="1">
      <c r="A1712" s="126"/>
      <c r="B1712" s="893"/>
      <c r="C1712" s="206"/>
      <c r="D1712" s="207"/>
      <c r="E1712" s="260"/>
      <c r="F1712" s="207"/>
      <c r="G1712" s="260"/>
      <c r="H1712" s="206"/>
      <c r="I1712" s="206"/>
      <c r="J1712" s="206"/>
      <c r="K1712" s="206" t="s">
        <v>1644</v>
      </c>
      <c r="L1712" s="277"/>
      <c r="M1712" s="244"/>
      <c r="N1712" s="389"/>
      <c r="O1712" s="389"/>
      <c r="P1712" s="389"/>
      <c r="Q1712" s="212"/>
      <c r="R1712" s="212"/>
      <c r="S1712" s="212"/>
      <c r="T1712" s="212"/>
      <c r="U1712" s="212"/>
      <c r="V1712" s="212"/>
      <c r="W1712" s="212"/>
      <c r="X1712" s="212"/>
      <c r="Y1712" s="212"/>
      <c r="Z1712" s="212"/>
      <c r="AA1712" s="212"/>
      <c r="AB1712" s="212"/>
      <c r="AC1712" s="213">
        <f t="shared" ref="AC1712:AC1715" si="752">SUM(Q1712:AB1712)</f>
        <v>0</v>
      </c>
      <c r="AD1712" s="214"/>
      <c r="AE1712" s="241"/>
      <c r="AF1712" s="194"/>
      <c r="AG1712" s="194"/>
      <c r="AH1712" s="194"/>
      <c r="AI1712" s="194"/>
    </row>
    <row r="1713" hidden="1">
      <c r="A1713" s="126"/>
      <c r="B1713" s="893"/>
      <c r="C1713" s="222"/>
      <c r="D1713" s="250" t="s">
        <v>1658</v>
      </c>
      <c r="E1713" s="233"/>
      <c r="F1713" s="224"/>
      <c r="G1713" s="233"/>
      <c r="H1713" s="222"/>
      <c r="I1713" s="222"/>
      <c r="J1713" s="222"/>
      <c r="K1713" s="222" t="s">
        <v>1644</v>
      </c>
      <c r="L1713" s="225"/>
      <c r="M1713" s="236"/>
      <c r="N1713" s="285"/>
      <c r="O1713" s="285"/>
      <c r="P1713" s="285"/>
      <c r="Q1713" s="230"/>
      <c r="R1713" s="230"/>
      <c r="S1713" s="230"/>
      <c r="T1713" s="230"/>
      <c r="U1713" s="230"/>
      <c r="V1713" s="230"/>
      <c r="W1713" s="230"/>
      <c r="X1713" s="230"/>
      <c r="Y1713" s="230"/>
      <c r="Z1713" s="230"/>
      <c r="AA1713" s="230"/>
      <c r="AB1713" s="230"/>
      <c r="AC1713" s="231">
        <f t="shared" si="752"/>
        <v>0</v>
      </c>
      <c r="AD1713" s="548"/>
      <c r="AE1713" s="241"/>
      <c r="AF1713" s="194"/>
      <c r="AG1713" s="194"/>
      <c r="AH1713" s="194"/>
      <c r="AI1713" s="194"/>
    </row>
    <row r="1714" hidden="1">
      <c r="A1714" s="126"/>
      <c r="B1714" s="893"/>
      <c r="C1714" s="196"/>
      <c r="D1714" s="286" t="s">
        <v>194</v>
      </c>
      <c r="E1714" s="233"/>
      <c r="F1714" s="233"/>
      <c r="G1714" s="233"/>
      <c r="H1714" s="234"/>
      <c r="I1714" s="234"/>
      <c r="J1714" s="222"/>
      <c r="K1714" s="222" t="s">
        <v>1644</v>
      </c>
      <c r="L1714" s="225"/>
      <c r="M1714" s="236"/>
      <c r="N1714" s="285"/>
      <c r="O1714" s="285"/>
      <c r="P1714" s="285"/>
      <c r="Q1714" s="718"/>
      <c r="R1714" s="718"/>
      <c r="S1714" s="718"/>
      <c r="T1714" s="718"/>
      <c r="U1714" s="718"/>
      <c r="V1714" s="718"/>
      <c r="W1714" s="718"/>
      <c r="X1714" s="718"/>
      <c r="Y1714" s="718"/>
      <c r="Z1714" s="718"/>
      <c r="AA1714" s="718"/>
      <c r="AB1714" s="718"/>
      <c r="AC1714" s="378">
        <f t="shared" si="752"/>
        <v>0</v>
      </c>
      <c r="AD1714" s="273"/>
      <c r="AE1714" s="192"/>
      <c r="AF1714" s="194"/>
      <c r="AG1714" s="194"/>
      <c r="AH1714" s="194"/>
      <c r="AI1714" s="194"/>
    </row>
    <row r="1715" hidden="1">
      <c r="A1715" s="126"/>
      <c r="B1715" s="893"/>
      <c r="C1715" s="196"/>
      <c r="D1715" s="286" t="s">
        <v>1659</v>
      </c>
      <c r="E1715" s="233"/>
      <c r="F1715" s="233"/>
      <c r="G1715" s="233"/>
      <c r="H1715" s="234"/>
      <c r="I1715" s="234"/>
      <c r="J1715" s="222"/>
      <c r="K1715" s="222" t="s">
        <v>1644</v>
      </c>
      <c r="L1715" s="225"/>
      <c r="M1715" s="236"/>
      <c r="N1715" s="285"/>
      <c r="O1715" s="285"/>
      <c r="P1715" s="285"/>
      <c r="Q1715" s="718"/>
      <c r="R1715" s="718"/>
      <c r="S1715" s="718"/>
      <c r="T1715" s="718"/>
      <c r="U1715" s="718"/>
      <c r="V1715" s="718"/>
      <c r="W1715" s="718"/>
      <c r="X1715" s="718"/>
      <c r="Y1715" s="718"/>
      <c r="Z1715" s="718"/>
      <c r="AA1715" s="718"/>
      <c r="AB1715" s="718"/>
      <c r="AC1715" s="378">
        <f t="shared" si="752"/>
        <v>0</v>
      </c>
      <c r="AD1715" s="273"/>
      <c r="AE1715" s="192"/>
      <c r="AF1715" s="194"/>
      <c r="AG1715" s="194"/>
      <c r="AH1715" s="194"/>
      <c r="AI1715" s="194"/>
    </row>
    <row r="1716">
      <c r="A1716" s="126"/>
      <c r="B1716" s="893"/>
      <c r="C1716" s="196">
        <v>6.0</v>
      </c>
      <c r="D1716" s="925" t="s">
        <v>1660</v>
      </c>
      <c r="E1716" s="198" t="s">
        <v>186</v>
      </c>
      <c r="F1716" s="198" t="s">
        <v>103</v>
      </c>
      <c r="G1716" s="198" t="s">
        <v>86</v>
      </c>
      <c r="H1716" s="198" t="s">
        <v>86</v>
      </c>
      <c r="I1716" s="198" t="s">
        <v>752</v>
      </c>
      <c r="J1716" s="198" t="s">
        <v>367</v>
      </c>
      <c r="K1716" s="606" t="s">
        <v>1644</v>
      </c>
      <c r="L1716" s="895"/>
      <c r="M1716" s="240"/>
      <c r="N1716" s="388"/>
      <c r="O1716" s="388"/>
      <c r="P1716" s="388"/>
      <c r="Q1716" s="896"/>
      <c r="R1716" s="896"/>
      <c r="S1716" s="896"/>
      <c r="T1716" s="896"/>
      <c r="U1716" s="896"/>
      <c r="V1716" s="896"/>
      <c r="W1716" s="896"/>
      <c r="X1716" s="896"/>
      <c r="Y1716" s="896"/>
      <c r="Z1716" s="896"/>
      <c r="AA1716" s="896">
        <v>768900.0</v>
      </c>
      <c r="AB1716" s="896">
        <v>768900.0</v>
      </c>
      <c r="AC1716" s="897">
        <v>1537800.0</v>
      </c>
      <c r="AD1716" s="273">
        <f>SUM(Q1716:AB1716)-AC1716</f>
        <v>0</v>
      </c>
      <c r="AE1716" s="192"/>
      <c r="AF1716" s="194"/>
      <c r="AG1716" s="194"/>
      <c r="AH1716" s="194"/>
      <c r="AI1716" s="194"/>
    </row>
    <row r="1717" hidden="1">
      <c r="A1717" s="126"/>
      <c r="B1717" s="893"/>
      <c r="C1717" s="206"/>
      <c r="D1717" s="207"/>
      <c r="E1717" s="260"/>
      <c r="F1717" s="207"/>
      <c r="G1717" s="260"/>
      <c r="H1717" s="206"/>
      <c r="I1717" s="206"/>
      <c r="J1717" s="206"/>
      <c r="K1717" s="206" t="s">
        <v>1644</v>
      </c>
      <c r="L1717" s="277"/>
      <c r="M1717" s="244"/>
      <c r="N1717" s="389"/>
      <c r="O1717" s="389"/>
      <c r="P1717" s="389"/>
      <c r="Q1717" s="212"/>
      <c r="R1717" s="212"/>
      <c r="S1717" s="212"/>
      <c r="T1717" s="212"/>
      <c r="U1717" s="212"/>
      <c r="V1717" s="212"/>
      <c r="W1717" s="212"/>
      <c r="X1717" s="212"/>
      <c r="Y1717" s="212"/>
      <c r="Z1717" s="212"/>
      <c r="AA1717" s="212"/>
      <c r="AB1717" s="212"/>
      <c r="AC1717" s="213">
        <f t="shared" ref="AC1717:AC1720" si="753">SUM(Q1717:AB1717)</f>
        <v>0</v>
      </c>
      <c r="AD1717" s="273"/>
      <c r="AE1717" s="241"/>
      <c r="AF1717" s="194"/>
      <c r="AG1717" s="194"/>
      <c r="AH1717" s="194"/>
      <c r="AI1717" s="194"/>
    </row>
    <row r="1718" hidden="1">
      <c r="A1718" s="126"/>
      <c r="B1718" s="893"/>
      <c r="C1718" s="222"/>
      <c r="D1718" s="250" t="s">
        <v>1661</v>
      </c>
      <c r="E1718" s="233"/>
      <c r="F1718" s="224"/>
      <c r="G1718" s="233"/>
      <c r="H1718" s="222"/>
      <c r="I1718" s="222"/>
      <c r="J1718" s="222"/>
      <c r="K1718" s="222" t="s">
        <v>1644</v>
      </c>
      <c r="L1718" s="225"/>
      <c r="M1718" s="236"/>
      <c r="N1718" s="285"/>
      <c r="O1718" s="285"/>
      <c r="P1718" s="285"/>
      <c r="Q1718" s="230"/>
      <c r="R1718" s="230"/>
      <c r="S1718" s="230"/>
      <c r="T1718" s="230"/>
      <c r="U1718" s="230"/>
      <c r="V1718" s="230"/>
      <c r="W1718" s="230"/>
      <c r="X1718" s="230"/>
      <c r="Y1718" s="230"/>
      <c r="Z1718" s="230"/>
      <c r="AA1718" s="230"/>
      <c r="AB1718" s="230"/>
      <c r="AC1718" s="231">
        <f t="shared" si="753"/>
        <v>0</v>
      </c>
      <c r="AD1718" s="548"/>
      <c r="AE1718" s="241"/>
      <c r="AF1718" s="194"/>
      <c r="AG1718" s="194"/>
      <c r="AH1718" s="194"/>
      <c r="AI1718" s="194"/>
    </row>
    <row r="1719" hidden="1">
      <c r="A1719" s="126"/>
      <c r="B1719" s="893"/>
      <c r="C1719" s="196"/>
      <c r="D1719" s="286" t="s">
        <v>194</v>
      </c>
      <c r="E1719" s="233"/>
      <c r="F1719" s="233"/>
      <c r="G1719" s="233"/>
      <c r="H1719" s="234"/>
      <c r="I1719" s="234"/>
      <c r="J1719" s="222"/>
      <c r="K1719" s="222" t="s">
        <v>1644</v>
      </c>
      <c r="L1719" s="225"/>
      <c r="M1719" s="236"/>
      <c r="N1719" s="285"/>
      <c r="O1719" s="285"/>
      <c r="P1719" s="285"/>
      <c r="Q1719" s="718"/>
      <c r="R1719" s="718"/>
      <c r="S1719" s="718"/>
      <c r="T1719" s="718"/>
      <c r="U1719" s="718"/>
      <c r="V1719" s="718"/>
      <c r="W1719" s="718"/>
      <c r="X1719" s="718"/>
      <c r="Y1719" s="718"/>
      <c r="Z1719" s="718"/>
      <c r="AA1719" s="718"/>
      <c r="AB1719" s="718"/>
      <c r="AC1719" s="378">
        <f t="shared" si="753"/>
        <v>0</v>
      </c>
      <c r="AD1719" s="273"/>
      <c r="AE1719" s="192"/>
      <c r="AF1719" s="194"/>
      <c r="AG1719" s="194"/>
      <c r="AH1719" s="194"/>
      <c r="AI1719" s="194"/>
    </row>
    <row r="1720" hidden="1">
      <c r="A1720" s="126"/>
      <c r="B1720" s="893"/>
      <c r="C1720" s="196"/>
      <c r="D1720" s="286" t="s">
        <v>1662</v>
      </c>
      <c r="E1720" s="233"/>
      <c r="F1720" s="233"/>
      <c r="G1720" s="233"/>
      <c r="H1720" s="234"/>
      <c r="I1720" s="234"/>
      <c r="J1720" s="222"/>
      <c r="K1720" s="222" t="s">
        <v>1644</v>
      </c>
      <c r="L1720" s="225"/>
      <c r="M1720" s="236"/>
      <c r="N1720" s="285"/>
      <c r="O1720" s="285"/>
      <c r="P1720" s="285"/>
      <c r="Q1720" s="718"/>
      <c r="R1720" s="718"/>
      <c r="S1720" s="718"/>
      <c r="T1720" s="718"/>
      <c r="U1720" s="718"/>
      <c r="V1720" s="718"/>
      <c r="W1720" s="718"/>
      <c r="X1720" s="718"/>
      <c r="Y1720" s="718"/>
      <c r="Z1720" s="718"/>
      <c r="AA1720" s="718"/>
      <c r="AB1720" s="718"/>
      <c r="AC1720" s="378">
        <f t="shared" si="753"/>
        <v>0</v>
      </c>
      <c r="AD1720" s="273"/>
      <c r="AE1720" s="192"/>
      <c r="AF1720" s="194"/>
      <c r="AG1720" s="194"/>
      <c r="AH1720" s="194"/>
      <c r="AI1720" s="194"/>
    </row>
    <row r="1721">
      <c r="A1721" s="126"/>
      <c r="B1721" s="893"/>
      <c r="C1721" s="196">
        <v>7.0</v>
      </c>
      <c r="D1721" s="925" t="s">
        <v>1663</v>
      </c>
      <c r="E1721" s="198" t="s">
        <v>186</v>
      </c>
      <c r="F1721" s="198" t="s">
        <v>103</v>
      </c>
      <c r="G1721" s="198" t="s">
        <v>86</v>
      </c>
      <c r="H1721" s="198" t="s">
        <v>86</v>
      </c>
      <c r="I1721" s="198" t="s">
        <v>253</v>
      </c>
      <c r="J1721" s="198" t="s">
        <v>254</v>
      </c>
      <c r="K1721" s="606" t="s">
        <v>1644</v>
      </c>
      <c r="L1721" s="895"/>
      <c r="M1721" s="240"/>
      <c r="N1721" s="388"/>
      <c r="O1721" s="388"/>
      <c r="P1721" s="388"/>
      <c r="Q1721" s="896"/>
      <c r="R1721" s="896"/>
      <c r="S1721" s="896"/>
      <c r="T1721" s="896"/>
      <c r="U1721" s="896"/>
      <c r="V1721" s="896"/>
      <c r="W1721" s="896"/>
      <c r="X1721" s="896"/>
      <c r="Y1721" s="896">
        <v>787600.0</v>
      </c>
      <c r="Z1721" s="896">
        <v>787600.0</v>
      </c>
      <c r="AA1721" s="896">
        <v>787600.0</v>
      </c>
      <c r="AB1721" s="896">
        <v>787600.0</v>
      </c>
      <c r="AC1721" s="897">
        <v>3150400.0</v>
      </c>
      <c r="AD1721" s="273">
        <f>SUM(Q1721:AB1721)-AC1721</f>
        <v>0</v>
      </c>
      <c r="AE1721" s="192"/>
      <c r="AF1721" s="194"/>
      <c r="AG1721" s="194"/>
      <c r="AH1721" s="194"/>
      <c r="AI1721" s="194"/>
    </row>
    <row r="1722" hidden="1">
      <c r="A1722" s="126"/>
      <c r="B1722" s="893"/>
      <c r="C1722" s="206"/>
      <c r="D1722" s="207"/>
      <c r="E1722" s="260"/>
      <c r="F1722" s="207"/>
      <c r="G1722" s="260"/>
      <c r="H1722" s="206"/>
      <c r="I1722" s="206"/>
      <c r="J1722" s="206"/>
      <c r="K1722" s="206" t="s">
        <v>1644</v>
      </c>
      <c r="L1722" s="277"/>
      <c r="M1722" s="244"/>
      <c r="N1722" s="389"/>
      <c r="O1722" s="389"/>
      <c r="P1722" s="389"/>
      <c r="Q1722" s="212"/>
      <c r="R1722" s="212"/>
      <c r="S1722" s="212"/>
      <c r="T1722" s="212"/>
      <c r="U1722" s="212"/>
      <c r="V1722" s="212"/>
      <c r="W1722" s="212"/>
      <c r="X1722" s="212"/>
      <c r="Y1722" s="212"/>
      <c r="Z1722" s="212"/>
      <c r="AA1722" s="212"/>
      <c r="AB1722" s="212"/>
      <c r="AC1722" s="213">
        <f t="shared" ref="AC1722:AC1731" si="754">SUM(Q1722:AB1722)</f>
        <v>0</v>
      </c>
      <c r="AD1722" s="273"/>
      <c r="AE1722" s="241"/>
      <c r="AF1722" s="194"/>
      <c r="AG1722" s="194"/>
      <c r="AH1722" s="194"/>
      <c r="AI1722" s="194"/>
    </row>
    <row r="1723" hidden="1">
      <c r="A1723" s="126"/>
      <c r="B1723" s="893"/>
      <c r="C1723" s="222"/>
      <c r="D1723" s="250" t="s">
        <v>1664</v>
      </c>
      <c r="E1723" s="233"/>
      <c r="F1723" s="224"/>
      <c r="G1723" s="233"/>
      <c r="H1723" s="222"/>
      <c r="I1723" s="222"/>
      <c r="J1723" s="222"/>
      <c r="K1723" s="222" t="s">
        <v>1644</v>
      </c>
      <c r="L1723" s="225"/>
      <c r="M1723" s="236"/>
      <c r="N1723" s="285"/>
      <c r="O1723" s="285"/>
      <c r="P1723" s="285"/>
      <c r="Q1723" s="230"/>
      <c r="R1723" s="230"/>
      <c r="S1723" s="230"/>
      <c r="T1723" s="230"/>
      <c r="U1723" s="230"/>
      <c r="V1723" s="230"/>
      <c r="W1723" s="230"/>
      <c r="X1723" s="230"/>
      <c r="Y1723" s="230"/>
      <c r="Z1723" s="230"/>
      <c r="AA1723" s="230"/>
      <c r="AB1723" s="230"/>
      <c r="AC1723" s="231">
        <f t="shared" si="754"/>
        <v>0</v>
      </c>
      <c r="AD1723" s="420"/>
      <c r="AE1723" s="241"/>
      <c r="AF1723" s="194"/>
      <c r="AG1723" s="194"/>
      <c r="AH1723" s="194"/>
      <c r="AI1723" s="194"/>
    </row>
    <row r="1724" hidden="1">
      <c r="A1724" s="126"/>
      <c r="B1724" s="1047"/>
      <c r="C1724" s="971"/>
      <c r="D1724" s="286" t="s">
        <v>194</v>
      </c>
      <c r="E1724" s="611"/>
      <c r="F1724" s="611"/>
      <c r="G1724" s="611"/>
      <c r="H1724" s="910"/>
      <c r="I1724" s="910"/>
      <c r="J1724" s="222"/>
      <c r="K1724" s="222" t="s">
        <v>1644</v>
      </c>
      <c r="L1724" s="613"/>
      <c r="M1724" s="629"/>
      <c r="N1724" s="630"/>
      <c r="O1724" s="630"/>
      <c r="P1724" s="630"/>
      <c r="Q1724" s="614"/>
      <c r="R1724" s="614"/>
      <c r="S1724" s="614"/>
      <c r="T1724" s="614"/>
      <c r="U1724" s="614"/>
      <c r="V1724" s="614"/>
      <c r="W1724" s="614"/>
      <c r="X1724" s="614"/>
      <c r="Y1724" s="614"/>
      <c r="Z1724" s="614"/>
      <c r="AA1724" s="614"/>
      <c r="AB1724" s="614"/>
      <c r="AC1724" s="378">
        <f t="shared" si="754"/>
        <v>0</v>
      </c>
      <c r="AD1724" s="420"/>
      <c r="AE1724" s="430"/>
      <c r="AF1724" s="431"/>
      <c r="AG1724" s="431"/>
      <c r="AH1724" s="431"/>
      <c r="AI1724" s="431"/>
    </row>
    <row r="1725" hidden="1">
      <c r="A1725" s="126"/>
      <c r="B1725" s="1047"/>
      <c r="C1725" s="971"/>
      <c r="D1725" s="286" t="s">
        <v>1665</v>
      </c>
      <c r="E1725" s="611"/>
      <c r="F1725" s="611"/>
      <c r="G1725" s="611"/>
      <c r="H1725" s="910"/>
      <c r="I1725" s="910"/>
      <c r="J1725" s="222"/>
      <c r="K1725" s="222" t="s">
        <v>1644</v>
      </c>
      <c r="L1725" s="613"/>
      <c r="M1725" s="629"/>
      <c r="N1725" s="630"/>
      <c r="O1725" s="630"/>
      <c r="P1725" s="630"/>
      <c r="Q1725" s="614"/>
      <c r="R1725" s="614"/>
      <c r="S1725" s="614"/>
      <c r="T1725" s="614"/>
      <c r="U1725" s="614"/>
      <c r="V1725" s="614"/>
      <c r="W1725" s="614"/>
      <c r="X1725" s="614"/>
      <c r="Y1725" s="614"/>
      <c r="Z1725" s="614"/>
      <c r="AA1725" s="614"/>
      <c r="AB1725" s="614"/>
      <c r="AC1725" s="378">
        <f t="shared" si="754"/>
        <v>0</v>
      </c>
      <c r="AD1725" s="420"/>
      <c r="AE1725" s="430"/>
      <c r="AF1725" s="431"/>
      <c r="AG1725" s="431"/>
      <c r="AH1725" s="431"/>
      <c r="AI1725" s="431"/>
    </row>
    <row r="1726">
      <c r="A1726" s="126"/>
      <c r="B1726" s="975"/>
      <c r="C1726" s="971">
        <v>8.0</v>
      </c>
      <c r="D1726" s="976" t="s">
        <v>1666</v>
      </c>
      <c r="E1726" s="198" t="s">
        <v>186</v>
      </c>
      <c r="F1726" s="198" t="s">
        <v>135</v>
      </c>
      <c r="G1726" s="198" t="s">
        <v>135</v>
      </c>
      <c r="H1726" s="198" t="s">
        <v>203</v>
      </c>
      <c r="I1726" s="198" t="s">
        <v>1010</v>
      </c>
      <c r="J1726" s="198" t="s">
        <v>367</v>
      </c>
      <c r="K1726" s="606" t="s">
        <v>1644</v>
      </c>
      <c r="L1726" s="604"/>
      <c r="M1726" s="1048"/>
      <c r="N1726" s="1049"/>
      <c r="O1726" s="1049"/>
      <c r="P1726" s="1049"/>
      <c r="Q1726" s="617"/>
      <c r="R1726" s="617"/>
      <c r="S1726" s="617"/>
      <c r="T1726" s="617"/>
      <c r="U1726" s="617"/>
      <c r="V1726" s="617"/>
      <c r="W1726" s="617"/>
      <c r="X1726" s="617"/>
      <c r="Y1726" s="617"/>
      <c r="Z1726" s="617">
        <f t="shared" ref="Z1726:AB1726" si="755">1600000000/3</f>
        <v>533333333.3</v>
      </c>
      <c r="AA1726" s="617">
        <f t="shared" si="755"/>
        <v>533333333.3</v>
      </c>
      <c r="AB1726" s="617">
        <f t="shared" si="755"/>
        <v>533333333.3</v>
      </c>
      <c r="AC1726" s="619">
        <f t="shared" si="754"/>
        <v>1600000000</v>
      </c>
      <c r="AD1726" s="420"/>
      <c r="AE1726" s="430"/>
      <c r="AF1726" s="431"/>
      <c r="AG1726" s="431"/>
      <c r="AH1726" s="431"/>
      <c r="AI1726" s="431"/>
    </row>
    <row r="1727" hidden="1">
      <c r="A1727" s="126"/>
      <c r="B1727" s="975"/>
      <c r="C1727" s="658"/>
      <c r="D1727" s="659"/>
      <c r="E1727" s="621"/>
      <c r="F1727" s="621"/>
      <c r="G1727" s="621"/>
      <c r="H1727" s="622"/>
      <c r="I1727" s="622"/>
      <c r="J1727" s="622"/>
      <c r="K1727" s="622" t="s">
        <v>1644</v>
      </c>
      <c r="L1727" s="623"/>
      <c r="M1727" s="624"/>
      <c r="N1727" s="625"/>
      <c r="O1727" s="625"/>
      <c r="P1727" s="625"/>
      <c r="Q1727" s="626"/>
      <c r="R1727" s="626"/>
      <c r="S1727" s="626"/>
      <c r="T1727" s="626"/>
      <c r="U1727" s="626"/>
      <c r="V1727" s="626"/>
      <c r="W1727" s="626"/>
      <c r="X1727" s="626"/>
      <c r="Y1727" s="626"/>
      <c r="Z1727" s="626"/>
      <c r="AA1727" s="626"/>
      <c r="AB1727" s="626"/>
      <c r="AC1727" s="628">
        <f t="shared" si="754"/>
        <v>0</v>
      </c>
      <c r="AD1727" s="420"/>
      <c r="AE1727" s="241"/>
      <c r="AF1727" s="194"/>
      <c r="AG1727" s="194"/>
      <c r="AH1727" s="194"/>
      <c r="AI1727" s="194"/>
    </row>
    <row r="1728" hidden="1">
      <c r="A1728" s="126"/>
      <c r="B1728" s="975"/>
      <c r="C1728" s="222"/>
      <c r="D1728" s="250" t="s">
        <v>1667</v>
      </c>
      <c r="E1728" s="611"/>
      <c r="F1728" s="611"/>
      <c r="G1728" s="611"/>
      <c r="H1728" s="612"/>
      <c r="I1728" s="612"/>
      <c r="J1728" s="222"/>
      <c r="K1728" s="222" t="s">
        <v>1644</v>
      </c>
      <c r="L1728" s="613"/>
      <c r="M1728" s="629"/>
      <c r="N1728" s="630"/>
      <c r="O1728" s="630"/>
      <c r="P1728" s="630"/>
      <c r="Q1728" s="614"/>
      <c r="R1728" s="614"/>
      <c r="S1728" s="614"/>
      <c r="T1728" s="614"/>
      <c r="U1728" s="614"/>
      <c r="V1728" s="614"/>
      <c r="W1728" s="614"/>
      <c r="X1728" s="614"/>
      <c r="Y1728" s="614"/>
      <c r="Z1728" s="614"/>
      <c r="AA1728" s="614"/>
      <c r="AB1728" s="614"/>
      <c r="AC1728" s="909">
        <f t="shared" si="754"/>
        <v>0</v>
      </c>
      <c r="AD1728" s="974"/>
      <c r="AE1728" s="241"/>
      <c r="AF1728" s="194"/>
      <c r="AG1728" s="194"/>
      <c r="AH1728" s="194"/>
      <c r="AI1728" s="194"/>
    </row>
    <row r="1729" hidden="1">
      <c r="A1729" s="126"/>
      <c r="B1729" s="975"/>
      <c r="C1729" s="222"/>
      <c r="D1729" s="286" t="s">
        <v>194</v>
      </c>
      <c r="E1729" s="233"/>
      <c r="F1729" s="233"/>
      <c r="G1729" s="233"/>
      <c r="H1729" s="234"/>
      <c r="I1729" s="234"/>
      <c r="J1729" s="222"/>
      <c r="K1729" s="222" t="s">
        <v>1644</v>
      </c>
      <c r="L1729" s="287"/>
      <c r="M1729" s="236"/>
      <c r="N1729" s="285"/>
      <c r="O1729" s="285"/>
      <c r="P1729" s="285"/>
      <c r="Q1729" s="288"/>
      <c r="R1729" s="288"/>
      <c r="S1729" s="288"/>
      <c r="T1729" s="288"/>
      <c r="U1729" s="288"/>
      <c r="V1729" s="288"/>
      <c r="W1729" s="288"/>
      <c r="X1729" s="288"/>
      <c r="Y1729" s="288"/>
      <c r="Z1729" s="288"/>
      <c r="AA1729" s="288"/>
      <c r="AB1729" s="288"/>
      <c r="AC1729" s="378">
        <f t="shared" si="754"/>
        <v>0</v>
      </c>
      <c r="AD1729" s="974"/>
      <c r="AE1729" s="241"/>
      <c r="AF1729" s="194"/>
      <c r="AG1729" s="194"/>
      <c r="AH1729" s="194"/>
      <c r="AI1729" s="194"/>
    </row>
    <row r="1730" hidden="1">
      <c r="A1730" s="126"/>
      <c r="B1730" s="975"/>
      <c r="C1730" s="222"/>
      <c r="D1730" s="286" t="s">
        <v>1668</v>
      </c>
      <c r="E1730" s="233"/>
      <c r="F1730" s="233"/>
      <c r="G1730" s="233"/>
      <c r="H1730" s="234"/>
      <c r="I1730" s="234"/>
      <c r="J1730" s="222"/>
      <c r="K1730" s="222" t="s">
        <v>1644</v>
      </c>
      <c r="L1730" s="287"/>
      <c r="M1730" s="236"/>
      <c r="N1730" s="285"/>
      <c r="O1730" s="285"/>
      <c r="P1730" s="285"/>
      <c r="Q1730" s="288"/>
      <c r="R1730" s="288"/>
      <c r="S1730" s="288"/>
      <c r="T1730" s="288"/>
      <c r="U1730" s="288"/>
      <c r="V1730" s="288"/>
      <c r="W1730" s="288"/>
      <c r="X1730" s="288"/>
      <c r="Y1730" s="288"/>
      <c r="Z1730" s="288"/>
      <c r="AA1730" s="288"/>
      <c r="AB1730" s="288"/>
      <c r="AC1730" s="378">
        <f t="shared" si="754"/>
        <v>0</v>
      </c>
      <c r="AD1730" s="974"/>
      <c r="AE1730" s="241"/>
      <c r="AF1730" s="194"/>
      <c r="AG1730" s="194"/>
      <c r="AH1730" s="194"/>
      <c r="AI1730" s="194"/>
    </row>
    <row r="1731" hidden="1">
      <c r="A1731" s="126"/>
      <c r="B1731" s="982"/>
      <c r="C1731" s="289"/>
      <c r="D1731" s="290" t="s">
        <v>1669</v>
      </c>
      <c r="E1731" s="487"/>
      <c r="F1731" s="487"/>
      <c r="G1731" s="487"/>
      <c r="H1731" s="291"/>
      <c r="I1731" s="291"/>
      <c r="J1731" s="292"/>
      <c r="K1731" s="292" t="s">
        <v>1644</v>
      </c>
      <c r="L1731" s="293"/>
      <c r="M1731" s="294"/>
      <c r="N1731" s="295"/>
      <c r="O1731" s="295"/>
      <c r="P1731" s="295"/>
      <c r="Q1731" s="296">
        <f t="shared" ref="Q1731:AB1731" si="756">Q1692+Q1697+Q1702+Q1707+Q1712+Q1717+Q1722+Q1727</f>
        <v>0</v>
      </c>
      <c r="R1731" s="296">
        <f t="shared" si="756"/>
        <v>0</v>
      </c>
      <c r="S1731" s="296">
        <f t="shared" si="756"/>
        <v>0</v>
      </c>
      <c r="T1731" s="296">
        <f t="shared" si="756"/>
        <v>0</v>
      </c>
      <c r="U1731" s="296">
        <f t="shared" si="756"/>
        <v>0</v>
      </c>
      <c r="V1731" s="296">
        <f t="shared" si="756"/>
        <v>0</v>
      </c>
      <c r="W1731" s="296">
        <f t="shared" si="756"/>
        <v>0</v>
      </c>
      <c r="X1731" s="296">
        <f t="shared" si="756"/>
        <v>0</v>
      </c>
      <c r="Y1731" s="296">
        <f t="shared" si="756"/>
        <v>0</v>
      </c>
      <c r="Z1731" s="296">
        <f t="shared" si="756"/>
        <v>0</v>
      </c>
      <c r="AA1731" s="296">
        <f t="shared" si="756"/>
        <v>0</v>
      </c>
      <c r="AB1731" s="296">
        <f t="shared" si="756"/>
        <v>0</v>
      </c>
      <c r="AC1731" s="547">
        <f t="shared" si="754"/>
        <v>0</v>
      </c>
      <c r="AD1731" s="974"/>
      <c r="AE1731" s="241"/>
      <c r="AF1731" s="194"/>
      <c r="AG1731" s="194"/>
      <c r="AH1731" s="194"/>
      <c r="AI1731" s="194"/>
    </row>
    <row r="1732" hidden="1">
      <c r="A1732" s="126"/>
      <c r="B1732" s="983"/>
      <c r="C1732" s="299"/>
      <c r="D1732" s="300" t="s">
        <v>1670</v>
      </c>
      <c r="E1732" s="488"/>
      <c r="F1732" s="488"/>
      <c r="G1732" s="488"/>
      <c r="H1732" s="301"/>
      <c r="I1732" s="301"/>
      <c r="J1732" s="489"/>
      <c r="K1732" s="932" t="s">
        <v>1644</v>
      </c>
      <c r="L1732" s="304"/>
      <c r="M1732" s="305"/>
      <c r="N1732" s="306"/>
      <c r="O1732" s="306"/>
      <c r="P1732" s="306"/>
      <c r="Q1732" s="307">
        <f t="shared" ref="Q1732:AC1732" si="757">Q1693+Q1698+Q1703+Q1708+Q1713+Q1718+Q1723+Q1728</f>
        <v>0</v>
      </c>
      <c r="R1732" s="307">
        <f t="shared" si="757"/>
        <v>0</v>
      </c>
      <c r="S1732" s="307">
        <f t="shared" si="757"/>
        <v>0</v>
      </c>
      <c r="T1732" s="307">
        <f t="shared" si="757"/>
        <v>0</v>
      </c>
      <c r="U1732" s="307">
        <f t="shared" si="757"/>
        <v>0</v>
      </c>
      <c r="V1732" s="307">
        <f t="shared" si="757"/>
        <v>0</v>
      </c>
      <c r="W1732" s="307">
        <f t="shared" si="757"/>
        <v>0</v>
      </c>
      <c r="X1732" s="307">
        <f t="shared" si="757"/>
        <v>0</v>
      </c>
      <c r="Y1732" s="307">
        <f t="shared" si="757"/>
        <v>0</v>
      </c>
      <c r="Z1732" s="307">
        <f t="shared" si="757"/>
        <v>0</v>
      </c>
      <c r="AA1732" s="307">
        <f t="shared" si="757"/>
        <v>0</v>
      </c>
      <c r="AB1732" s="307">
        <f t="shared" si="757"/>
        <v>0</v>
      </c>
      <c r="AC1732" s="491">
        <f t="shared" si="757"/>
        <v>0</v>
      </c>
      <c r="AD1732" s="974" t="s">
        <v>1108</v>
      </c>
      <c r="AE1732" s="241"/>
      <c r="AF1732" s="310">
        <f t="shared" ref="AF1732:AF1733" si="759">AC1732-AC1733</f>
        <v>0</v>
      </c>
      <c r="AG1732" s="311" t="s">
        <v>226</v>
      </c>
      <c r="AH1732" s="194"/>
      <c r="AI1732" s="194"/>
    </row>
    <row r="1733" hidden="1">
      <c r="A1733" s="126"/>
      <c r="B1733" s="669"/>
      <c r="C1733" s="670"/>
      <c r="D1733" s="313" t="s">
        <v>1671</v>
      </c>
      <c r="E1733" s="331"/>
      <c r="F1733" s="331"/>
      <c r="G1733" s="331"/>
      <c r="H1733" s="199"/>
      <c r="I1733" s="199"/>
      <c r="J1733" s="222"/>
      <c r="K1733" s="933" t="s">
        <v>1644</v>
      </c>
      <c r="L1733" s="225"/>
      <c r="M1733" s="236"/>
      <c r="N1733" s="285"/>
      <c r="O1733" s="285"/>
      <c r="P1733" s="285"/>
      <c r="Q1733" s="288">
        <f t="shared" ref="Q1733:AC1733" si="758">Q1694+Q1699+Q1704+Q1709+Q1714+Q1719+Q1724+Q1729</f>
        <v>0</v>
      </c>
      <c r="R1733" s="288">
        <f t="shared" si="758"/>
        <v>0</v>
      </c>
      <c r="S1733" s="288">
        <f t="shared" si="758"/>
        <v>0</v>
      </c>
      <c r="T1733" s="288">
        <f t="shared" si="758"/>
        <v>0</v>
      </c>
      <c r="U1733" s="288">
        <f t="shared" si="758"/>
        <v>0</v>
      </c>
      <c r="V1733" s="288">
        <f t="shared" si="758"/>
        <v>0</v>
      </c>
      <c r="W1733" s="288">
        <f t="shared" si="758"/>
        <v>0</v>
      </c>
      <c r="X1733" s="288">
        <f t="shared" si="758"/>
        <v>0</v>
      </c>
      <c r="Y1733" s="288">
        <f t="shared" si="758"/>
        <v>0</v>
      </c>
      <c r="Z1733" s="288">
        <f t="shared" si="758"/>
        <v>0</v>
      </c>
      <c r="AA1733" s="288">
        <f t="shared" si="758"/>
        <v>0</v>
      </c>
      <c r="AB1733" s="288">
        <f t="shared" si="758"/>
        <v>0</v>
      </c>
      <c r="AC1733" s="492">
        <f t="shared" si="758"/>
        <v>0</v>
      </c>
      <c r="AD1733" s="214"/>
      <c r="AE1733" s="1002"/>
      <c r="AF1733" s="316">
        <f t="shared" si="759"/>
        <v>0</v>
      </c>
      <c r="AG1733" s="311" t="s">
        <v>228</v>
      </c>
      <c r="AH1733" s="180"/>
      <c r="AI1733" s="180"/>
    </row>
    <row r="1734" hidden="1">
      <c r="A1734" s="126"/>
      <c r="B1734" s="669"/>
      <c r="C1734" s="674"/>
      <c r="D1734" s="318" t="s">
        <v>1672</v>
      </c>
      <c r="E1734" s="493"/>
      <c r="F1734" s="493"/>
      <c r="G1734" s="493"/>
      <c r="H1734" s="494"/>
      <c r="I1734" s="494"/>
      <c r="J1734" s="320"/>
      <c r="K1734" s="934" t="s">
        <v>1644</v>
      </c>
      <c r="L1734" s="675"/>
      <c r="M1734" s="322"/>
      <c r="N1734" s="323"/>
      <c r="O1734" s="323"/>
      <c r="P1734" s="323"/>
      <c r="Q1734" s="324">
        <f t="shared" ref="Q1734:AC1734" si="760">Q1695+Q1700+Q1705+Q1710+Q1715+Q1720+Q1725+Q1730</f>
        <v>0</v>
      </c>
      <c r="R1734" s="324">
        <f t="shared" si="760"/>
        <v>0</v>
      </c>
      <c r="S1734" s="324">
        <f t="shared" si="760"/>
        <v>0</v>
      </c>
      <c r="T1734" s="324">
        <f t="shared" si="760"/>
        <v>0</v>
      </c>
      <c r="U1734" s="324">
        <f t="shared" si="760"/>
        <v>0</v>
      </c>
      <c r="V1734" s="324">
        <f t="shared" si="760"/>
        <v>0</v>
      </c>
      <c r="W1734" s="324">
        <f t="shared" si="760"/>
        <v>0</v>
      </c>
      <c r="X1734" s="324">
        <f t="shared" si="760"/>
        <v>0</v>
      </c>
      <c r="Y1734" s="324">
        <f t="shared" si="760"/>
        <v>0</v>
      </c>
      <c r="Z1734" s="324">
        <f t="shared" si="760"/>
        <v>0</v>
      </c>
      <c r="AA1734" s="324">
        <f t="shared" si="760"/>
        <v>0</v>
      </c>
      <c r="AB1734" s="324">
        <f t="shared" si="760"/>
        <v>0</v>
      </c>
      <c r="AC1734" s="495">
        <f t="shared" si="760"/>
        <v>0</v>
      </c>
      <c r="AD1734" s="214"/>
      <c r="AE1734" s="1002"/>
      <c r="AF1734" s="328">
        <f>AC1734</f>
        <v>0</v>
      </c>
      <c r="AG1734" s="311" t="s">
        <v>148</v>
      </c>
      <c r="AH1734" s="180"/>
      <c r="AI1734" s="180"/>
    </row>
    <row r="1735">
      <c r="A1735" s="126"/>
      <c r="B1735" s="677" t="s">
        <v>67</v>
      </c>
      <c r="C1735" s="678" t="s">
        <v>68</v>
      </c>
      <c r="D1735" s="679"/>
      <c r="E1735" s="496"/>
      <c r="F1735" s="496"/>
      <c r="G1735" s="496"/>
      <c r="H1735" s="332"/>
      <c r="I1735" s="332"/>
      <c r="J1735" s="332"/>
      <c r="K1735" s="988"/>
      <c r="L1735" s="989"/>
      <c r="M1735" s="930"/>
      <c r="N1735" s="931"/>
      <c r="O1735" s="931"/>
      <c r="P1735" s="931"/>
      <c r="Q1735" s="724">
        <f t="shared" ref="Q1735:AC1735" si="761">Q1736+Q1737</f>
        <v>0</v>
      </c>
      <c r="R1735" s="724">
        <f t="shared" si="761"/>
        <v>0</v>
      </c>
      <c r="S1735" s="724">
        <f t="shared" si="761"/>
        <v>0</v>
      </c>
      <c r="T1735" s="724">
        <f t="shared" si="761"/>
        <v>0</v>
      </c>
      <c r="U1735" s="724">
        <f t="shared" si="761"/>
        <v>0</v>
      </c>
      <c r="V1735" s="724">
        <f t="shared" si="761"/>
        <v>0</v>
      </c>
      <c r="W1735" s="724">
        <f t="shared" si="761"/>
        <v>0</v>
      </c>
      <c r="X1735" s="724">
        <f t="shared" si="761"/>
        <v>0</v>
      </c>
      <c r="Y1735" s="724">
        <f t="shared" si="761"/>
        <v>0</v>
      </c>
      <c r="Z1735" s="724">
        <f t="shared" si="761"/>
        <v>0</v>
      </c>
      <c r="AA1735" s="724">
        <f t="shared" si="761"/>
        <v>0</v>
      </c>
      <c r="AB1735" s="724">
        <f t="shared" si="761"/>
        <v>0</v>
      </c>
      <c r="AC1735" s="682">
        <f t="shared" si="761"/>
        <v>0</v>
      </c>
      <c r="AD1735" s="178">
        <f t="shared" ref="AD1735:AD1739" si="762">SUM(Q1735:AB1735)-AC1735</f>
        <v>0</v>
      </c>
      <c r="AE1735" s="683">
        <f>AE1736+AE1737</f>
        <v>0</v>
      </c>
      <c r="AF1735" s="180"/>
      <c r="AG1735" s="180"/>
      <c r="AH1735" s="180"/>
      <c r="AI1735" s="180"/>
    </row>
    <row r="1736">
      <c r="A1736" s="126"/>
      <c r="B1736" s="655">
        <v>32.0</v>
      </c>
      <c r="C1736" s="182" t="s">
        <v>1673</v>
      </c>
      <c r="D1736" s="684"/>
      <c r="E1736" s="331"/>
      <c r="F1736" s="331"/>
      <c r="G1736" s="331"/>
      <c r="H1736" s="199"/>
      <c r="I1736" s="199"/>
      <c r="J1736" s="199"/>
      <c r="K1736" s="937"/>
      <c r="L1736" s="993"/>
      <c r="M1736" s="240"/>
      <c r="N1736" s="388"/>
      <c r="O1736" s="388"/>
      <c r="P1736" s="388"/>
      <c r="Q1736" s="183"/>
      <c r="R1736" s="183"/>
      <c r="S1736" s="183"/>
      <c r="T1736" s="183"/>
      <c r="U1736" s="183"/>
      <c r="V1736" s="183"/>
      <c r="W1736" s="183"/>
      <c r="X1736" s="183"/>
      <c r="Y1736" s="183"/>
      <c r="Z1736" s="183"/>
      <c r="AA1736" s="183"/>
      <c r="AB1736" s="183"/>
      <c r="AC1736" s="191">
        <f t="shared" ref="AC1736:AC1737" si="763">SUM(Q1736:AB1736)</f>
        <v>0</v>
      </c>
      <c r="AD1736" s="178">
        <f t="shared" si="762"/>
        <v>0</v>
      </c>
      <c r="AE1736" s="241" t="str">
        <f>'Proker New'!Y314</f>
        <v/>
      </c>
      <c r="AF1736" s="193" t="str">
        <f t="shared" ref="AF1736:AF1737" si="764">C1736</f>
        <v>Maluku Utara - Sofifi </v>
      </c>
      <c r="AG1736" s="194"/>
      <c r="AH1736" s="194"/>
      <c r="AI1736" s="194"/>
    </row>
    <row r="1737">
      <c r="A1737" s="126"/>
      <c r="B1737" s="655">
        <v>33.0</v>
      </c>
      <c r="C1737" s="182" t="s">
        <v>70</v>
      </c>
      <c r="D1737" s="684"/>
      <c r="E1737" s="331"/>
      <c r="F1737" s="331"/>
      <c r="G1737" s="331"/>
      <c r="H1737" s="199"/>
      <c r="I1737" s="199"/>
      <c r="J1737" s="199"/>
      <c r="K1737" s="937"/>
      <c r="L1737" s="993"/>
      <c r="M1737" s="240"/>
      <c r="N1737" s="388"/>
      <c r="O1737" s="388"/>
      <c r="P1737" s="388"/>
      <c r="Q1737" s="183"/>
      <c r="R1737" s="183"/>
      <c r="S1737" s="183"/>
      <c r="T1737" s="183"/>
      <c r="U1737" s="183"/>
      <c r="V1737" s="183"/>
      <c r="W1737" s="183"/>
      <c r="X1737" s="183"/>
      <c r="Y1737" s="183"/>
      <c r="Z1737" s="183"/>
      <c r="AA1737" s="183"/>
      <c r="AB1737" s="183"/>
      <c r="AC1737" s="191">
        <f t="shared" si="763"/>
        <v>0</v>
      </c>
      <c r="AD1737" s="178">
        <f t="shared" si="762"/>
        <v>0</v>
      </c>
      <c r="AE1737" s="241" t="str">
        <f>'Proker New'!Y315</f>
        <v/>
      </c>
      <c r="AF1737" s="193" t="str">
        <f t="shared" si="764"/>
        <v>Maluku - Ambon</v>
      </c>
      <c r="AG1737" s="194"/>
      <c r="AH1737" s="194"/>
      <c r="AI1737" s="194"/>
    </row>
    <row r="1738">
      <c r="A1738" s="126"/>
      <c r="B1738" s="1050" t="s">
        <v>71</v>
      </c>
      <c r="C1738" s="1032" t="s">
        <v>72</v>
      </c>
      <c r="D1738" s="1033"/>
      <c r="E1738" s="331"/>
      <c r="F1738" s="331"/>
      <c r="G1738" s="331"/>
      <c r="H1738" s="199"/>
      <c r="I1738" s="199"/>
      <c r="J1738" s="199"/>
      <c r="K1738" s="937"/>
      <c r="L1738" s="895"/>
      <c r="M1738" s="240"/>
      <c r="N1738" s="388"/>
      <c r="O1738" s="388"/>
      <c r="P1738" s="388"/>
      <c r="Q1738" s="1051">
        <f t="shared" ref="Q1738:AC1738" si="765">Q1739+Q1740+Q1750+Q1760+Q1761+Q1762</f>
        <v>0</v>
      </c>
      <c r="R1738" s="1051">
        <f t="shared" si="765"/>
        <v>160177410</v>
      </c>
      <c r="S1738" s="1051">
        <f t="shared" si="765"/>
        <v>160177410</v>
      </c>
      <c r="T1738" s="1051">
        <f t="shared" si="765"/>
        <v>160177410</v>
      </c>
      <c r="U1738" s="1051">
        <f t="shared" si="765"/>
        <v>160177410</v>
      </c>
      <c r="V1738" s="1051">
        <f t="shared" si="765"/>
        <v>160177410</v>
      </c>
      <c r="W1738" s="1051">
        <f t="shared" si="765"/>
        <v>237239682</v>
      </c>
      <c r="X1738" s="1051">
        <f t="shared" si="765"/>
        <v>237239682</v>
      </c>
      <c r="Y1738" s="1051">
        <f t="shared" si="765"/>
        <v>237239682</v>
      </c>
      <c r="Z1738" s="1051">
        <f t="shared" si="765"/>
        <v>237239682</v>
      </c>
      <c r="AA1738" s="1051">
        <f t="shared" si="765"/>
        <v>237239682</v>
      </c>
      <c r="AB1738" s="1051">
        <f t="shared" si="765"/>
        <v>237239682</v>
      </c>
      <c r="AC1738" s="1052">
        <f t="shared" si="765"/>
        <v>2224325142</v>
      </c>
      <c r="AD1738" s="178">
        <f t="shared" si="762"/>
        <v>0</v>
      </c>
      <c r="AE1738" s="683">
        <f>AE1739+AE1740+AE1750+AE1760+AE1761+AE1762</f>
        <v>2224325142</v>
      </c>
      <c r="AF1738" s="180"/>
      <c r="AG1738" s="180"/>
      <c r="AH1738" s="180"/>
      <c r="AI1738" s="180"/>
    </row>
    <row r="1739">
      <c r="A1739" s="126"/>
      <c r="B1739" s="655">
        <v>34.0</v>
      </c>
      <c r="C1739" s="182" t="s">
        <v>73</v>
      </c>
      <c r="D1739" s="684"/>
      <c r="E1739" s="331"/>
      <c r="F1739" s="331"/>
      <c r="G1739" s="331"/>
      <c r="H1739" s="199"/>
      <c r="I1739" s="199"/>
      <c r="J1739" s="199"/>
      <c r="K1739" s="937"/>
      <c r="L1739" s="993"/>
      <c r="M1739" s="240"/>
      <c r="N1739" s="388"/>
      <c r="O1739" s="388"/>
      <c r="P1739" s="388"/>
      <c r="Q1739" s="183"/>
      <c r="R1739" s="183"/>
      <c r="S1739" s="183"/>
      <c r="T1739" s="183"/>
      <c r="U1739" s="183"/>
      <c r="V1739" s="183"/>
      <c r="W1739" s="183"/>
      <c r="X1739" s="183"/>
      <c r="Y1739" s="183"/>
      <c r="Z1739" s="183"/>
      <c r="AA1739" s="183"/>
      <c r="AB1739" s="183"/>
      <c r="AC1739" s="191">
        <f t="shared" ref="AC1739:AC1740" si="767">SUM(Q1739:AB1739)</f>
        <v>0</v>
      </c>
      <c r="AD1739" s="178">
        <f t="shared" si="762"/>
        <v>0</v>
      </c>
      <c r="AE1739" s="241"/>
      <c r="AF1739" s="193" t="str">
        <f>C1739</f>
        <v>Papua Barat - Manokwari</v>
      </c>
      <c r="AG1739" s="194"/>
      <c r="AH1739" s="194"/>
      <c r="AI1739" s="194"/>
    </row>
    <row r="1740">
      <c r="A1740" s="126"/>
      <c r="B1740" s="1053">
        <v>35.0</v>
      </c>
      <c r="C1740" s="182" t="s">
        <v>74</v>
      </c>
      <c r="D1740" s="684"/>
      <c r="E1740" s="331"/>
      <c r="F1740" s="331"/>
      <c r="G1740" s="331"/>
      <c r="H1740" s="199"/>
      <c r="I1740" s="199"/>
      <c r="J1740" s="685"/>
      <c r="K1740" s="396" t="s">
        <v>1674</v>
      </c>
      <c r="L1740" s="993"/>
      <c r="M1740" s="240"/>
      <c r="N1740" s="388"/>
      <c r="O1740" s="388"/>
      <c r="P1740" s="388"/>
      <c r="Q1740" s="1054" t="str">
        <f t="shared" ref="Q1740:AB1740" si="766">Q1741</f>
        <v/>
      </c>
      <c r="R1740" s="1054">
        <f t="shared" si="766"/>
        <v>160177410</v>
      </c>
      <c r="S1740" s="1054">
        <f t="shared" si="766"/>
        <v>160177410</v>
      </c>
      <c r="T1740" s="1054">
        <f t="shared" si="766"/>
        <v>160177410</v>
      </c>
      <c r="U1740" s="1054">
        <f t="shared" si="766"/>
        <v>160177410</v>
      </c>
      <c r="V1740" s="1054">
        <f t="shared" si="766"/>
        <v>160177410</v>
      </c>
      <c r="W1740" s="1054">
        <f t="shared" si="766"/>
        <v>160177410</v>
      </c>
      <c r="X1740" s="1054">
        <f t="shared" si="766"/>
        <v>160177410</v>
      </c>
      <c r="Y1740" s="1054">
        <f t="shared" si="766"/>
        <v>160177410</v>
      </c>
      <c r="Z1740" s="1054">
        <f t="shared" si="766"/>
        <v>160177410</v>
      </c>
      <c r="AA1740" s="1054">
        <f t="shared" si="766"/>
        <v>160177410</v>
      </c>
      <c r="AB1740" s="1054">
        <f t="shared" si="766"/>
        <v>160177410</v>
      </c>
      <c r="AC1740" s="1055">
        <f t="shared" si="767"/>
        <v>1761951510</v>
      </c>
      <c r="AD1740" s="178">
        <f>AC1740-AE1740</f>
        <v>0</v>
      </c>
      <c r="AE1740" s="241">
        <f>'Proker New'!Y318</f>
        <v>1761951510</v>
      </c>
      <c r="AF1740" s="194"/>
      <c r="AG1740" s="194"/>
      <c r="AH1740" s="194"/>
      <c r="AI1740" s="194"/>
    </row>
    <row r="1741">
      <c r="A1741" s="126"/>
      <c r="B1741" s="893"/>
      <c r="C1741" s="196">
        <v>1.0</v>
      </c>
      <c r="D1741" s="925" t="s">
        <v>1675</v>
      </c>
      <c r="E1741" s="198" t="s">
        <v>186</v>
      </c>
      <c r="F1741" s="198" t="s">
        <v>88</v>
      </c>
      <c r="G1741" s="198" t="s">
        <v>88</v>
      </c>
      <c r="H1741" s="198" t="s">
        <v>218</v>
      </c>
      <c r="I1741" s="198" t="s">
        <v>253</v>
      </c>
      <c r="J1741" s="198" t="s">
        <v>254</v>
      </c>
      <c r="K1741" s="606" t="s">
        <v>1674</v>
      </c>
      <c r="L1741" s="895"/>
      <c r="M1741" s="240"/>
      <c r="N1741" s="388"/>
      <c r="O1741" s="388"/>
      <c r="P1741" s="388"/>
      <c r="Q1741" s="896"/>
      <c r="R1741" s="896">
        <v>1.6017741E8</v>
      </c>
      <c r="S1741" s="896">
        <v>1.6017741E8</v>
      </c>
      <c r="T1741" s="896">
        <v>1.6017741E8</v>
      </c>
      <c r="U1741" s="896">
        <v>1.6017741E8</v>
      </c>
      <c r="V1741" s="896">
        <v>1.6017741E8</v>
      </c>
      <c r="W1741" s="896">
        <v>1.6017741E8</v>
      </c>
      <c r="X1741" s="896">
        <v>1.6017741E8</v>
      </c>
      <c r="Y1741" s="896">
        <v>1.6017741E8</v>
      </c>
      <c r="Z1741" s="896">
        <v>1.6017741E8</v>
      </c>
      <c r="AA1741" s="896">
        <v>1.6017741E8</v>
      </c>
      <c r="AB1741" s="896">
        <v>1.6017741E8</v>
      </c>
      <c r="AC1741" s="897">
        <v>1.76195151E9</v>
      </c>
      <c r="AD1741" s="273">
        <f>SUM(Q1741:AB1741)-AC1741</f>
        <v>0</v>
      </c>
      <c r="AE1741" s="192"/>
      <c r="AF1741" s="194"/>
      <c r="AG1741" s="194"/>
      <c r="AH1741" s="194"/>
      <c r="AI1741" s="194"/>
    </row>
    <row r="1742" hidden="1">
      <c r="A1742" s="126"/>
      <c r="B1742" s="893"/>
      <c r="C1742" s="206"/>
      <c r="D1742" s="207"/>
      <c r="E1742" s="260"/>
      <c r="F1742" s="207"/>
      <c r="G1742" s="260"/>
      <c r="H1742" s="206"/>
      <c r="I1742" s="206"/>
      <c r="J1742" s="206"/>
      <c r="K1742" s="206" t="s">
        <v>1674</v>
      </c>
      <c r="L1742" s="277"/>
      <c r="M1742" s="244"/>
      <c r="N1742" s="389"/>
      <c r="O1742" s="389"/>
      <c r="P1742" s="389"/>
      <c r="Q1742" s="212"/>
      <c r="R1742" s="212"/>
      <c r="S1742" s="212"/>
      <c r="T1742" s="212"/>
      <c r="U1742" s="212"/>
      <c r="V1742" s="212"/>
      <c r="W1742" s="212"/>
      <c r="X1742" s="212"/>
      <c r="Y1742" s="212"/>
      <c r="Z1742" s="212"/>
      <c r="AA1742" s="212"/>
      <c r="AB1742" s="212"/>
      <c r="AC1742" s="213">
        <f t="shared" ref="AC1742:AC1750" si="768">SUM(Q1742:AB1742)</f>
        <v>0</v>
      </c>
      <c r="AD1742" s="273"/>
      <c r="AE1742" s="241"/>
      <c r="AF1742" s="194"/>
      <c r="AG1742" s="194"/>
      <c r="AH1742" s="194"/>
      <c r="AI1742" s="194"/>
    </row>
    <row r="1743" hidden="1">
      <c r="A1743" s="126"/>
      <c r="B1743" s="893"/>
      <c r="C1743" s="222"/>
      <c r="D1743" s="250" t="s">
        <v>1676</v>
      </c>
      <c r="E1743" s="233"/>
      <c r="F1743" s="224"/>
      <c r="G1743" s="233"/>
      <c r="H1743" s="222"/>
      <c r="I1743" s="222"/>
      <c r="J1743" s="222"/>
      <c r="K1743" s="222" t="s">
        <v>1674</v>
      </c>
      <c r="L1743" s="225"/>
      <c r="M1743" s="236"/>
      <c r="N1743" s="285"/>
      <c r="O1743" s="285"/>
      <c r="P1743" s="285"/>
      <c r="Q1743" s="230"/>
      <c r="R1743" s="230"/>
      <c r="S1743" s="230"/>
      <c r="T1743" s="230"/>
      <c r="U1743" s="230"/>
      <c r="V1743" s="230"/>
      <c r="W1743" s="230"/>
      <c r="X1743" s="230"/>
      <c r="Y1743" s="230"/>
      <c r="Z1743" s="230"/>
      <c r="AA1743" s="230"/>
      <c r="AB1743" s="230"/>
      <c r="AC1743" s="231">
        <f t="shared" si="768"/>
        <v>0</v>
      </c>
      <c r="AD1743" s="284"/>
      <c r="AE1743" s="241"/>
      <c r="AF1743" s="194"/>
      <c r="AG1743" s="194"/>
      <c r="AH1743" s="194"/>
      <c r="AI1743" s="194"/>
    </row>
    <row r="1744" hidden="1">
      <c r="A1744" s="126"/>
      <c r="B1744" s="902"/>
      <c r="C1744" s="182"/>
      <c r="D1744" s="286" t="s">
        <v>194</v>
      </c>
      <c r="E1744" s="233"/>
      <c r="F1744" s="233"/>
      <c r="G1744" s="233"/>
      <c r="H1744" s="234"/>
      <c r="I1744" s="234"/>
      <c r="J1744" s="222"/>
      <c r="K1744" s="222" t="s">
        <v>1674</v>
      </c>
      <c r="L1744" s="287"/>
      <c r="M1744" s="236"/>
      <c r="N1744" s="285"/>
      <c r="O1744" s="285"/>
      <c r="P1744" s="285"/>
      <c r="Q1744" s="288"/>
      <c r="R1744" s="288"/>
      <c r="S1744" s="288"/>
      <c r="T1744" s="288"/>
      <c r="U1744" s="288"/>
      <c r="V1744" s="288"/>
      <c r="W1744" s="288"/>
      <c r="X1744" s="288"/>
      <c r="Y1744" s="288"/>
      <c r="Z1744" s="288"/>
      <c r="AA1744" s="288"/>
      <c r="AB1744" s="288"/>
      <c r="AC1744" s="378">
        <f t="shared" si="768"/>
        <v>0</v>
      </c>
      <c r="AD1744" s="284"/>
      <c r="AE1744" s="241"/>
      <c r="AF1744" s="194"/>
      <c r="AG1744" s="194"/>
      <c r="AH1744" s="194"/>
      <c r="AI1744" s="194"/>
    </row>
    <row r="1745" hidden="1">
      <c r="A1745" s="126"/>
      <c r="B1745" s="902"/>
      <c r="C1745" s="182"/>
      <c r="D1745" s="286" t="s">
        <v>1677</v>
      </c>
      <c r="E1745" s="233"/>
      <c r="F1745" s="233"/>
      <c r="G1745" s="233"/>
      <c r="H1745" s="234"/>
      <c r="I1745" s="234"/>
      <c r="J1745" s="222"/>
      <c r="K1745" s="222" t="s">
        <v>1674</v>
      </c>
      <c r="L1745" s="287"/>
      <c r="M1745" s="236"/>
      <c r="N1745" s="285"/>
      <c r="O1745" s="285"/>
      <c r="P1745" s="285"/>
      <c r="Q1745" s="288"/>
      <c r="R1745" s="288"/>
      <c r="S1745" s="288"/>
      <c r="T1745" s="288"/>
      <c r="U1745" s="288"/>
      <c r="V1745" s="288"/>
      <c r="W1745" s="288"/>
      <c r="X1745" s="288"/>
      <c r="Y1745" s="288"/>
      <c r="Z1745" s="288"/>
      <c r="AA1745" s="288"/>
      <c r="AB1745" s="288"/>
      <c r="AC1745" s="378">
        <f t="shared" si="768"/>
        <v>0</v>
      </c>
      <c r="AD1745" s="284"/>
      <c r="AE1745" s="241"/>
      <c r="AF1745" s="194"/>
      <c r="AG1745" s="194"/>
      <c r="AH1745" s="194"/>
      <c r="AI1745" s="194"/>
    </row>
    <row r="1746" hidden="1">
      <c r="A1746" s="126"/>
      <c r="B1746" s="181"/>
      <c r="C1746" s="289"/>
      <c r="D1746" s="290" t="s">
        <v>1678</v>
      </c>
      <c r="E1746" s="487"/>
      <c r="F1746" s="487"/>
      <c r="G1746" s="487"/>
      <c r="H1746" s="291"/>
      <c r="I1746" s="291"/>
      <c r="J1746" s="292"/>
      <c r="K1746" s="292" t="s">
        <v>1674</v>
      </c>
      <c r="L1746" s="293"/>
      <c r="M1746" s="294"/>
      <c r="N1746" s="295"/>
      <c r="O1746" s="295"/>
      <c r="P1746" s="295"/>
      <c r="Q1746" s="296" t="str">
        <f t="shared" ref="Q1746:AB1746" si="769">Q1742</f>
        <v/>
      </c>
      <c r="R1746" s="296" t="str">
        <f t="shared" si="769"/>
        <v/>
      </c>
      <c r="S1746" s="296" t="str">
        <f t="shared" si="769"/>
        <v/>
      </c>
      <c r="T1746" s="296" t="str">
        <f t="shared" si="769"/>
        <v/>
      </c>
      <c r="U1746" s="296" t="str">
        <f t="shared" si="769"/>
        <v/>
      </c>
      <c r="V1746" s="296" t="str">
        <f t="shared" si="769"/>
        <v/>
      </c>
      <c r="W1746" s="296" t="str">
        <f t="shared" si="769"/>
        <v/>
      </c>
      <c r="X1746" s="296" t="str">
        <f t="shared" si="769"/>
        <v/>
      </c>
      <c r="Y1746" s="296" t="str">
        <f t="shared" si="769"/>
        <v/>
      </c>
      <c r="Z1746" s="296" t="str">
        <f t="shared" si="769"/>
        <v/>
      </c>
      <c r="AA1746" s="296" t="str">
        <f t="shared" si="769"/>
        <v/>
      </c>
      <c r="AB1746" s="296" t="str">
        <f t="shared" si="769"/>
        <v/>
      </c>
      <c r="AC1746" s="547">
        <f t="shared" si="768"/>
        <v>0</v>
      </c>
      <c r="AD1746" s="284"/>
      <c r="AE1746" s="241"/>
      <c r="AF1746" s="194"/>
      <c r="AG1746" s="194"/>
      <c r="AH1746" s="194"/>
      <c r="AI1746" s="194"/>
    </row>
    <row r="1747" hidden="1">
      <c r="A1747" s="126"/>
      <c r="B1747" s="298"/>
      <c r="C1747" s="299"/>
      <c r="D1747" s="300" t="s">
        <v>1679</v>
      </c>
      <c r="E1747" s="488"/>
      <c r="F1747" s="488"/>
      <c r="G1747" s="488"/>
      <c r="H1747" s="301"/>
      <c r="I1747" s="301"/>
      <c r="J1747" s="489"/>
      <c r="K1747" s="932" t="s">
        <v>1674</v>
      </c>
      <c r="L1747" s="304"/>
      <c r="M1747" s="305"/>
      <c r="N1747" s="306"/>
      <c r="O1747" s="306"/>
      <c r="P1747" s="306"/>
      <c r="Q1747" s="307" t="str">
        <f t="shared" ref="Q1747:AB1747" si="770">Q1743</f>
        <v/>
      </c>
      <c r="R1747" s="307" t="str">
        <f t="shared" si="770"/>
        <v/>
      </c>
      <c r="S1747" s="307" t="str">
        <f t="shared" si="770"/>
        <v/>
      </c>
      <c r="T1747" s="307" t="str">
        <f t="shared" si="770"/>
        <v/>
      </c>
      <c r="U1747" s="307" t="str">
        <f t="shared" si="770"/>
        <v/>
      </c>
      <c r="V1747" s="307" t="str">
        <f t="shared" si="770"/>
        <v/>
      </c>
      <c r="W1747" s="307" t="str">
        <f t="shared" si="770"/>
        <v/>
      </c>
      <c r="X1747" s="307" t="str">
        <f t="shared" si="770"/>
        <v/>
      </c>
      <c r="Y1747" s="307" t="str">
        <f t="shared" si="770"/>
        <v/>
      </c>
      <c r="Z1747" s="307" t="str">
        <f t="shared" si="770"/>
        <v/>
      </c>
      <c r="AA1747" s="307" t="str">
        <f t="shared" si="770"/>
        <v/>
      </c>
      <c r="AB1747" s="307" t="str">
        <f t="shared" si="770"/>
        <v/>
      </c>
      <c r="AC1747" s="309">
        <f t="shared" si="768"/>
        <v>0</v>
      </c>
      <c r="AD1747" s="995">
        <f>AD1750</f>
        <v>0</v>
      </c>
      <c r="AE1747" s="241"/>
      <c r="AF1747" s="310">
        <f t="shared" ref="AF1747:AF1748" si="771">AC1747-AC1748</f>
        <v>0</v>
      </c>
      <c r="AG1747" s="311" t="s">
        <v>226</v>
      </c>
      <c r="AH1747" s="194"/>
      <c r="AI1747" s="194"/>
    </row>
    <row r="1748" hidden="1">
      <c r="A1748" s="126"/>
      <c r="B1748" s="923"/>
      <c r="C1748" s="312"/>
      <c r="D1748" s="313" t="s">
        <v>1680</v>
      </c>
      <c r="E1748" s="331"/>
      <c r="F1748" s="331"/>
      <c r="G1748" s="331"/>
      <c r="H1748" s="199"/>
      <c r="I1748" s="199"/>
      <c r="J1748" s="222"/>
      <c r="K1748" s="933" t="s">
        <v>1674</v>
      </c>
      <c r="L1748" s="287"/>
      <c r="M1748" s="236"/>
      <c r="N1748" s="285"/>
      <c r="O1748" s="285"/>
      <c r="P1748" s="285"/>
      <c r="Q1748" s="288"/>
      <c r="R1748" s="288"/>
      <c r="S1748" s="288"/>
      <c r="T1748" s="288"/>
      <c r="U1748" s="288"/>
      <c r="V1748" s="288"/>
      <c r="W1748" s="288"/>
      <c r="X1748" s="288"/>
      <c r="Y1748" s="288"/>
      <c r="Z1748" s="288"/>
      <c r="AA1748" s="288"/>
      <c r="AB1748" s="288"/>
      <c r="AC1748" s="378">
        <f t="shared" si="768"/>
        <v>0</v>
      </c>
      <c r="AD1748" s="214"/>
      <c r="AE1748" s="241"/>
      <c r="AF1748" s="316">
        <f t="shared" si="771"/>
        <v>0</v>
      </c>
      <c r="AG1748" s="311" t="s">
        <v>228</v>
      </c>
      <c r="AH1748" s="194"/>
      <c r="AI1748" s="194"/>
    </row>
    <row r="1749" hidden="1">
      <c r="A1749" s="126"/>
      <c r="B1749" s="923"/>
      <c r="C1749" s="317"/>
      <c r="D1749" s="318" t="s">
        <v>1681</v>
      </c>
      <c r="E1749" s="493"/>
      <c r="F1749" s="493"/>
      <c r="G1749" s="493"/>
      <c r="H1749" s="494"/>
      <c r="I1749" s="494"/>
      <c r="J1749" s="320"/>
      <c r="K1749" s="934" t="s">
        <v>1674</v>
      </c>
      <c r="L1749" s="321"/>
      <c r="M1749" s="322"/>
      <c r="N1749" s="323"/>
      <c r="O1749" s="323"/>
      <c r="P1749" s="323"/>
      <c r="Q1749" s="324"/>
      <c r="R1749" s="324"/>
      <c r="S1749" s="324"/>
      <c r="T1749" s="324"/>
      <c r="U1749" s="324"/>
      <c r="V1749" s="324"/>
      <c r="W1749" s="324"/>
      <c r="X1749" s="324"/>
      <c r="Y1749" s="324"/>
      <c r="Z1749" s="324"/>
      <c r="AA1749" s="324"/>
      <c r="AB1749" s="324"/>
      <c r="AC1749" s="539">
        <f t="shared" si="768"/>
        <v>0</v>
      </c>
      <c r="AD1749" s="214"/>
      <c r="AE1749" s="241"/>
      <c r="AF1749" s="328">
        <f>AC1749</f>
        <v>0</v>
      </c>
      <c r="AG1749" s="311" t="s">
        <v>148</v>
      </c>
      <c r="AH1749" s="194"/>
      <c r="AI1749" s="194"/>
    </row>
    <row r="1750">
      <c r="A1750" s="126"/>
      <c r="B1750" s="1053">
        <v>36.0</v>
      </c>
      <c r="C1750" s="329" t="s">
        <v>75</v>
      </c>
      <c r="D1750" s="724"/>
      <c r="E1750" s="496"/>
      <c r="F1750" s="496"/>
      <c r="G1750" s="496"/>
      <c r="H1750" s="332"/>
      <c r="I1750" s="332"/>
      <c r="J1750" s="332"/>
      <c r="K1750" s="988"/>
      <c r="L1750" s="929">
        <f>L1741+L1751</f>
        <v>0</v>
      </c>
      <c r="M1750" s="930"/>
      <c r="N1750" s="931"/>
      <c r="O1750" s="931"/>
      <c r="P1750" s="931"/>
      <c r="Q1750" s="1056" t="str">
        <f t="shared" ref="Q1750:AB1750" si="772">Q1751</f>
        <v/>
      </c>
      <c r="R1750" s="1056" t="str">
        <f t="shared" si="772"/>
        <v/>
      </c>
      <c r="S1750" s="1056" t="str">
        <f t="shared" si="772"/>
        <v/>
      </c>
      <c r="T1750" s="1056" t="str">
        <f t="shared" si="772"/>
        <v/>
      </c>
      <c r="U1750" s="1056" t="str">
        <f t="shared" si="772"/>
        <v/>
      </c>
      <c r="V1750" s="1056" t="str">
        <f t="shared" si="772"/>
        <v/>
      </c>
      <c r="W1750" s="1056">
        <f t="shared" si="772"/>
        <v>77062272</v>
      </c>
      <c r="X1750" s="1056">
        <f t="shared" si="772"/>
        <v>77062272</v>
      </c>
      <c r="Y1750" s="1056">
        <f t="shared" si="772"/>
        <v>77062272</v>
      </c>
      <c r="Z1750" s="1056">
        <f t="shared" si="772"/>
        <v>77062272</v>
      </c>
      <c r="AA1750" s="1056">
        <f t="shared" si="772"/>
        <v>77062272</v>
      </c>
      <c r="AB1750" s="1056">
        <f t="shared" si="772"/>
        <v>77062272</v>
      </c>
      <c r="AC1750" s="1057">
        <f t="shared" si="768"/>
        <v>462373632</v>
      </c>
      <c r="AD1750" s="178">
        <f t="shared" ref="AD1750:AD1751" si="773">SUM(Q1750:AB1750)-AC1750</f>
        <v>0</v>
      </c>
      <c r="AE1750" s="241">
        <f>'Proker New'!Y320</f>
        <v>462373632</v>
      </c>
      <c r="AF1750" s="194"/>
      <c r="AG1750" s="194"/>
      <c r="AH1750" s="194"/>
      <c r="AI1750" s="194"/>
    </row>
    <row r="1751">
      <c r="A1751" s="126"/>
      <c r="B1751" s="893"/>
      <c r="C1751" s="196">
        <v>1.0</v>
      </c>
      <c r="D1751" s="894" t="s">
        <v>1682</v>
      </c>
      <c r="E1751" s="198" t="s">
        <v>186</v>
      </c>
      <c r="F1751" s="198" t="s">
        <v>88</v>
      </c>
      <c r="G1751" s="198" t="s">
        <v>88</v>
      </c>
      <c r="H1751" s="198" t="s">
        <v>218</v>
      </c>
      <c r="I1751" s="198" t="s">
        <v>253</v>
      </c>
      <c r="J1751" s="198" t="s">
        <v>254</v>
      </c>
      <c r="K1751" s="477" t="s">
        <v>1683</v>
      </c>
      <c r="L1751" s="895"/>
      <c r="M1751" s="240"/>
      <c r="N1751" s="388"/>
      <c r="O1751" s="388"/>
      <c r="P1751" s="388"/>
      <c r="Q1751" s="896"/>
      <c r="R1751" s="896"/>
      <c r="S1751" s="896"/>
      <c r="T1751" s="896"/>
      <c r="U1751" s="896"/>
      <c r="V1751" s="896"/>
      <c r="W1751" s="896">
        <v>7.7062272E7</v>
      </c>
      <c r="X1751" s="896">
        <v>7.7062272E7</v>
      </c>
      <c r="Y1751" s="896">
        <v>7.7062272E7</v>
      </c>
      <c r="Z1751" s="896">
        <v>7.7062272E7</v>
      </c>
      <c r="AA1751" s="896">
        <v>7.7062272E7</v>
      </c>
      <c r="AB1751" s="896">
        <v>7.7062272E7</v>
      </c>
      <c r="AC1751" s="897">
        <v>4.62373632E8</v>
      </c>
      <c r="AD1751" s="273">
        <f t="shared" si="773"/>
        <v>0</v>
      </c>
      <c r="AE1751" s="192"/>
      <c r="AF1751" s="194"/>
      <c r="AG1751" s="194"/>
      <c r="AH1751" s="194"/>
      <c r="AI1751" s="194"/>
    </row>
    <row r="1752" hidden="1">
      <c r="A1752" s="126"/>
      <c r="B1752" s="893"/>
      <c r="C1752" s="206"/>
      <c r="D1752" s="207"/>
      <c r="E1752" s="260"/>
      <c r="F1752" s="207"/>
      <c r="G1752" s="260"/>
      <c r="H1752" s="206"/>
      <c r="I1752" s="206"/>
      <c r="J1752" s="242"/>
      <c r="K1752" s="242" t="s">
        <v>1683</v>
      </c>
      <c r="L1752" s="277"/>
      <c r="M1752" s="244"/>
      <c r="N1752" s="389"/>
      <c r="O1752" s="389"/>
      <c r="P1752" s="389"/>
      <c r="Q1752" s="212"/>
      <c r="R1752" s="212"/>
      <c r="S1752" s="212"/>
      <c r="T1752" s="212"/>
      <c r="U1752" s="212"/>
      <c r="V1752" s="212"/>
      <c r="W1752" s="212"/>
      <c r="X1752" s="212"/>
      <c r="Y1752" s="212"/>
      <c r="Z1752" s="212"/>
      <c r="AA1752" s="212"/>
      <c r="AB1752" s="212"/>
      <c r="AC1752" s="213">
        <f t="shared" ref="AC1752:AC1762" si="774">SUM(Q1752:AB1752)</f>
        <v>0</v>
      </c>
      <c r="AD1752" s="273"/>
      <c r="AE1752" s="241"/>
      <c r="AF1752" s="194"/>
      <c r="AG1752" s="194"/>
      <c r="AH1752" s="194"/>
      <c r="AI1752" s="194"/>
    </row>
    <row r="1753" hidden="1">
      <c r="A1753" s="126"/>
      <c r="B1753" s="893"/>
      <c r="C1753" s="222"/>
      <c r="D1753" s="250" t="s">
        <v>1684</v>
      </c>
      <c r="E1753" s="233"/>
      <c r="F1753" s="224"/>
      <c r="G1753" s="233"/>
      <c r="H1753" s="222"/>
      <c r="I1753" s="222"/>
      <c r="J1753" s="196"/>
      <c r="K1753" s="196" t="s">
        <v>1683</v>
      </c>
      <c r="L1753" s="225"/>
      <c r="M1753" s="236"/>
      <c r="N1753" s="285"/>
      <c r="O1753" s="285"/>
      <c r="P1753" s="285"/>
      <c r="Q1753" s="230"/>
      <c r="R1753" s="230"/>
      <c r="S1753" s="230"/>
      <c r="T1753" s="230"/>
      <c r="U1753" s="230"/>
      <c r="V1753" s="230"/>
      <c r="W1753" s="230"/>
      <c r="X1753" s="230"/>
      <c r="Y1753" s="230"/>
      <c r="Z1753" s="230"/>
      <c r="AA1753" s="230"/>
      <c r="AB1753" s="230"/>
      <c r="AC1753" s="231">
        <f t="shared" si="774"/>
        <v>0</v>
      </c>
      <c r="AD1753" s="974"/>
      <c r="AE1753" s="241"/>
      <c r="AF1753" s="194"/>
      <c r="AG1753" s="194"/>
      <c r="AH1753" s="194"/>
      <c r="AI1753" s="194"/>
    </row>
    <row r="1754" hidden="1">
      <c r="A1754" s="126"/>
      <c r="B1754" s="902"/>
      <c r="C1754" s="222"/>
      <c r="D1754" s="286" t="s">
        <v>194</v>
      </c>
      <c r="E1754" s="233"/>
      <c r="F1754" s="233"/>
      <c r="G1754" s="233"/>
      <c r="H1754" s="234"/>
      <c r="I1754" s="234"/>
      <c r="J1754" s="196"/>
      <c r="K1754" s="196" t="s">
        <v>1683</v>
      </c>
      <c r="L1754" s="287"/>
      <c r="M1754" s="236"/>
      <c r="N1754" s="285"/>
      <c r="O1754" s="285"/>
      <c r="P1754" s="285"/>
      <c r="Q1754" s="288"/>
      <c r="R1754" s="288"/>
      <c r="S1754" s="288"/>
      <c r="T1754" s="288"/>
      <c r="U1754" s="288"/>
      <c r="V1754" s="288"/>
      <c r="W1754" s="288"/>
      <c r="X1754" s="288"/>
      <c r="Y1754" s="288"/>
      <c r="Z1754" s="288"/>
      <c r="AA1754" s="288"/>
      <c r="AB1754" s="288"/>
      <c r="AC1754" s="378">
        <f t="shared" si="774"/>
        <v>0</v>
      </c>
      <c r="AD1754" s="974"/>
      <c r="AE1754" s="241"/>
      <c r="AF1754" s="194"/>
      <c r="AG1754" s="194"/>
      <c r="AH1754" s="194"/>
      <c r="AI1754" s="194"/>
    </row>
    <row r="1755" hidden="1">
      <c r="A1755" s="126"/>
      <c r="B1755" s="902"/>
      <c r="C1755" s="222"/>
      <c r="D1755" s="286" t="s">
        <v>1685</v>
      </c>
      <c r="E1755" s="233"/>
      <c r="F1755" s="233"/>
      <c r="G1755" s="233"/>
      <c r="H1755" s="234"/>
      <c r="I1755" s="234"/>
      <c r="J1755" s="196"/>
      <c r="K1755" s="196" t="s">
        <v>1683</v>
      </c>
      <c r="L1755" s="287"/>
      <c r="M1755" s="236"/>
      <c r="N1755" s="285"/>
      <c r="O1755" s="285"/>
      <c r="P1755" s="285"/>
      <c r="Q1755" s="288"/>
      <c r="R1755" s="288"/>
      <c r="S1755" s="288"/>
      <c r="T1755" s="288"/>
      <c r="U1755" s="288"/>
      <c r="V1755" s="288"/>
      <c r="W1755" s="288"/>
      <c r="X1755" s="288"/>
      <c r="Y1755" s="288"/>
      <c r="Z1755" s="288"/>
      <c r="AA1755" s="288"/>
      <c r="AB1755" s="288"/>
      <c r="AC1755" s="378">
        <f t="shared" si="774"/>
        <v>0</v>
      </c>
      <c r="AD1755" s="974"/>
      <c r="AE1755" s="241"/>
      <c r="AF1755" s="194"/>
      <c r="AG1755" s="194"/>
      <c r="AH1755" s="194"/>
      <c r="AI1755" s="194"/>
    </row>
    <row r="1756" hidden="1">
      <c r="A1756" s="126"/>
      <c r="B1756" s="181"/>
      <c r="C1756" s="289"/>
      <c r="D1756" s="290" t="s">
        <v>1686</v>
      </c>
      <c r="E1756" s="487"/>
      <c r="F1756" s="487"/>
      <c r="G1756" s="487"/>
      <c r="H1756" s="291"/>
      <c r="I1756" s="291"/>
      <c r="J1756" s="292"/>
      <c r="K1756" s="292" t="s">
        <v>1683</v>
      </c>
      <c r="L1756" s="293"/>
      <c r="M1756" s="294"/>
      <c r="N1756" s="295"/>
      <c r="O1756" s="295"/>
      <c r="P1756" s="295"/>
      <c r="Q1756" s="296" t="str">
        <f t="shared" ref="Q1756:AB1756" si="775">Q1752</f>
        <v/>
      </c>
      <c r="R1756" s="296" t="str">
        <f t="shared" si="775"/>
        <v/>
      </c>
      <c r="S1756" s="296" t="str">
        <f t="shared" si="775"/>
        <v/>
      </c>
      <c r="T1756" s="296" t="str">
        <f t="shared" si="775"/>
        <v/>
      </c>
      <c r="U1756" s="296" t="str">
        <f t="shared" si="775"/>
        <v/>
      </c>
      <c r="V1756" s="296" t="str">
        <f t="shared" si="775"/>
        <v/>
      </c>
      <c r="W1756" s="296" t="str">
        <f t="shared" si="775"/>
        <v/>
      </c>
      <c r="X1756" s="296" t="str">
        <f t="shared" si="775"/>
        <v/>
      </c>
      <c r="Y1756" s="296" t="str">
        <f t="shared" si="775"/>
        <v/>
      </c>
      <c r="Z1756" s="296" t="str">
        <f t="shared" si="775"/>
        <v/>
      </c>
      <c r="AA1756" s="296" t="str">
        <f t="shared" si="775"/>
        <v/>
      </c>
      <c r="AB1756" s="296" t="str">
        <f t="shared" si="775"/>
        <v/>
      </c>
      <c r="AC1756" s="547">
        <f t="shared" si="774"/>
        <v>0</v>
      </c>
      <c r="AD1756" s="974"/>
      <c r="AE1756" s="241"/>
      <c r="AF1756" s="194"/>
      <c r="AG1756" s="194"/>
      <c r="AH1756" s="194"/>
      <c r="AI1756" s="194"/>
    </row>
    <row r="1757" hidden="1">
      <c r="A1757" s="126"/>
      <c r="B1757" s="298"/>
      <c r="C1757" s="299"/>
      <c r="D1757" s="300" t="s">
        <v>1687</v>
      </c>
      <c r="E1757" s="488"/>
      <c r="F1757" s="488"/>
      <c r="G1757" s="488"/>
      <c r="H1757" s="301"/>
      <c r="I1757" s="301"/>
      <c r="J1757" s="1026"/>
      <c r="K1757" s="303" t="s">
        <v>1683</v>
      </c>
      <c r="L1757" s="304"/>
      <c r="M1757" s="305"/>
      <c r="N1757" s="306"/>
      <c r="O1757" s="306"/>
      <c r="P1757" s="306"/>
      <c r="Q1757" s="307" t="str">
        <f t="shared" ref="Q1757:AB1757" si="776">Q1753</f>
        <v/>
      </c>
      <c r="R1757" s="307" t="str">
        <f t="shared" si="776"/>
        <v/>
      </c>
      <c r="S1757" s="307" t="str">
        <f t="shared" si="776"/>
        <v/>
      </c>
      <c r="T1757" s="307" t="str">
        <f t="shared" si="776"/>
        <v/>
      </c>
      <c r="U1757" s="307" t="str">
        <f t="shared" si="776"/>
        <v/>
      </c>
      <c r="V1757" s="307" t="str">
        <f t="shared" si="776"/>
        <v/>
      </c>
      <c r="W1757" s="307" t="str">
        <f t="shared" si="776"/>
        <v/>
      </c>
      <c r="X1757" s="307" t="str">
        <f t="shared" si="776"/>
        <v/>
      </c>
      <c r="Y1757" s="307" t="str">
        <f t="shared" si="776"/>
        <v/>
      </c>
      <c r="Z1757" s="307" t="str">
        <f t="shared" si="776"/>
        <v/>
      </c>
      <c r="AA1757" s="307" t="str">
        <f t="shared" si="776"/>
        <v/>
      </c>
      <c r="AB1757" s="307" t="str">
        <f t="shared" si="776"/>
        <v/>
      </c>
      <c r="AC1757" s="309">
        <f t="shared" si="774"/>
        <v>0</v>
      </c>
      <c r="AD1757" s="974" t="s">
        <v>1108</v>
      </c>
      <c r="AE1757" s="241"/>
      <c r="AF1757" s="194"/>
      <c r="AG1757" s="194"/>
      <c r="AH1757" s="194"/>
      <c r="AI1757" s="194"/>
    </row>
    <row r="1758" hidden="1">
      <c r="A1758" s="126"/>
      <c r="B1758" s="298"/>
      <c r="C1758" s="312"/>
      <c r="D1758" s="313" t="s">
        <v>1688</v>
      </c>
      <c r="E1758" s="331"/>
      <c r="F1758" s="331"/>
      <c r="G1758" s="331"/>
      <c r="H1758" s="199"/>
      <c r="I1758" s="199"/>
      <c r="J1758" s="196"/>
      <c r="K1758" s="719" t="s">
        <v>1683</v>
      </c>
      <c r="L1758" s="287"/>
      <c r="M1758" s="236"/>
      <c r="N1758" s="285"/>
      <c r="O1758" s="285"/>
      <c r="P1758" s="285"/>
      <c r="Q1758" s="1030"/>
      <c r="R1758" s="1030"/>
      <c r="S1758" s="1030"/>
      <c r="T1758" s="1030"/>
      <c r="U1758" s="1030"/>
      <c r="V1758" s="1030"/>
      <c r="W1758" s="1030"/>
      <c r="X1758" s="1030"/>
      <c r="Y1758" s="1030"/>
      <c r="Z1758" s="1030"/>
      <c r="AA1758" s="1030"/>
      <c r="AB1758" s="1030"/>
      <c r="AC1758" s="378">
        <f t="shared" si="774"/>
        <v>0</v>
      </c>
      <c r="AD1758" s="214"/>
      <c r="AE1758" s="241"/>
      <c r="AF1758" s="194"/>
      <c r="AG1758" s="194"/>
      <c r="AH1758" s="194"/>
      <c r="AI1758" s="194"/>
    </row>
    <row r="1759" hidden="1">
      <c r="A1759" s="126"/>
      <c r="B1759" s="298"/>
      <c r="C1759" s="317"/>
      <c r="D1759" s="318" t="s">
        <v>1689</v>
      </c>
      <c r="E1759" s="493"/>
      <c r="F1759" s="493"/>
      <c r="G1759" s="493"/>
      <c r="H1759" s="494"/>
      <c r="I1759" s="494"/>
      <c r="J1759" s="1027"/>
      <c r="K1759" s="723" t="s">
        <v>1683</v>
      </c>
      <c r="L1759" s="321"/>
      <c r="M1759" s="322"/>
      <c r="N1759" s="323"/>
      <c r="O1759" s="323"/>
      <c r="P1759" s="323"/>
      <c r="Q1759" s="1031"/>
      <c r="R1759" s="1031"/>
      <c r="S1759" s="1031"/>
      <c r="T1759" s="1031"/>
      <c r="U1759" s="1031"/>
      <c r="V1759" s="1031"/>
      <c r="W1759" s="1031"/>
      <c r="X1759" s="1031"/>
      <c r="Y1759" s="1031"/>
      <c r="Z1759" s="1031"/>
      <c r="AA1759" s="1031"/>
      <c r="AB1759" s="1031"/>
      <c r="AC1759" s="539">
        <f t="shared" si="774"/>
        <v>0</v>
      </c>
      <c r="AD1759" s="214"/>
      <c r="AE1759" s="241"/>
      <c r="AF1759" s="194"/>
      <c r="AG1759" s="194"/>
      <c r="AH1759" s="194"/>
      <c r="AI1759" s="194"/>
    </row>
    <row r="1760">
      <c r="A1760" s="126"/>
      <c r="B1760" s="655">
        <v>37.0</v>
      </c>
      <c r="C1760" s="329" t="s">
        <v>76</v>
      </c>
      <c r="D1760" s="724"/>
      <c r="E1760" s="496"/>
      <c r="F1760" s="496"/>
      <c r="G1760" s="496"/>
      <c r="H1760" s="332"/>
      <c r="I1760" s="332"/>
      <c r="J1760" s="332"/>
      <c r="K1760" s="988"/>
      <c r="L1760" s="929"/>
      <c r="M1760" s="930"/>
      <c r="N1760" s="931"/>
      <c r="O1760" s="931"/>
      <c r="P1760" s="931"/>
      <c r="Q1760" s="330"/>
      <c r="R1760" s="330"/>
      <c r="S1760" s="330"/>
      <c r="T1760" s="330"/>
      <c r="U1760" s="330"/>
      <c r="V1760" s="330"/>
      <c r="W1760" s="330"/>
      <c r="X1760" s="330"/>
      <c r="Y1760" s="330"/>
      <c r="Z1760" s="330"/>
      <c r="AA1760" s="330"/>
      <c r="AB1760" s="330"/>
      <c r="AC1760" s="338">
        <f t="shared" si="774"/>
        <v>0</v>
      </c>
      <c r="AD1760" s="178">
        <f t="shared" ref="AD1760:AD1762" si="777">SUM(Q1760:AB1760)-AC1760</f>
        <v>0</v>
      </c>
      <c r="AE1760" s="1058" t="str">
        <f>'Proker New'!Y322</f>
        <v/>
      </c>
      <c r="AF1760" s="193" t="str">
        <f t="shared" ref="AF1760:AF1762" si="778">C1760</f>
        <v>Papua Tengah - Nabire</v>
      </c>
      <c r="AG1760" s="194"/>
      <c r="AH1760" s="194"/>
      <c r="AI1760" s="194"/>
    </row>
    <row r="1761">
      <c r="A1761" s="126"/>
      <c r="B1761" s="655">
        <v>38.0</v>
      </c>
      <c r="C1761" s="182" t="s">
        <v>77</v>
      </c>
      <c r="D1761" s="684"/>
      <c r="E1761" s="331"/>
      <c r="F1761" s="331"/>
      <c r="G1761" s="331"/>
      <c r="H1761" s="199"/>
      <c r="I1761" s="199"/>
      <c r="J1761" s="199"/>
      <c r="K1761" s="937"/>
      <c r="L1761" s="993"/>
      <c r="M1761" s="240"/>
      <c r="N1761" s="388"/>
      <c r="O1761" s="388"/>
      <c r="P1761" s="388"/>
      <c r="Q1761" s="183"/>
      <c r="R1761" s="183"/>
      <c r="S1761" s="183"/>
      <c r="T1761" s="183"/>
      <c r="U1761" s="183"/>
      <c r="V1761" s="183"/>
      <c r="W1761" s="183"/>
      <c r="X1761" s="183"/>
      <c r="Y1761" s="183"/>
      <c r="Z1761" s="183"/>
      <c r="AA1761" s="183"/>
      <c r="AB1761" s="183"/>
      <c r="AC1761" s="191">
        <f t="shared" si="774"/>
        <v>0</v>
      </c>
      <c r="AD1761" s="178">
        <f t="shared" si="777"/>
        <v>0</v>
      </c>
      <c r="AE1761" s="192" t="str">
        <f>'Proker New'!Y323</f>
        <v/>
      </c>
      <c r="AF1761" s="193" t="str">
        <f t="shared" si="778"/>
        <v>Papua Pegunungan - Jayawijaya</v>
      </c>
      <c r="AG1761" s="194"/>
      <c r="AH1761" s="194"/>
      <c r="AI1761" s="194"/>
    </row>
    <row r="1762">
      <c r="A1762" s="126"/>
      <c r="B1762" s="1059">
        <v>39.0</v>
      </c>
      <c r="C1762" s="1060" t="s">
        <v>78</v>
      </c>
      <c r="D1762" s="1061"/>
      <c r="E1762" s="493"/>
      <c r="F1762" s="493"/>
      <c r="G1762" s="493"/>
      <c r="H1762" s="494"/>
      <c r="I1762" s="494"/>
      <c r="J1762" s="494"/>
      <c r="K1762" s="1062"/>
      <c r="L1762" s="1063"/>
      <c r="M1762" s="1064"/>
      <c r="N1762" s="1065"/>
      <c r="O1762" s="1065"/>
      <c r="P1762" s="1065"/>
      <c r="Q1762" s="1066"/>
      <c r="R1762" s="1066"/>
      <c r="S1762" s="1066"/>
      <c r="T1762" s="1066"/>
      <c r="U1762" s="1066"/>
      <c r="V1762" s="1066"/>
      <c r="W1762" s="1066"/>
      <c r="X1762" s="1066"/>
      <c r="Y1762" s="1066"/>
      <c r="Z1762" s="1066"/>
      <c r="AA1762" s="1066"/>
      <c r="AB1762" s="1066"/>
      <c r="AC1762" s="1067">
        <f t="shared" si="774"/>
        <v>0</v>
      </c>
      <c r="AD1762" s="178">
        <f t="shared" si="777"/>
        <v>0</v>
      </c>
      <c r="AE1762" s="1068" t="str">
        <f>'Proker New'!Y324</f>
        <v/>
      </c>
      <c r="AF1762" s="193" t="str">
        <f t="shared" si="778"/>
        <v>Papua Barat Daya - Sorong</v>
      </c>
      <c r="AG1762" s="420"/>
      <c r="AH1762" s="420"/>
      <c r="AI1762" s="420"/>
    </row>
    <row r="1763" hidden="1">
      <c r="A1763" s="126"/>
      <c r="B1763" s="119"/>
      <c r="C1763" s="119"/>
      <c r="D1763" s="1069"/>
      <c r="E1763" s="1070"/>
      <c r="F1763" s="1070"/>
      <c r="G1763" s="1070"/>
      <c r="H1763" s="1071"/>
      <c r="I1763" s="1071"/>
      <c r="J1763" s="1071"/>
      <c r="K1763" s="1071"/>
      <c r="L1763" s="1072"/>
      <c r="M1763" s="1073"/>
      <c r="N1763" s="1074"/>
      <c r="O1763" s="1074"/>
      <c r="P1763" s="1074"/>
      <c r="Q1763" s="1075"/>
      <c r="R1763" s="1075"/>
      <c r="S1763" s="1075"/>
      <c r="T1763" s="1075"/>
      <c r="U1763" s="1075"/>
      <c r="V1763" s="1075"/>
      <c r="W1763" s="1075"/>
      <c r="X1763" s="1075"/>
      <c r="Y1763" s="1075"/>
      <c r="Z1763" s="1075"/>
      <c r="AA1763" s="1075"/>
      <c r="AB1763" s="1075"/>
      <c r="AC1763" s="1075"/>
      <c r="AD1763" s="273"/>
      <c r="AE1763" s="273"/>
      <c r="AF1763" s="273"/>
      <c r="AG1763" s="273"/>
      <c r="AH1763" s="273"/>
      <c r="AI1763" s="273"/>
    </row>
    <row r="1764">
      <c r="A1764" s="118"/>
      <c r="B1764" s="1076" t="s">
        <v>27</v>
      </c>
      <c r="C1764" s="1077"/>
      <c r="D1764" s="1078" t="s">
        <v>1690</v>
      </c>
      <c r="E1764" s="1079"/>
      <c r="F1764" s="1080"/>
      <c r="G1764" s="1080"/>
      <c r="H1764" s="1081"/>
      <c r="I1764" s="1081"/>
      <c r="J1764" s="1082"/>
      <c r="K1764" s="1082"/>
      <c r="L1764" s="989"/>
      <c r="M1764" s="930"/>
      <c r="N1764" s="931"/>
      <c r="O1764" s="931"/>
      <c r="P1764" s="931"/>
      <c r="Q1764" s="1083">
        <f t="shared" ref="Q1764:AC1764" si="779">Q10+Q17+Q24+Q31+Q38+Q50+Q56+Q62+Q69+Q74+Q80+Q87+Q93+Q99+Q104+Q110+Q119+Q124+Q130+Q136+Q163+Q170+Q177+Q182+Q189+Q196+Q203+Q210+Q216+Q222+Q228+Q234+Q239+Q244+Q259+Q265+Q272+Q277+Q283+Q290+Q301+Q308+Q320+Q326+Q337+Q347+Q355+Q380+Q387+Q404+Q411+Q428+Q435+Q443+Q451+Q472+Q478+Q485+Q496+Q502+Q508+Q513+Q518+Q523+Q529+Q535+Q540+Q842+Q852+Q858+Q864+Q871+Q876+Q562+Q571+Q577+Q583+Q589+Q595+Q600+Q605+Q644+Q637+Q653+Q658+Q663+Q670+Q677+Q684+Q692+Q697+Q702+Q707+Q722+Q728+Q712+Q734+Q739+Q746+Q753+Q758+Q766+Q771+Q776+Q783+Q788+Q794+Q801+Q807+Q815+Q822+Q827+Q832+Q837+Q887+Q995+Q1000+Q1005+Q1010+Q1015+Q1020+Q1025+Q1030+Q1035+Q1040+Q1045+Q1050+Q1055+Q1060+Q1065+Q1070+Q1085+Q1075+Q1080+Q1090+Q1095+Q1110+Q1117+Q1122+Q1157+Q1163+Q1169+Q1175+Q1181+Q1186+Q1196+Q1205+Q1274+Q1287+Q1294+Q1301+Q1308+Q1316+Q1489+Q1494+Q1524+Q1555+Q1561+Q1589+Q1596+Q1601+Q1651+Q1662+Q1670-Q1769</f>
        <v>94375708370</v>
      </c>
      <c r="R1764" s="1083">
        <f t="shared" si="779"/>
        <v>88250836878</v>
      </c>
      <c r="S1764" s="1083">
        <f t="shared" si="779"/>
        <v>93598255517</v>
      </c>
      <c r="T1764" s="1083">
        <f t="shared" si="779"/>
        <v>79233911730</v>
      </c>
      <c r="U1764" s="1083">
        <f t="shared" si="779"/>
        <v>78562917149</v>
      </c>
      <c r="V1764" s="1083">
        <f t="shared" si="779"/>
        <v>83144420746</v>
      </c>
      <c r="W1764" s="1083">
        <f t="shared" si="779"/>
        <v>84346472793</v>
      </c>
      <c r="X1764" s="1083">
        <f t="shared" si="779"/>
        <v>85175752108</v>
      </c>
      <c r="Y1764" s="1083">
        <f t="shared" si="779"/>
        <v>78982131638</v>
      </c>
      <c r="Z1764" s="1083">
        <f t="shared" si="779"/>
        <v>78751196135</v>
      </c>
      <c r="AA1764" s="1083">
        <f t="shared" si="779"/>
        <v>77441062739</v>
      </c>
      <c r="AB1764" s="1083">
        <f t="shared" si="779"/>
        <v>83556593903</v>
      </c>
      <c r="AC1764" s="1083">
        <f t="shared" si="779"/>
        <v>1005419259702</v>
      </c>
      <c r="AD1764" s="273">
        <f>AC1764-AE1764</f>
        <v>-81310089047</v>
      </c>
      <c r="AE1764" s="1084">
        <v>1.086729348749E12</v>
      </c>
      <c r="AF1764" s="1085">
        <v>1.086729348749E12</v>
      </c>
      <c r="AG1764" s="273"/>
      <c r="AH1764" s="273"/>
      <c r="AI1764" s="273"/>
    </row>
    <row r="1765" hidden="1">
      <c r="A1765" s="118"/>
      <c r="B1765" s="1086" t="s">
        <v>27</v>
      </c>
      <c r="C1765" s="1087"/>
      <c r="D1765" s="1088" t="s">
        <v>1691</v>
      </c>
      <c r="E1765" s="207"/>
      <c r="F1765" s="207"/>
      <c r="G1765" s="777"/>
      <c r="H1765" s="206"/>
      <c r="I1765" s="206"/>
      <c r="J1765" s="212"/>
      <c r="K1765" s="212"/>
      <c r="L1765" s="277"/>
      <c r="M1765" s="244"/>
      <c r="N1765" s="389"/>
      <c r="O1765" s="389"/>
      <c r="P1765" s="389"/>
      <c r="Q1765" s="1089">
        <f t="shared" ref="Q1765:AC1765" si="780">Q45+Q158+Q254+Q296+Q315+Q342+Q375+Q399+Q423+Q467+Q490+Q557+Q1152+Q1191+Q1239+Q1259+Q1343+Q1504+Q1514+Q1529+Q1550+Q1584+Q1608+Q1628+Q1645+Q1656+Q1686+Q1731+Q1746+Q1756</f>
        <v>93395924620</v>
      </c>
      <c r="R1765" s="1089">
        <f t="shared" si="780"/>
        <v>79960897694</v>
      </c>
      <c r="S1765" s="1089">
        <f t="shared" si="780"/>
        <v>80629779576</v>
      </c>
      <c r="T1765" s="1089">
        <f t="shared" si="780"/>
        <v>71023509367</v>
      </c>
      <c r="U1765" s="1089">
        <f t="shared" si="780"/>
        <v>88108641334</v>
      </c>
      <c r="V1765" s="1089">
        <f t="shared" si="780"/>
        <v>69243031363</v>
      </c>
      <c r="W1765" s="1089">
        <f t="shared" si="780"/>
        <v>41446950900</v>
      </c>
      <c r="X1765" s="1089">
        <f t="shared" si="780"/>
        <v>38098465922</v>
      </c>
      <c r="Y1765" s="1089">
        <f t="shared" si="780"/>
        <v>35493195180</v>
      </c>
      <c r="Z1765" s="1089">
        <f t="shared" si="780"/>
        <v>34652028626</v>
      </c>
      <c r="AA1765" s="1089">
        <f t="shared" si="780"/>
        <v>33930180331</v>
      </c>
      <c r="AB1765" s="1089">
        <f t="shared" si="780"/>
        <v>33404923206</v>
      </c>
      <c r="AC1765" s="1090">
        <f t="shared" si="780"/>
        <v>699249771358</v>
      </c>
      <c r="AD1765" s="1091">
        <f>AC1765/AC1764</f>
        <v>0.6954807804</v>
      </c>
      <c r="AE1765" s="1092"/>
      <c r="AF1765" s="194">
        <v>1.086729348749E12</v>
      </c>
      <c r="AG1765" s="194"/>
      <c r="AH1765" s="194"/>
      <c r="AI1765" s="194"/>
    </row>
    <row r="1766" hidden="1">
      <c r="A1766" s="118"/>
      <c r="B1766" s="1086" t="s">
        <v>27</v>
      </c>
      <c r="C1766" s="1093"/>
      <c r="D1766" s="313" t="s">
        <v>1692</v>
      </c>
      <c r="E1766" s="184"/>
      <c r="F1766" s="1094"/>
      <c r="G1766" s="1095"/>
      <c r="H1766" s="1096"/>
      <c r="I1766" s="1096"/>
      <c r="J1766" s="230"/>
      <c r="K1766" s="230"/>
      <c r="L1766" s="225"/>
      <c r="M1766" s="236"/>
      <c r="N1766" s="285"/>
      <c r="O1766" s="285"/>
      <c r="P1766" s="285"/>
      <c r="Q1766" s="230">
        <f t="shared" ref="Q1766:AC1766" si="781">Q46+Q159+Q255+Q297+Q316+Q343+Q376+Q400+Q424+Q468+Q491+Q558+Q1153+Q1192+Q1240+Q1260+Q1344+Q1505+Q1515+Q1530+Q1551+Q1585+Q1609+Q1629+Q1646+Q1657+Q1687+Q1732+Q1747+Q1757-Q1781-Q1786</f>
        <v>92002400960</v>
      </c>
      <c r="R1766" s="230">
        <f t="shared" si="781"/>
        <v>77486557095</v>
      </c>
      <c r="S1766" s="230">
        <f t="shared" si="781"/>
        <v>77462023238</v>
      </c>
      <c r="T1766" s="230">
        <f t="shared" si="781"/>
        <v>82008426946</v>
      </c>
      <c r="U1766" s="230">
        <f t="shared" si="781"/>
        <v>82576647677</v>
      </c>
      <c r="V1766" s="230">
        <f t="shared" si="781"/>
        <v>81877437265</v>
      </c>
      <c r="W1766" s="230">
        <f t="shared" si="781"/>
        <v>3043077425</v>
      </c>
      <c r="X1766" s="230">
        <f t="shared" si="781"/>
        <v>0</v>
      </c>
      <c r="Y1766" s="230">
        <f t="shared" si="781"/>
        <v>0</v>
      </c>
      <c r="Z1766" s="230">
        <f t="shared" si="781"/>
        <v>0</v>
      </c>
      <c r="AA1766" s="230">
        <f t="shared" si="781"/>
        <v>0</v>
      </c>
      <c r="AB1766" s="230">
        <f t="shared" si="781"/>
        <v>0</v>
      </c>
      <c r="AC1766" s="230">
        <f t="shared" si="781"/>
        <v>496456570607</v>
      </c>
      <c r="AD1766" s="1097"/>
      <c r="AE1766" s="1098"/>
      <c r="AF1766" s="310">
        <f t="shared" ref="AF1766:AF1767" si="783">AC1766-AC1767</f>
        <v>140822923650</v>
      </c>
      <c r="AG1766" s="311" t="s">
        <v>226</v>
      </c>
      <c r="AH1766" s="273"/>
      <c r="AI1766" s="273"/>
    </row>
    <row r="1767" hidden="1">
      <c r="A1767" s="118"/>
      <c r="B1767" s="1086" t="s">
        <v>27</v>
      </c>
      <c r="C1767" s="1093"/>
      <c r="D1767" s="313" t="s">
        <v>1693</v>
      </c>
      <c r="E1767" s="925"/>
      <c r="F1767" s="925"/>
      <c r="G1767" s="925"/>
      <c r="H1767" s="1099"/>
      <c r="I1767" s="1099"/>
      <c r="J1767" s="1100"/>
      <c r="K1767" s="1100"/>
      <c r="L1767" s="1101"/>
      <c r="M1767" s="1102"/>
      <c r="N1767" s="1103"/>
      <c r="O1767" s="1103"/>
      <c r="P1767" s="1103"/>
      <c r="Q1767" s="230">
        <f t="shared" ref="Q1767:AC1767" si="782">Q47+Q160+Q256+Q298+Q317+Q344+Q377+Q401+Q425+Q469+Q492+Q559+Q1154+Q1193+Q1241+Q1261+Q1345+Q1506+Q1516+Q1531+Q1552+Q1586+Q1610+Q1630+Q1647+Q1658+Q1688+Q1733+Q1748+Q1758-Q1782-Q1787</f>
        <v>81584047999</v>
      </c>
      <c r="R1767" s="230">
        <f t="shared" si="782"/>
        <v>64696024725</v>
      </c>
      <c r="S1767" s="230">
        <f t="shared" si="782"/>
        <v>64127184078</v>
      </c>
      <c r="T1767" s="230">
        <f t="shared" si="782"/>
        <v>66256122534</v>
      </c>
      <c r="U1767" s="230">
        <f t="shared" si="782"/>
        <v>61893130516</v>
      </c>
      <c r="V1767" s="230">
        <f t="shared" si="782"/>
        <v>17077137106</v>
      </c>
      <c r="W1767" s="230">
        <f t="shared" si="782"/>
        <v>0</v>
      </c>
      <c r="X1767" s="230">
        <f t="shared" si="782"/>
        <v>0</v>
      </c>
      <c r="Y1767" s="230">
        <f t="shared" si="782"/>
        <v>0</v>
      </c>
      <c r="Z1767" s="230">
        <f t="shared" si="782"/>
        <v>0</v>
      </c>
      <c r="AA1767" s="230">
        <f t="shared" si="782"/>
        <v>0</v>
      </c>
      <c r="AB1767" s="230">
        <f t="shared" si="782"/>
        <v>0</v>
      </c>
      <c r="AC1767" s="230">
        <f t="shared" si="782"/>
        <v>355633646957</v>
      </c>
      <c r="AD1767" s="1104"/>
      <c r="AE1767" s="1105"/>
      <c r="AF1767" s="316">
        <f t="shared" si="783"/>
        <v>19010568889</v>
      </c>
      <c r="AG1767" s="311" t="s">
        <v>228</v>
      </c>
      <c r="AH1767" s="273"/>
      <c r="AI1767" s="273"/>
    </row>
    <row r="1768" hidden="1">
      <c r="A1768" s="118"/>
      <c r="B1768" s="1086" t="s">
        <v>27</v>
      </c>
      <c r="C1768" s="1093"/>
      <c r="D1768" s="313" t="s">
        <v>1694</v>
      </c>
      <c r="E1768" s="925"/>
      <c r="F1768" s="925"/>
      <c r="G1768" s="925"/>
      <c r="H1768" s="1099"/>
      <c r="I1768" s="1099"/>
      <c r="J1768" s="1100"/>
      <c r="K1768" s="1100"/>
      <c r="L1768" s="1101"/>
      <c r="M1768" s="1102"/>
      <c r="N1768" s="1103"/>
      <c r="O1768" s="1103"/>
      <c r="P1768" s="1103"/>
      <c r="Q1768" s="230">
        <f t="shared" ref="Q1768:AC1768" si="784">Q48+Q161+Q257+Q299+Q318+Q345+Q378+Q402+Q426+Q470+Q493+Q560+Q1155+Q1194+Q1242+Q1262+Q1346+Q1507+Q1517+Q1532+Q1553+Q1587+Q1611+Q1631+Q1648+Q1659+Q1689+Q1734+Q1749+Q1759-Q1783-Q1788</f>
        <v>77727189413</v>
      </c>
      <c r="R1768" s="230">
        <f t="shared" si="784"/>
        <v>63725391032</v>
      </c>
      <c r="S1768" s="230">
        <f t="shared" si="784"/>
        <v>62132711585</v>
      </c>
      <c r="T1768" s="230">
        <f t="shared" si="784"/>
        <v>62922736321</v>
      </c>
      <c r="U1768" s="230">
        <f t="shared" si="784"/>
        <v>57146362208</v>
      </c>
      <c r="V1768" s="230">
        <f t="shared" si="784"/>
        <v>12968687510</v>
      </c>
      <c r="W1768" s="230">
        <f t="shared" si="784"/>
        <v>0</v>
      </c>
      <c r="X1768" s="230">
        <f t="shared" si="784"/>
        <v>0</v>
      </c>
      <c r="Y1768" s="230">
        <f t="shared" si="784"/>
        <v>0</v>
      </c>
      <c r="Z1768" s="230">
        <f t="shared" si="784"/>
        <v>0</v>
      </c>
      <c r="AA1768" s="230">
        <f t="shared" si="784"/>
        <v>0</v>
      </c>
      <c r="AB1768" s="230">
        <f t="shared" si="784"/>
        <v>0</v>
      </c>
      <c r="AC1768" s="230">
        <f t="shared" si="784"/>
        <v>336623078069</v>
      </c>
      <c r="AD1768" s="1104"/>
      <c r="AE1768" s="1105"/>
      <c r="AF1768" s="328">
        <f>AC1768</f>
        <v>336623078069</v>
      </c>
      <c r="AG1768" s="311" t="s">
        <v>148</v>
      </c>
      <c r="AH1768" s="273"/>
      <c r="AI1768" s="273"/>
    </row>
    <row r="1769">
      <c r="A1769" s="118"/>
      <c r="B1769" s="1106" t="s">
        <v>39</v>
      </c>
      <c r="C1769" s="7"/>
      <c r="D1769" s="1107" t="s">
        <v>1695</v>
      </c>
      <c r="E1769" s="925"/>
      <c r="F1769" s="925"/>
      <c r="G1769" s="925"/>
      <c r="H1769" s="1099"/>
      <c r="I1769" s="1099"/>
      <c r="J1769" s="1108"/>
      <c r="K1769" s="1108"/>
      <c r="L1769" s="1109"/>
      <c r="M1769" s="1110"/>
      <c r="N1769" s="1111"/>
      <c r="O1769" s="1111"/>
      <c r="P1769" s="1111"/>
      <c r="Q1769" s="1112">
        <f t="shared" ref="Q1769:AC1769" si="785">Q1105+Q1100+Q1214+Q1219+Q1224+Q1244+Q1249+Q1254+Q1264+Q1349+Q1354+Q1359+Q1364+Q1369+Q1374+Q1379+Q1384+Q1389+Q1394+Q1399+Q1404+Q1409+Q1414+Q1419+Q1424+Q1429+Q1434+Q1439+Q1444+Q1449+Q1454+Q1459+Q1464+Q1469+Q1474+Q1479+Q1484+Q1509+Q1519+Q1535+Q1540++Q1613+Q1618+Q1623+Q1635+Q1640+Q1691+Q1696+Q1701+Q1706+Q1711+Q1716+Q1721+Q1741+Q1751</f>
        <v>0</v>
      </c>
      <c r="R1769" s="1112">
        <f t="shared" si="785"/>
        <v>5082971965</v>
      </c>
      <c r="S1769" s="1112">
        <f t="shared" si="785"/>
        <v>6638830889</v>
      </c>
      <c r="T1769" s="1112">
        <f t="shared" si="785"/>
        <v>6979833792</v>
      </c>
      <c r="U1769" s="1112">
        <f t="shared" si="785"/>
        <v>7307118535</v>
      </c>
      <c r="V1769" s="1112">
        <f t="shared" si="785"/>
        <v>7628733020</v>
      </c>
      <c r="W1769" s="1112">
        <f t="shared" si="785"/>
        <v>7707155536</v>
      </c>
      <c r="X1769" s="1112">
        <f t="shared" si="785"/>
        <v>7712630056</v>
      </c>
      <c r="Y1769" s="1112">
        <f t="shared" si="785"/>
        <v>8092219363</v>
      </c>
      <c r="Z1769" s="1112">
        <f t="shared" si="785"/>
        <v>8033019363</v>
      </c>
      <c r="AA1769" s="1112">
        <f t="shared" si="785"/>
        <v>8083288263</v>
      </c>
      <c r="AB1769" s="1112">
        <f t="shared" si="785"/>
        <v>8044288263</v>
      </c>
      <c r="AC1769" s="1113">
        <f t="shared" si="785"/>
        <v>81310089045</v>
      </c>
      <c r="AD1769" s="1104">
        <f>AC1769-AE1769</f>
        <v>0</v>
      </c>
      <c r="AE1769" s="1114">
        <v>8.1310089045E10</v>
      </c>
      <c r="AF1769" s="273">
        <v>8.1310089045E10</v>
      </c>
      <c r="AG1769" s="273"/>
      <c r="AH1769" s="273"/>
      <c r="AI1769" s="273"/>
    </row>
    <row r="1770" hidden="1">
      <c r="A1770" s="118"/>
      <c r="B1770" s="1115" t="s">
        <v>39</v>
      </c>
      <c r="C1770" s="1116"/>
      <c r="D1770" s="1088" t="s">
        <v>1696</v>
      </c>
      <c r="E1770" s="207"/>
      <c r="F1770" s="207"/>
      <c r="G1770" s="777"/>
      <c r="H1770" s="206"/>
      <c r="I1770" s="206"/>
      <c r="J1770" s="212"/>
      <c r="K1770" s="212"/>
      <c r="L1770" s="277"/>
      <c r="M1770" s="244"/>
      <c r="N1770" s="389"/>
      <c r="O1770" s="389"/>
      <c r="P1770" s="389"/>
      <c r="Q1770" s="212">
        <f t="shared" ref="Q1770:AC1770" si="786">Q1106+Q1215+Q1220+Q1225+Q1245+Q1250+Q1255+Q1265+Q1350+Q1355+Q1360+Q1365+Q1370+Q1375+Q1380+Q1385+Q1390+Q1395+Q1400+Q1405+Q1410+Q1415+Q1420+Q1425+Q1430+Q1435+Q1440+Q1445+Q1450+Q1455+Q1460+Q1465+Q1470+Q1475+Q1480+Q1485+Q1510+Q1520+Q1536+Q1541+Q1614+Q1619+Q1624+Q1636+Q1641+Q1692+Q1697+Q1702+Q1707+Q1712+Q1717+Q1722+Q1742+Q1752</f>
        <v>0</v>
      </c>
      <c r="R1770" s="212">
        <f t="shared" si="786"/>
        <v>0</v>
      </c>
      <c r="S1770" s="212">
        <f t="shared" si="786"/>
        <v>0</v>
      </c>
      <c r="T1770" s="212">
        <f t="shared" si="786"/>
        <v>0</v>
      </c>
      <c r="U1770" s="212">
        <f t="shared" si="786"/>
        <v>0</v>
      </c>
      <c r="V1770" s="212">
        <f t="shared" si="786"/>
        <v>0</v>
      </c>
      <c r="W1770" s="212">
        <f t="shared" si="786"/>
        <v>0</v>
      </c>
      <c r="X1770" s="212">
        <f t="shared" si="786"/>
        <v>0</v>
      </c>
      <c r="Y1770" s="212">
        <f t="shared" si="786"/>
        <v>0</v>
      </c>
      <c r="Z1770" s="212">
        <f t="shared" si="786"/>
        <v>0</v>
      </c>
      <c r="AA1770" s="212">
        <f t="shared" si="786"/>
        <v>0</v>
      </c>
      <c r="AB1770" s="212">
        <f t="shared" si="786"/>
        <v>0</v>
      </c>
      <c r="AC1770" s="1117">
        <f t="shared" si="786"/>
        <v>0</v>
      </c>
      <c r="AD1770" s="1118">
        <f>AC1770/AC1769</f>
        <v>0</v>
      </c>
      <c r="AE1770" s="1119"/>
      <c r="AF1770" s="194"/>
      <c r="AG1770" s="194"/>
      <c r="AH1770" s="194"/>
      <c r="AI1770" s="194"/>
    </row>
    <row r="1771" hidden="1">
      <c r="A1771" s="118"/>
      <c r="B1771" s="1115" t="s">
        <v>39</v>
      </c>
      <c r="C1771" s="1120"/>
      <c r="D1771" s="313" t="s">
        <v>1697</v>
      </c>
      <c r="E1771" s="184"/>
      <c r="F1771" s="1094"/>
      <c r="G1771" s="1095"/>
      <c r="H1771" s="1096"/>
      <c r="I1771" s="1096"/>
      <c r="J1771" s="230"/>
      <c r="K1771" s="230"/>
      <c r="L1771" s="225"/>
      <c r="M1771" s="236"/>
      <c r="N1771" s="285"/>
      <c r="O1771" s="285"/>
      <c r="P1771" s="285"/>
      <c r="Q1771" s="230">
        <f t="shared" ref="Q1771:AC1771" si="787">Q1107+Q1216+Q1221+Q1226+Q1246+Q1251+Q1256+Q1266+Q1351+Q1356+Q1361+Q1366+Q1371+Q1376+Q1381+Q1386+Q1391+Q1396+Q1401+Q1406+Q1411+Q1416+Q1421+Q1426+Q1431+Q1436+Q1441+Q1446+Q1451+Q1456+Q1461+Q1466+Q1471+Q1476+Q1481+Q1486+Q1511+Q1521+Q1537+Q1542+Q1615+Q1620+Q1625+Q1637+Q1642+Q1693+Q1698+Q1703+Q1708+Q1713+Q1718+Q1723+Q1743+Q1753</f>
        <v>0</v>
      </c>
      <c r="R1771" s="230">
        <f t="shared" si="787"/>
        <v>0</v>
      </c>
      <c r="S1771" s="230">
        <f t="shared" si="787"/>
        <v>0</v>
      </c>
      <c r="T1771" s="230">
        <f t="shared" si="787"/>
        <v>0</v>
      </c>
      <c r="U1771" s="230">
        <f t="shared" si="787"/>
        <v>0</v>
      </c>
      <c r="V1771" s="230">
        <f t="shared" si="787"/>
        <v>0</v>
      </c>
      <c r="W1771" s="230">
        <f t="shared" si="787"/>
        <v>0</v>
      </c>
      <c r="X1771" s="230">
        <f t="shared" si="787"/>
        <v>0</v>
      </c>
      <c r="Y1771" s="230">
        <f t="shared" si="787"/>
        <v>0</v>
      </c>
      <c r="Z1771" s="230">
        <f t="shared" si="787"/>
        <v>0</v>
      </c>
      <c r="AA1771" s="230">
        <f t="shared" si="787"/>
        <v>0</v>
      </c>
      <c r="AB1771" s="230">
        <f t="shared" si="787"/>
        <v>0</v>
      </c>
      <c r="AC1771" s="1121">
        <f t="shared" si="787"/>
        <v>0</v>
      </c>
      <c r="AD1771" s="1122"/>
      <c r="AE1771" s="1105"/>
      <c r="AF1771" s="310">
        <f t="shared" ref="AF1771:AF1772" si="789">AC1771-AC1772</f>
        <v>0</v>
      </c>
      <c r="AG1771" s="311" t="s">
        <v>226</v>
      </c>
      <c r="AH1771" s="273"/>
      <c r="AI1771" s="273"/>
    </row>
    <row r="1772" hidden="1">
      <c r="A1772" s="118"/>
      <c r="B1772" s="1115" t="s">
        <v>39</v>
      </c>
      <c r="C1772" s="1120"/>
      <c r="D1772" s="313" t="s">
        <v>1698</v>
      </c>
      <c r="E1772" s="184"/>
      <c r="F1772" s="1094"/>
      <c r="G1772" s="1094"/>
      <c r="H1772" s="1096"/>
      <c r="I1772" s="1096"/>
      <c r="J1772" s="222"/>
      <c r="K1772" s="222"/>
      <c r="L1772" s="225"/>
      <c r="M1772" s="236"/>
      <c r="N1772" s="285"/>
      <c r="O1772" s="285"/>
      <c r="P1772" s="285"/>
      <c r="Q1772" s="230">
        <f t="shared" ref="Q1772:AC1772" si="788">Q1108+Q1217+Q1222+Q1227+Q1247+Q1252+Q1257+Q1267+Q1352+Q1357+Q1362+Q1367+Q1372+Q1377+Q1382+Q1387+Q1392+Q1397+Q1402+Q1407+Q1412+Q1417+Q1422+Q1427+Q1432+Q1437+Q1442+Q1447+Q1452+Q1457+Q1462+Q1467+Q1472+Q1477+Q1482+Q1487+Q1512+Q1522+Q1538+Q1543+Q1616+Q1621+Q1626+Q1638+Q1643+Q1694+Q1699+Q1704+Q1709+Q1714+Q1719+Q1724+Q1744+Q1754</f>
        <v>0</v>
      </c>
      <c r="R1772" s="230">
        <f t="shared" si="788"/>
        <v>0</v>
      </c>
      <c r="S1772" s="230">
        <f t="shared" si="788"/>
        <v>0</v>
      </c>
      <c r="T1772" s="230">
        <f t="shared" si="788"/>
        <v>0</v>
      </c>
      <c r="U1772" s="230">
        <f t="shared" si="788"/>
        <v>0</v>
      </c>
      <c r="V1772" s="230">
        <f t="shared" si="788"/>
        <v>0</v>
      </c>
      <c r="W1772" s="230">
        <f t="shared" si="788"/>
        <v>0</v>
      </c>
      <c r="X1772" s="230">
        <f t="shared" si="788"/>
        <v>0</v>
      </c>
      <c r="Y1772" s="230">
        <f t="shared" si="788"/>
        <v>0</v>
      </c>
      <c r="Z1772" s="230">
        <f t="shared" si="788"/>
        <v>0</v>
      </c>
      <c r="AA1772" s="230">
        <f t="shared" si="788"/>
        <v>0</v>
      </c>
      <c r="AB1772" s="230">
        <f t="shared" si="788"/>
        <v>0</v>
      </c>
      <c r="AC1772" s="1121">
        <f t="shared" si="788"/>
        <v>0</v>
      </c>
      <c r="AD1772" s="1104"/>
      <c r="AE1772" s="1105"/>
      <c r="AF1772" s="316">
        <f t="shared" si="789"/>
        <v>0</v>
      </c>
      <c r="AG1772" s="311" t="s">
        <v>228</v>
      </c>
      <c r="AH1772" s="273"/>
      <c r="AI1772" s="273"/>
    </row>
    <row r="1773" hidden="1">
      <c r="A1773" s="118"/>
      <c r="B1773" s="1115" t="s">
        <v>39</v>
      </c>
      <c r="C1773" s="1120"/>
      <c r="D1773" s="313" t="s">
        <v>1699</v>
      </c>
      <c r="E1773" s="184"/>
      <c r="F1773" s="1094"/>
      <c r="G1773" s="1094"/>
      <c r="H1773" s="1096"/>
      <c r="I1773" s="1096"/>
      <c r="J1773" s="222"/>
      <c r="K1773" s="222"/>
      <c r="L1773" s="225"/>
      <c r="M1773" s="236"/>
      <c r="N1773" s="285"/>
      <c r="O1773" s="285"/>
      <c r="P1773" s="285"/>
      <c r="Q1773" s="230">
        <f t="shared" ref="Q1773:AC1773" si="790">Q1109+Q1218+Q1223+Q1228+Q1248+Q1253+Q1258+Q1268+Q1353+Q1358+Q1363+Q1368+Q1373+Q1378+Q1383+Q1388+Q1393+Q1398+Q1403+Q1408+Q1413+Q1418+Q1423+Q1428+Q1433+Q1438+Q1443+Q1448+Q1453+Q1458+Q1463+Q1468+Q1473+Q1478+Q1483+Q1488+Q1513+Q1523+Q1539+Q1544+Q1617+Q1622+Q1627+Q1639+Q1644+Q1695+Q1700+Q1705+Q1710+Q1715+Q1720+Q1725+Q1745+Q1755</f>
        <v>0</v>
      </c>
      <c r="R1773" s="230">
        <f t="shared" si="790"/>
        <v>0</v>
      </c>
      <c r="S1773" s="230">
        <f t="shared" si="790"/>
        <v>0</v>
      </c>
      <c r="T1773" s="230">
        <f t="shared" si="790"/>
        <v>0</v>
      </c>
      <c r="U1773" s="230">
        <f t="shared" si="790"/>
        <v>0</v>
      </c>
      <c r="V1773" s="230">
        <f t="shared" si="790"/>
        <v>0</v>
      </c>
      <c r="W1773" s="230">
        <f t="shared" si="790"/>
        <v>0</v>
      </c>
      <c r="X1773" s="230">
        <f t="shared" si="790"/>
        <v>0</v>
      </c>
      <c r="Y1773" s="230">
        <f t="shared" si="790"/>
        <v>0</v>
      </c>
      <c r="Z1773" s="230">
        <f t="shared" si="790"/>
        <v>0</v>
      </c>
      <c r="AA1773" s="230">
        <f t="shared" si="790"/>
        <v>0</v>
      </c>
      <c r="AB1773" s="230">
        <f t="shared" si="790"/>
        <v>0</v>
      </c>
      <c r="AC1773" s="1121">
        <f t="shared" si="790"/>
        <v>0</v>
      </c>
      <c r="AD1773" s="1104"/>
      <c r="AE1773" s="1105"/>
      <c r="AF1773" s="328">
        <f>AC1773</f>
        <v>0</v>
      </c>
      <c r="AG1773" s="311" t="s">
        <v>148</v>
      </c>
      <c r="AH1773" s="273"/>
      <c r="AI1773" s="273"/>
    </row>
    <row r="1774">
      <c r="A1774" s="118"/>
      <c r="B1774" s="1123" t="s">
        <v>47</v>
      </c>
      <c r="C1774" s="7"/>
      <c r="D1774" s="1124" t="s">
        <v>1700</v>
      </c>
      <c r="E1774" s="184"/>
      <c r="F1774" s="1094"/>
      <c r="G1774" s="1094"/>
      <c r="H1774" s="1096"/>
      <c r="I1774" s="1096"/>
      <c r="J1774" s="185"/>
      <c r="K1774" s="185"/>
      <c r="L1774" s="895"/>
      <c r="M1774" s="240"/>
      <c r="N1774" s="388"/>
      <c r="O1774" s="388"/>
      <c r="P1774" s="388"/>
      <c r="Q1774" s="1125">
        <f t="shared" ref="Q1774:AC1774" si="791">Q1764+Q1769</f>
        <v>94375708370</v>
      </c>
      <c r="R1774" s="1125">
        <f t="shared" si="791"/>
        <v>93333808843</v>
      </c>
      <c r="S1774" s="1125">
        <f t="shared" si="791"/>
        <v>100237086406</v>
      </c>
      <c r="T1774" s="1125">
        <f t="shared" si="791"/>
        <v>86213745522</v>
      </c>
      <c r="U1774" s="1125">
        <f t="shared" si="791"/>
        <v>85870035684</v>
      </c>
      <c r="V1774" s="1125">
        <f t="shared" si="791"/>
        <v>90773153766</v>
      </c>
      <c r="W1774" s="1125">
        <f t="shared" si="791"/>
        <v>92053628329</v>
      </c>
      <c r="X1774" s="1125">
        <f t="shared" si="791"/>
        <v>92888382164</v>
      </c>
      <c r="Y1774" s="1125">
        <f t="shared" si="791"/>
        <v>87074351001</v>
      </c>
      <c r="Z1774" s="1125">
        <f t="shared" si="791"/>
        <v>86784215498</v>
      </c>
      <c r="AA1774" s="1125">
        <f t="shared" si="791"/>
        <v>85524351002</v>
      </c>
      <c r="AB1774" s="1125">
        <f t="shared" si="791"/>
        <v>91600882166</v>
      </c>
      <c r="AC1774" s="1126">
        <f t="shared" si="791"/>
        <v>1086729348747</v>
      </c>
      <c r="AD1774" s="1104">
        <f>AC1774-AE1774</f>
        <v>-81310089047</v>
      </c>
      <c r="AE1774" s="1114">
        <v>1.168039437794E12</v>
      </c>
      <c r="AF1774" s="1085">
        <v>1.168039437794E12</v>
      </c>
      <c r="AG1774" s="273"/>
      <c r="AH1774" s="273"/>
      <c r="AI1774" s="273"/>
    </row>
    <row r="1775" hidden="1">
      <c r="A1775" s="118"/>
      <c r="B1775" s="1127" t="s">
        <v>47</v>
      </c>
      <c r="C1775" s="1116"/>
      <c r="D1775" s="1088" t="s">
        <v>1701</v>
      </c>
      <c r="E1775" s="207"/>
      <c r="F1775" s="207"/>
      <c r="G1775" s="777"/>
      <c r="H1775" s="206"/>
      <c r="I1775" s="206"/>
      <c r="J1775" s="212"/>
      <c r="K1775" s="212"/>
      <c r="L1775" s="277"/>
      <c r="M1775" s="244"/>
      <c r="N1775" s="389"/>
      <c r="O1775" s="389"/>
      <c r="P1775" s="389"/>
      <c r="Q1775" s="1089">
        <f t="shared" ref="Q1775:AC1775" si="792">Q1765+Q1770</f>
        <v>93395924620</v>
      </c>
      <c r="R1775" s="1089">
        <f t="shared" si="792"/>
        <v>79960897694</v>
      </c>
      <c r="S1775" s="1089">
        <f t="shared" si="792"/>
        <v>80629779576</v>
      </c>
      <c r="T1775" s="1089">
        <f t="shared" si="792"/>
        <v>71023509367</v>
      </c>
      <c r="U1775" s="1089">
        <f t="shared" si="792"/>
        <v>88108641334</v>
      </c>
      <c r="V1775" s="1089">
        <f t="shared" si="792"/>
        <v>69243031363</v>
      </c>
      <c r="W1775" s="1089">
        <f t="shared" si="792"/>
        <v>41446950900</v>
      </c>
      <c r="X1775" s="1089">
        <f t="shared" si="792"/>
        <v>38098465922</v>
      </c>
      <c r="Y1775" s="1089">
        <f t="shared" si="792"/>
        <v>35493195180</v>
      </c>
      <c r="Z1775" s="1089">
        <f t="shared" si="792"/>
        <v>34652028626</v>
      </c>
      <c r="AA1775" s="1089">
        <f t="shared" si="792"/>
        <v>33930180331</v>
      </c>
      <c r="AB1775" s="1089">
        <f t="shared" si="792"/>
        <v>33404923206</v>
      </c>
      <c r="AC1775" s="1128">
        <f t="shared" si="792"/>
        <v>699249771358</v>
      </c>
      <c r="AD1775" s="1118">
        <f>AC1775/AC1774</f>
        <v>0.643444269</v>
      </c>
      <c r="AE1775" s="1119"/>
      <c r="AF1775" s="194"/>
      <c r="AG1775" s="194"/>
      <c r="AH1775" s="194"/>
      <c r="AI1775" s="194"/>
    </row>
    <row r="1776" hidden="1">
      <c r="A1776" s="118"/>
      <c r="B1776" s="1127" t="s">
        <v>47</v>
      </c>
      <c r="C1776" s="1120"/>
      <c r="D1776" s="313" t="s">
        <v>1702</v>
      </c>
      <c r="E1776" s="184"/>
      <c r="F1776" s="1094"/>
      <c r="G1776" s="1095"/>
      <c r="H1776" s="1096"/>
      <c r="I1776" s="1096"/>
      <c r="J1776" s="230"/>
      <c r="K1776" s="230"/>
      <c r="L1776" s="225"/>
      <c r="M1776" s="236"/>
      <c r="N1776" s="285"/>
      <c r="O1776" s="285"/>
      <c r="P1776" s="285"/>
      <c r="Q1776" s="230">
        <f t="shared" ref="Q1776:AC1776" si="793">Q1766+Q1771</f>
        <v>92002400960</v>
      </c>
      <c r="R1776" s="230">
        <f t="shared" si="793"/>
        <v>77486557095</v>
      </c>
      <c r="S1776" s="230">
        <f t="shared" si="793"/>
        <v>77462023238</v>
      </c>
      <c r="T1776" s="230">
        <f t="shared" si="793"/>
        <v>82008426946</v>
      </c>
      <c r="U1776" s="230">
        <f t="shared" si="793"/>
        <v>82576647677</v>
      </c>
      <c r="V1776" s="230">
        <f t="shared" si="793"/>
        <v>81877437265</v>
      </c>
      <c r="W1776" s="230">
        <f t="shared" si="793"/>
        <v>3043077425</v>
      </c>
      <c r="X1776" s="230">
        <f t="shared" si="793"/>
        <v>0</v>
      </c>
      <c r="Y1776" s="230">
        <f t="shared" si="793"/>
        <v>0</v>
      </c>
      <c r="Z1776" s="230">
        <f t="shared" si="793"/>
        <v>0</v>
      </c>
      <c r="AA1776" s="230">
        <f t="shared" si="793"/>
        <v>0</v>
      </c>
      <c r="AB1776" s="230">
        <f t="shared" si="793"/>
        <v>0</v>
      </c>
      <c r="AC1776" s="230">
        <f t="shared" si="793"/>
        <v>496456570607</v>
      </c>
      <c r="AD1776" s="1129"/>
      <c r="AE1776" s="1130"/>
      <c r="AF1776" s="310">
        <f t="shared" ref="AF1776:AF1777" si="795">AC1776-AC1777</f>
        <v>140822923650</v>
      </c>
      <c r="AG1776" s="311" t="s">
        <v>226</v>
      </c>
      <c r="AH1776" s="431"/>
      <c r="AI1776" s="431"/>
    </row>
    <row r="1777" hidden="1">
      <c r="A1777" s="118"/>
      <c r="B1777" s="1127" t="s">
        <v>47</v>
      </c>
      <c r="C1777" s="1120"/>
      <c r="D1777" s="313" t="s">
        <v>1703</v>
      </c>
      <c r="E1777" s="1131"/>
      <c r="F1777" s="1131"/>
      <c r="G1777" s="1132"/>
      <c r="H1777" s="1133"/>
      <c r="I1777" s="1133"/>
      <c r="J1777" s="1134"/>
      <c r="K1777" s="1134"/>
      <c r="L1777" s="225"/>
      <c r="M1777" s="468"/>
      <c r="N1777" s="285"/>
      <c r="O1777" s="285"/>
      <c r="P1777" s="285"/>
      <c r="Q1777" s="230">
        <f t="shared" ref="Q1777:AC1777" si="794">Q1767+Q1772</f>
        <v>81584047999</v>
      </c>
      <c r="R1777" s="230">
        <f t="shared" si="794"/>
        <v>64696024725</v>
      </c>
      <c r="S1777" s="230">
        <f t="shared" si="794"/>
        <v>64127184078</v>
      </c>
      <c r="T1777" s="230">
        <f t="shared" si="794"/>
        <v>66256122534</v>
      </c>
      <c r="U1777" s="230">
        <f t="shared" si="794"/>
        <v>61893130516</v>
      </c>
      <c r="V1777" s="230">
        <f t="shared" si="794"/>
        <v>17077137106</v>
      </c>
      <c r="W1777" s="230">
        <f t="shared" si="794"/>
        <v>0</v>
      </c>
      <c r="X1777" s="230">
        <f t="shared" si="794"/>
        <v>0</v>
      </c>
      <c r="Y1777" s="230">
        <f t="shared" si="794"/>
        <v>0</v>
      </c>
      <c r="Z1777" s="230">
        <f t="shared" si="794"/>
        <v>0</v>
      </c>
      <c r="AA1777" s="230">
        <f t="shared" si="794"/>
        <v>0</v>
      </c>
      <c r="AB1777" s="230">
        <f t="shared" si="794"/>
        <v>0</v>
      </c>
      <c r="AC1777" s="230">
        <f t="shared" si="794"/>
        <v>355633646957</v>
      </c>
      <c r="AD1777" s="1135"/>
      <c r="AE1777" s="1136"/>
      <c r="AF1777" s="316">
        <f t="shared" si="795"/>
        <v>19010568889</v>
      </c>
      <c r="AG1777" s="311" t="s">
        <v>228</v>
      </c>
      <c r="AH1777" s="431"/>
      <c r="AI1777" s="431"/>
    </row>
    <row r="1778" hidden="1">
      <c r="A1778" s="118"/>
      <c r="B1778" s="1127" t="s">
        <v>47</v>
      </c>
      <c r="C1778" s="1120"/>
      <c r="D1778" s="313" t="s">
        <v>1704</v>
      </c>
      <c r="E1778" s="1131"/>
      <c r="F1778" s="1131"/>
      <c r="G1778" s="1132"/>
      <c r="H1778" s="1133"/>
      <c r="I1778" s="1133"/>
      <c r="J1778" s="1134"/>
      <c r="K1778" s="1134"/>
      <c r="L1778" s="225"/>
      <c r="M1778" s="468"/>
      <c r="N1778" s="285"/>
      <c r="O1778" s="285"/>
      <c r="P1778" s="285"/>
      <c r="Q1778" s="230">
        <f t="shared" ref="Q1778:AC1778" si="796">Q1768+Q1773</f>
        <v>77727189413</v>
      </c>
      <c r="R1778" s="230">
        <f t="shared" si="796"/>
        <v>63725391032</v>
      </c>
      <c r="S1778" s="230">
        <f t="shared" si="796"/>
        <v>62132711585</v>
      </c>
      <c r="T1778" s="230">
        <f t="shared" si="796"/>
        <v>62922736321</v>
      </c>
      <c r="U1778" s="230">
        <f t="shared" si="796"/>
        <v>57146362208</v>
      </c>
      <c r="V1778" s="230">
        <f t="shared" si="796"/>
        <v>12968687510</v>
      </c>
      <c r="W1778" s="230">
        <f t="shared" si="796"/>
        <v>0</v>
      </c>
      <c r="X1778" s="230">
        <f t="shared" si="796"/>
        <v>0</v>
      </c>
      <c r="Y1778" s="230">
        <f t="shared" si="796"/>
        <v>0</v>
      </c>
      <c r="Z1778" s="230">
        <f t="shared" si="796"/>
        <v>0</v>
      </c>
      <c r="AA1778" s="230">
        <f t="shared" si="796"/>
        <v>0</v>
      </c>
      <c r="AB1778" s="230">
        <f t="shared" si="796"/>
        <v>0</v>
      </c>
      <c r="AC1778" s="230">
        <f t="shared" si="796"/>
        <v>336623078069</v>
      </c>
      <c r="AD1778" s="1135"/>
      <c r="AE1778" s="1136"/>
      <c r="AF1778" s="328">
        <f>AC1778</f>
        <v>336623078069</v>
      </c>
      <c r="AG1778" s="311" t="s">
        <v>148</v>
      </c>
      <c r="AH1778" s="431"/>
      <c r="AI1778" s="431"/>
    </row>
    <row r="1779">
      <c r="A1779" s="118"/>
      <c r="B1779" s="1137" t="s">
        <v>52</v>
      </c>
      <c r="C1779" s="7"/>
      <c r="D1779" s="1138" t="s">
        <v>1705</v>
      </c>
      <c r="E1779" s="1131"/>
      <c r="F1779" s="1131"/>
      <c r="G1779" s="1132"/>
      <c r="H1779" s="1133"/>
      <c r="I1779" s="1133"/>
      <c r="J1779" s="1139"/>
      <c r="K1779" s="1139"/>
      <c r="L1779" s="1140"/>
      <c r="M1779" s="1141"/>
      <c r="N1779" s="1142"/>
      <c r="O1779" s="1142"/>
      <c r="P1779" s="1142"/>
      <c r="Q1779" s="1143">
        <f t="shared" ref="Q1779:AC1779" si="797">Q141+Q146+Q151+Q249+Q332+Q363+Q369+Q394+Q462+Q545+Q881+Q551+Q893+Q900+Q717+Q906+Q912+Q918+Q924+Q929+Q934+Q939+Q944+Q949+Q955+Q960+Q965+Q970+Q975+Q980+Q985+Q990+Q1229+Q1234+Q1269+Q1323+Q1328+Q1499+Q1545+Q1568+Q1675+Q1681</f>
        <v>0</v>
      </c>
      <c r="R1779" s="1143">
        <f t="shared" si="797"/>
        <v>0</v>
      </c>
      <c r="S1779" s="1143">
        <f t="shared" si="797"/>
        <v>0</v>
      </c>
      <c r="T1779" s="1143">
        <f t="shared" si="797"/>
        <v>0</v>
      </c>
      <c r="U1779" s="1143">
        <f t="shared" si="797"/>
        <v>0</v>
      </c>
      <c r="V1779" s="1143">
        <f t="shared" si="797"/>
        <v>0</v>
      </c>
      <c r="W1779" s="1143">
        <f t="shared" si="797"/>
        <v>0</v>
      </c>
      <c r="X1779" s="1143">
        <f t="shared" si="797"/>
        <v>0</v>
      </c>
      <c r="Y1779" s="1143">
        <f t="shared" si="797"/>
        <v>0</v>
      </c>
      <c r="Z1779" s="1143">
        <f t="shared" si="797"/>
        <v>0</v>
      </c>
      <c r="AA1779" s="1143">
        <f t="shared" si="797"/>
        <v>0</v>
      </c>
      <c r="AB1779" s="1143">
        <f t="shared" si="797"/>
        <v>0</v>
      </c>
      <c r="AC1779" s="1144">
        <f t="shared" si="797"/>
        <v>0</v>
      </c>
      <c r="AD1779" s="1135"/>
      <c r="AE1779" s="1145"/>
      <c r="AF1779" s="420"/>
      <c r="AG1779" s="420"/>
      <c r="AH1779" s="420"/>
      <c r="AI1779" s="420"/>
    </row>
    <row r="1780" hidden="1">
      <c r="A1780" s="118"/>
      <c r="B1780" s="1146" t="s">
        <v>52</v>
      </c>
      <c r="C1780" s="1116"/>
      <c r="D1780" s="1088" t="s">
        <v>1706</v>
      </c>
      <c r="E1780" s="1147"/>
      <c r="F1780" s="1147"/>
      <c r="G1780" s="534"/>
      <c r="H1780" s="1148"/>
      <c r="I1780" s="1148"/>
      <c r="J1780" s="447"/>
      <c r="K1780" s="447"/>
      <c r="L1780" s="463"/>
      <c r="M1780" s="486"/>
      <c r="N1780" s="464"/>
      <c r="O1780" s="464"/>
      <c r="P1780" s="464"/>
      <c r="Q1780" s="447">
        <f t="shared" ref="Q1780:AC1780" si="798">Q142+Q147+Q152+Q153+Q154+Q250+Q333+Q364+Q365+Q370+Q371+Q395+Q463+Q486+Q546+Q547+Q882+Q883+Q552+Q553+Q888+Q889+Q894+Q895+Q896+Q901+Q902+Q718+Q907+Q908+Q913+Q914+Q919+Q920+Q925+Q930+Q935+Q940+Q945+Q950+Q951+Q956+Q961+Q966+Q971+Q976+Q981+Q986+Q991+Q1230+Q1235+Q1270+Q1317+Q1318+Q1319+Q1324+Q1329+Q1500+Q1546+Q1569+Q1570+Q1676+Q1677+Q1682</f>
        <v>18074360208</v>
      </c>
      <c r="R1780" s="447">
        <f t="shared" si="798"/>
        <v>20379073213</v>
      </c>
      <c r="S1780" s="447">
        <f t="shared" si="798"/>
        <v>17325341323</v>
      </c>
      <c r="T1780" s="447">
        <f t="shared" si="798"/>
        <v>17171761860</v>
      </c>
      <c r="U1780" s="447">
        <f t="shared" si="798"/>
        <v>38389572262</v>
      </c>
      <c r="V1780" s="447">
        <f t="shared" si="798"/>
        <v>26091834173</v>
      </c>
      <c r="W1780" s="447">
        <f t="shared" si="798"/>
        <v>15603946083</v>
      </c>
      <c r="X1780" s="447">
        <f t="shared" si="798"/>
        <v>15378157103</v>
      </c>
      <c r="Y1780" s="447">
        <f t="shared" si="798"/>
        <v>15360343404</v>
      </c>
      <c r="Z1780" s="447">
        <f t="shared" si="798"/>
        <v>14482871570</v>
      </c>
      <c r="AA1780" s="447">
        <f t="shared" si="798"/>
        <v>15597974615</v>
      </c>
      <c r="AB1780" s="447">
        <f t="shared" si="798"/>
        <v>15718100600</v>
      </c>
      <c r="AC1780" s="1149">
        <f t="shared" si="798"/>
        <v>229573336414</v>
      </c>
      <c r="AD1780" s="1118" t="str">
        <f>AC1780/AC1779</f>
        <v>#DIV/0!</v>
      </c>
      <c r="AE1780" s="1145"/>
      <c r="AF1780" s="420"/>
      <c r="AG1780" s="420"/>
      <c r="AH1780" s="420"/>
      <c r="AI1780" s="420"/>
    </row>
    <row r="1781" hidden="1">
      <c r="A1781" s="118"/>
      <c r="B1781" s="1146" t="s">
        <v>52</v>
      </c>
      <c r="C1781" s="1120"/>
      <c r="D1781" s="313" t="s">
        <v>1707</v>
      </c>
      <c r="E1781" s="1150"/>
      <c r="F1781" s="1150"/>
      <c r="G1781" s="1151"/>
      <c r="H1781" s="1152"/>
      <c r="I1781" s="1152"/>
      <c r="J1781" s="452"/>
      <c r="K1781" s="452"/>
      <c r="L1781" s="536"/>
      <c r="M1781" s="1153"/>
      <c r="N1781" s="537"/>
      <c r="O1781" s="537"/>
      <c r="P1781" s="537"/>
      <c r="Q1781" s="452">
        <f t="shared" ref="Q1781:AC1781" si="799">Q143+Q148+Q155+Q251+Q334+Q366+Q372+Q396+Q464+Q487+Q548+Q884+Q554+Q890+Q897+Q903+Q719+Q909+Q915+Q921+Q926+Q931+Q936+Q941+Q946+Q952+Q957+Q962+Q967+Q972+Q977+Q982+Q987+Q992+Q1231+Q1236+Q1271+Q1320+Q1325+Q1330+Q1501+Q1547+Q1571+Q1678+Q1683</f>
        <v>9082777897</v>
      </c>
      <c r="R1781" s="452">
        <f t="shared" si="799"/>
        <v>17340809408</v>
      </c>
      <c r="S1781" s="452">
        <f t="shared" si="799"/>
        <v>21133501221</v>
      </c>
      <c r="T1781" s="452">
        <f t="shared" si="799"/>
        <v>13411619182</v>
      </c>
      <c r="U1781" s="452">
        <f t="shared" si="799"/>
        <v>15079352171</v>
      </c>
      <c r="V1781" s="452">
        <f t="shared" si="799"/>
        <v>18847927123</v>
      </c>
      <c r="W1781" s="452">
        <f t="shared" si="799"/>
        <v>178308526.3</v>
      </c>
      <c r="X1781" s="452">
        <f t="shared" si="799"/>
        <v>0</v>
      </c>
      <c r="Y1781" s="452">
        <f t="shared" si="799"/>
        <v>0</v>
      </c>
      <c r="Z1781" s="452">
        <f t="shared" si="799"/>
        <v>0</v>
      </c>
      <c r="AA1781" s="452">
        <f t="shared" si="799"/>
        <v>0</v>
      </c>
      <c r="AB1781" s="452">
        <f t="shared" si="799"/>
        <v>0</v>
      </c>
      <c r="AC1781" s="1154">
        <f t="shared" si="799"/>
        <v>95074295528</v>
      </c>
      <c r="AD1781" s="1135"/>
      <c r="AE1781" s="1155"/>
      <c r="AF1781" s="310">
        <f t="shared" ref="AF1781:AF1782" si="801">AC1781-AC1782</f>
        <v>19464232004</v>
      </c>
      <c r="AG1781" s="311" t="s">
        <v>226</v>
      </c>
      <c r="AH1781" s="273"/>
      <c r="AI1781" s="273"/>
    </row>
    <row r="1782" hidden="1">
      <c r="A1782" s="118"/>
      <c r="B1782" s="1146" t="s">
        <v>52</v>
      </c>
      <c r="C1782" s="1120"/>
      <c r="D1782" s="313" t="s">
        <v>1708</v>
      </c>
      <c r="E1782" s="1156"/>
      <c r="F1782" s="1156"/>
      <c r="G1782" s="1157"/>
      <c r="H1782" s="1158"/>
      <c r="I1782" s="1158"/>
      <c r="J1782" s="1159"/>
      <c r="K1782" s="1159"/>
      <c r="L1782" s="357"/>
      <c r="M1782" s="716"/>
      <c r="N1782" s="717"/>
      <c r="O1782" s="717"/>
      <c r="P1782" s="717"/>
      <c r="Q1782" s="452">
        <f t="shared" ref="Q1782:AC1782" si="800">Q144+Q149+Q156+Q252+Q335+Q367+Q373+Q397+Q465+Q488+Q549+Q885+Q555+Q891+Q898+Q904+Q720+Q910+Q916+Q922+Q927+Q932+Q937+Q942+Q947+Q953+Q958+Q963+Q968+Q973+Q978+Q983+Q988+Q993+Q1232+Q1237+Q1272+Q1321+Q1326+Q1331+Q1502+Q1548+Q1572+Q1679+Q1684</f>
        <v>8533521771</v>
      </c>
      <c r="R1782" s="452">
        <f t="shared" si="800"/>
        <v>16791553282</v>
      </c>
      <c r="S1782" s="452">
        <f t="shared" si="800"/>
        <v>20519882737</v>
      </c>
      <c r="T1782" s="452">
        <f t="shared" si="800"/>
        <v>12055385442</v>
      </c>
      <c r="U1782" s="452">
        <f t="shared" si="800"/>
        <v>7083811458</v>
      </c>
      <c r="V1782" s="452">
        <f t="shared" si="800"/>
        <v>10516296335</v>
      </c>
      <c r="W1782" s="452">
        <f t="shared" si="800"/>
        <v>109612500</v>
      </c>
      <c r="X1782" s="452">
        <f t="shared" si="800"/>
        <v>0</v>
      </c>
      <c r="Y1782" s="452">
        <f t="shared" si="800"/>
        <v>0</v>
      </c>
      <c r="Z1782" s="452">
        <f t="shared" si="800"/>
        <v>0</v>
      </c>
      <c r="AA1782" s="452">
        <f t="shared" si="800"/>
        <v>0</v>
      </c>
      <c r="AB1782" s="452">
        <f t="shared" si="800"/>
        <v>0</v>
      </c>
      <c r="AC1782" s="1154">
        <f t="shared" si="800"/>
        <v>75610063525</v>
      </c>
      <c r="AD1782" s="1122"/>
      <c r="AE1782" s="1160"/>
      <c r="AF1782" s="316">
        <f t="shared" si="801"/>
        <v>1483387440</v>
      </c>
      <c r="AG1782" s="311" t="s">
        <v>228</v>
      </c>
      <c r="AH1782" s="178"/>
      <c r="AI1782" s="178"/>
    </row>
    <row r="1783" hidden="1">
      <c r="A1783" s="118"/>
      <c r="B1783" s="1146" t="s">
        <v>52</v>
      </c>
      <c r="C1783" s="1120"/>
      <c r="D1783" s="313" t="s">
        <v>1709</v>
      </c>
      <c r="E1783" s="1156"/>
      <c r="F1783" s="1156"/>
      <c r="G1783" s="1157"/>
      <c r="H1783" s="1158"/>
      <c r="I1783" s="1158"/>
      <c r="J1783" s="1159"/>
      <c r="K1783" s="1159"/>
      <c r="L1783" s="357"/>
      <c r="M1783" s="716"/>
      <c r="N1783" s="717"/>
      <c r="O1783" s="717"/>
      <c r="P1783" s="717"/>
      <c r="Q1783" s="452">
        <f t="shared" ref="Q1783:AC1783" si="802">Q145+Q150+Q157+Q253+Q336+Q368+Q374+Q398+Q466+Q489+Q550+Q886+Q556+Q892+Q899+Q905+Q721+Q911+Q917+Q923+Q928+Q933+Q938+Q943+Q948+Q954+Q959+Q964+Q969+Q974+Q979+Q984+Q989+Q994+Q1233+Q1238+Q1273+Q1322+Q1327+Q1332+Q1503+Q1549+Q1573+Q1680+Q1685</f>
        <v>8486756014</v>
      </c>
      <c r="R1783" s="452">
        <f t="shared" si="802"/>
        <v>16744787525</v>
      </c>
      <c r="S1783" s="452">
        <f t="shared" si="802"/>
        <v>20473116980</v>
      </c>
      <c r="T1783" s="452">
        <f t="shared" si="802"/>
        <v>12055385442</v>
      </c>
      <c r="U1783" s="452">
        <f t="shared" si="802"/>
        <v>6076501124</v>
      </c>
      <c r="V1783" s="452">
        <f t="shared" si="802"/>
        <v>10290129000</v>
      </c>
      <c r="W1783" s="452">
        <f t="shared" si="802"/>
        <v>0</v>
      </c>
      <c r="X1783" s="452">
        <f t="shared" si="802"/>
        <v>0</v>
      </c>
      <c r="Y1783" s="452">
        <f t="shared" si="802"/>
        <v>0</v>
      </c>
      <c r="Z1783" s="452">
        <f t="shared" si="802"/>
        <v>0</v>
      </c>
      <c r="AA1783" s="452">
        <f t="shared" si="802"/>
        <v>0</v>
      </c>
      <c r="AB1783" s="452">
        <f t="shared" si="802"/>
        <v>0</v>
      </c>
      <c r="AC1783" s="1154">
        <f t="shared" si="802"/>
        <v>74126676085</v>
      </c>
      <c r="AD1783" s="1122"/>
      <c r="AE1783" s="1160"/>
      <c r="AF1783" s="328">
        <f>AC1783</f>
        <v>74126676085</v>
      </c>
      <c r="AG1783" s="311" t="s">
        <v>148</v>
      </c>
      <c r="AH1783" s="178"/>
      <c r="AI1783" s="178"/>
    </row>
    <row r="1784">
      <c r="A1784" s="118"/>
      <c r="B1784" s="1161" t="s">
        <v>59</v>
      </c>
      <c r="C1784" s="7"/>
      <c r="D1784" s="1162" t="s">
        <v>1710</v>
      </c>
      <c r="E1784" s="1156"/>
      <c r="F1784" s="1156"/>
      <c r="G1784" s="1157"/>
      <c r="H1784" s="1158"/>
      <c r="I1784" s="1158"/>
      <c r="J1784" s="1163"/>
      <c r="K1784" s="1163"/>
      <c r="L1784" s="1164"/>
      <c r="M1784" s="1165"/>
      <c r="N1784" s="1166"/>
      <c r="O1784" s="1166"/>
      <c r="P1784" s="1166"/>
      <c r="Q1784" s="617">
        <f t="shared" ref="Q1784:AC1784" si="803">Q418+Q457+Q1127+Q1132+Q1137+Q1142+Q1147+Q1333+Q1338+Q1574+Q1579+Q1726</f>
        <v>0</v>
      </c>
      <c r="R1784" s="617">
        <f t="shared" si="803"/>
        <v>0</v>
      </c>
      <c r="S1784" s="617">
        <f t="shared" si="803"/>
        <v>15000000</v>
      </c>
      <c r="T1784" s="617">
        <f t="shared" si="803"/>
        <v>15981666667</v>
      </c>
      <c r="U1784" s="617">
        <f t="shared" si="803"/>
        <v>15981666667</v>
      </c>
      <c r="V1784" s="617">
        <f t="shared" si="803"/>
        <v>20981666667</v>
      </c>
      <c r="W1784" s="617">
        <f t="shared" si="803"/>
        <v>16033333333</v>
      </c>
      <c r="X1784" s="617">
        <f t="shared" si="803"/>
        <v>16033333333</v>
      </c>
      <c r="Y1784" s="617">
        <f t="shared" si="803"/>
        <v>16033333333</v>
      </c>
      <c r="Z1784" s="617">
        <f t="shared" si="803"/>
        <v>16566666667</v>
      </c>
      <c r="AA1784" s="617">
        <f t="shared" si="803"/>
        <v>16566666667</v>
      </c>
      <c r="AB1784" s="617">
        <f t="shared" si="803"/>
        <v>16566666667</v>
      </c>
      <c r="AC1784" s="1167">
        <f t="shared" si="803"/>
        <v>150760000000</v>
      </c>
      <c r="AD1784" s="1122">
        <f>SUM(Q1784:AB1784)-AC1784</f>
        <v>-0.00003051757813</v>
      </c>
      <c r="AE1784" s="1168">
        <f>150760000000</f>
        <v>150760000000</v>
      </c>
      <c r="AF1784" s="178"/>
      <c r="AG1784" s="178"/>
      <c r="AH1784" s="178"/>
      <c r="AI1784" s="178"/>
    </row>
    <row r="1785" hidden="1">
      <c r="A1785" s="118"/>
      <c r="B1785" s="1169" t="s">
        <v>59</v>
      </c>
      <c r="C1785" s="1116"/>
      <c r="D1785" s="1088" t="s">
        <v>1711</v>
      </c>
      <c r="E1785" s="1170"/>
      <c r="F1785" s="1170"/>
      <c r="G1785" s="621"/>
      <c r="H1785" s="1171"/>
      <c r="I1785" s="1171"/>
      <c r="J1785" s="626"/>
      <c r="K1785" s="626"/>
      <c r="L1785" s="623"/>
      <c r="M1785" s="1172"/>
      <c r="N1785" s="625"/>
      <c r="O1785" s="625"/>
      <c r="P1785" s="625"/>
      <c r="Q1785" s="626">
        <f t="shared" ref="Q1785:AB1785" si="804">Q419+Q458+Q1128+Q1133+Q1138+Q1143+Q1148+Q1334+Q1339+Q1575+Q1580+Q1727</f>
        <v>0</v>
      </c>
      <c r="R1785" s="626">
        <f t="shared" si="804"/>
        <v>117282955.9</v>
      </c>
      <c r="S1785" s="626">
        <f t="shared" si="804"/>
        <v>177196456.4</v>
      </c>
      <c r="T1785" s="626">
        <f t="shared" si="804"/>
        <v>177196456.4</v>
      </c>
      <c r="U1785" s="626">
        <f t="shared" si="804"/>
        <v>177196456.4</v>
      </c>
      <c r="V1785" s="626">
        <f t="shared" si="804"/>
        <v>177196456.4</v>
      </c>
      <c r="W1785" s="626">
        <f t="shared" si="804"/>
        <v>177196456.4</v>
      </c>
      <c r="X1785" s="626">
        <f t="shared" si="804"/>
        <v>177196456.4</v>
      </c>
      <c r="Y1785" s="626">
        <f t="shared" si="804"/>
        <v>177196456.4</v>
      </c>
      <c r="Z1785" s="626">
        <f t="shared" si="804"/>
        <v>177196456.4</v>
      </c>
      <c r="AA1785" s="626">
        <f t="shared" si="804"/>
        <v>177196456.4</v>
      </c>
      <c r="AB1785" s="626">
        <f t="shared" si="804"/>
        <v>177196456.4</v>
      </c>
      <c r="AC1785" s="1173">
        <f>SUM(Q1785:AB1785)</f>
        <v>1889247520</v>
      </c>
      <c r="AD1785" s="1118">
        <f>AC1785/AC1784</f>
        <v>0.01253149058</v>
      </c>
      <c r="AE1785" s="1136"/>
      <c r="AF1785" s="431"/>
      <c r="AG1785" s="431"/>
      <c r="AH1785" s="431"/>
      <c r="AI1785" s="431"/>
    </row>
    <row r="1786" hidden="1">
      <c r="A1786" s="118"/>
      <c r="B1786" s="1169" t="s">
        <v>59</v>
      </c>
      <c r="C1786" s="1120"/>
      <c r="D1786" s="313" t="s">
        <v>1712</v>
      </c>
      <c r="E1786" s="1174"/>
      <c r="F1786" s="1174"/>
      <c r="G1786" s="1175"/>
      <c r="H1786" s="1176"/>
      <c r="I1786" s="1176"/>
      <c r="J1786" s="614"/>
      <c r="K1786" s="614"/>
      <c r="L1786" s="613"/>
      <c r="M1786" s="1177"/>
      <c r="N1786" s="630"/>
      <c r="O1786" s="630"/>
      <c r="P1786" s="630"/>
      <c r="Q1786" s="614">
        <f t="shared" ref="Q1786:AC1786" si="805">Q420+Q459+Q1129+Q1134+Q1139+Q1144+Q1149+Q1335+Q1340+Q1576+Q1581+Q1728</f>
        <v>0</v>
      </c>
      <c r="R1786" s="614">
        <f t="shared" si="805"/>
        <v>0</v>
      </c>
      <c r="S1786" s="614">
        <f t="shared" si="805"/>
        <v>13000318</v>
      </c>
      <c r="T1786" s="614">
        <f t="shared" si="805"/>
        <v>13000318</v>
      </c>
      <c r="U1786" s="614">
        <f t="shared" si="805"/>
        <v>13000318</v>
      </c>
      <c r="V1786" s="614">
        <f t="shared" si="805"/>
        <v>13000318</v>
      </c>
      <c r="W1786" s="614">
        <f t="shared" si="805"/>
        <v>0</v>
      </c>
      <c r="X1786" s="614">
        <f t="shared" si="805"/>
        <v>0</v>
      </c>
      <c r="Y1786" s="614">
        <f t="shared" si="805"/>
        <v>0</v>
      </c>
      <c r="Z1786" s="614">
        <f t="shared" si="805"/>
        <v>0</v>
      </c>
      <c r="AA1786" s="614">
        <f t="shared" si="805"/>
        <v>0</v>
      </c>
      <c r="AB1786" s="614">
        <f t="shared" si="805"/>
        <v>0</v>
      </c>
      <c r="AC1786" s="1178">
        <f t="shared" si="805"/>
        <v>52001272</v>
      </c>
      <c r="AD1786" s="1179"/>
      <c r="AE1786" s="1180">
        <f>AD1786-AC1786</f>
        <v>-52001272</v>
      </c>
      <c r="AF1786" s="310">
        <f t="shared" ref="AF1786:AF1787" si="807">AC1786-AC1787</f>
        <v>13000318</v>
      </c>
      <c r="AG1786" s="311" t="s">
        <v>226</v>
      </c>
      <c r="AH1786" s="194"/>
      <c r="AI1786" s="194"/>
    </row>
    <row r="1787" hidden="1">
      <c r="A1787" s="118"/>
      <c r="B1787" s="1169" t="s">
        <v>59</v>
      </c>
      <c r="C1787" s="1120"/>
      <c r="D1787" s="313" t="s">
        <v>1713</v>
      </c>
      <c r="E1787" s="1181"/>
      <c r="F1787" s="1181"/>
      <c r="G1787" s="1182"/>
      <c r="H1787" s="1183"/>
      <c r="I1787" s="1183"/>
      <c r="J1787" s="1184"/>
      <c r="K1787" s="1184"/>
      <c r="L1787" s="613"/>
      <c r="M1787" s="1177"/>
      <c r="N1787" s="630"/>
      <c r="O1787" s="630"/>
      <c r="P1787" s="630"/>
      <c r="Q1787" s="614">
        <f t="shared" ref="Q1787:AC1787" si="806">Q421+Q460+Q1130+Q1135+Q1140+Q1145+Q1150+Q1336+Q1341+Q1577+Q1582+Q1729</f>
        <v>0</v>
      </c>
      <c r="R1787" s="614">
        <f t="shared" si="806"/>
        <v>0</v>
      </c>
      <c r="S1787" s="614">
        <f t="shared" si="806"/>
        <v>13000318</v>
      </c>
      <c r="T1787" s="614">
        <f t="shared" si="806"/>
        <v>13000318</v>
      </c>
      <c r="U1787" s="614">
        <f t="shared" si="806"/>
        <v>13000318</v>
      </c>
      <c r="V1787" s="614">
        <f t="shared" si="806"/>
        <v>0</v>
      </c>
      <c r="W1787" s="614">
        <f t="shared" si="806"/>
        <v>0</v>
      </c>
      <c r="X1787" s="614">
        <f t="shared" si="806"/>
        <v>0</v>
      </c>
      <c r="Y1787" s="614">
        <f t="shared" si="806"/>
        <v>0</v>
      </c>
      <c r="Z1787" s="614">
        <f t="shared" si="806"/>
        <v>0</v>
      </c>
      <c r="AA1787" s="614">
        <f t="shared" si="806"/>
        <v>0</v>
      </c>
      <c r="AB1787" s="614">
        <f t="shared" si="806"/>
        <v>0</v>
      </c>
      <c r="AC1787" s="1178">
        <f t="shared" si="806"/>
        <v>39000954</v>
      </c>
      <c r="AD1787" s="1122"/>
      <c r="AE1787" s="1160"/>
      <c r="AF1787" s="316">
        <f t="shared" si="807"/>
        <v>13000318</v>
      </c>
      <c r="AG1787" s="311" t="s">
        <v>228</v>
      </c>
      <c r="AH1787" s="120"/>
      <c r="AI1787" s="120"/>
    </row>
    <row r="1788" hidden="1">
      <c r="A1788" s="118"/>
      <c r="B1788" s="1185" t="s">
        <v>59</v>
      </c>
      <c r="C1788" s="1186"/>
      <c r="D1788" s="318" t="s">
        <v>1714</v>
      </c>
      <c r="E1788" s="1187"/>
      <c r="F1788" s="1187"/>
      <c r="G1788" s="1188"/>
      <c r="H1788" s="1189"/>
      <c r="I1788" s="1189"/>
      <c r="J1788" s="1190"/>
      <c r="K1788" s="1190"/>
      <c r="L1788" s="1191"/>
      <c r="M1788" s="1192"/>
      <c r="N1788" s="1193"/>
      <c r="O1788" s="1193"/>
      <c r="P1788" s="1193"/>
      <c r="Q1788" s="1194">
        <f t="shared" ref="Q1788:AC1788" si="808">Q422+Q461+Q1131+Q1136+Q1141+Q1146+Q1151+Q1337+Q1342+Q1578+Q1583+Q1730</f>
        <v>0</v>
      </c>
      <c r="R1788" s="1194">
        <f t="shared" si="808"/>
        <v>0</v>
      </c>
      <c r="S1788" s="1194">
        <f t="shared" si="808"/>
        <v>13000318</v>
      </c>
      <c r="T1788" s="1194">
        <f t="shared" si="808"/>
        <v>13000318</v>
      </c>
      <c r="U1788" s="1194">
        <f t="shared" si="808"/>
        <v>0</v>
      </c>
      <c r="V1788" s="1194">
        <f t="shared" si="808"/>
        <v>0</v>
      </c>
      <c r="W1788" s="1194">
        <f t="shared" si="808"/>
        <v>0</v>
      </c>
      <c r="X1788" s="1194">
        <f t="shared" si="808"/>
        <v>0</v>
      </c>
      <c r="Y1788" s="1194">
        <f t="shared" si="808"/>
        <v>0</v>
      </c>
      <c r="Z1788" s="1194">
        <f t="shared" si="808"/>
        <v>0</v>
      </c>
      <c r="AA1788" s="1194">
        <f t="shared" si="808"/>
        <v>0</v>
      </c>
      <c r="AB1788" s="1194">
        <f t="shared" si="808"/>
        <v>0</v>
      </c>
      <c r="AC1788" s="1195">
        <f t="shared" si="808"/>
        <v>26000636</v>
      </c>
      <c r="AD1788" s="1122"/>
      <c r="AE1788" s="1160"/>
      <c r="AF1788" s="328">
        <f>AC1788</f>
        <v>26000636</v>
      </c>
      <c r="AG1788" s="311" t="s">
        <v>148</v>
      </c>
      <c r="AH1788" s="120"/>
      <c r="AI1788" s="120"/>
    </row>
    <row r="1789" hidden="1">
      <c r="A1789" s="118"/>
      <c r="B1789" s="1196"/>
      <c r="C1789" s="1197"/>
      <c r="D1789" s="1198" t="s">
        <v>1715</v>
      </c>
      <c r="E1789" s="1199"/>
      <c r="F1789" s="1199"/>
      <c r="G1789" s="1200"/>
      <c r="H1789" s="1201"/>
      <c r="I1789" s="1201"/>
      <c r="J1789" s="1202"/>
      <c r="K1789" s="1202"/>
      <c r="L1789" s="1203"/>
      <c r="M1789" s="1204"/>
      <c r="N1789" s="1205"/>
      <c r="O1789" s="1205"/>
      <c r="P1789" s="1205"/>
      <c r="Q1789" s="1206">
        <f t="shared" ref="Q1789:AC1789" si="809">Q1774+Q1779+Q1784</f>
        <v>94375708370</v>
      </c>
      <c r="R1789" s="1206">
        <f t="shared" si="809"/>
        <v>93333808843</v>
      </c>
      <c r="S1789" s="1206">
        <f t="shared" si="809"/>
        <v>100252086406</v>
      </c>
      <c r="T1789" s="1206">
        <f t="shared" si="809"/>
        <v>102195412188</v>
      </c>
      <c r="U1789" s="1206">
        <f t="shared" si="809"/>
        <v>101851702351</v>
      </c>
      <c r="V1789" s="1206">
        <f t="shared" si="809"/>
        <v>111754820432</v>
      </c>
      <c r="W1789" s="1206">
        <f t="shared" si="809"/>
        <v>108086961662</v>
      </c>
      <c r="X1789" s="1206">
        <f t="shared" si="809"/>
        <v>108921715497</v>
      </c>
      <c r="Y1789" s="1206">
        <f t="shared" si="809"/>
        <v>103107684334</v>
      </c>
      <c r="Z1789" s="1206">
        <f t="shared" si="809"/>
        <v>103350882165</v>
      </c>
      <c r="AA1789" s="1206">
        <f t="shared" si="809"/>
        <v>102091017668</v>
      </c>
      <c r="AB1789" s="1206">
        <f t="shared" si="809"/>
        <v>108167548833</v>
      </c>
      <c r="AC1789" s="1207">
        <f t="shared" si="809"/>
        <v>1237489348747</v>
      </c>
      <c r="AD1789" s="1208">
        <f>AE1789-AC1789</f>
        <v>81310089047</v>
      </c>
      <c r="AE1789" s="1168">
        <f>AE1764+AE1769+AE1784</f>
        <v>1318799437794</v>
      </c>
      <c r="AF1789" s="120"/>
      <c r="AG1789" s="120"/>
      <c r="AH1789" s="120"/>
      <c r="AI1789" s="120"/>
    </row>
    <row r="1790" hidden="1">
      <c r="A1790" s="118"/>
      <c r="B1790" s="1209"/>
      <c r="C1790" s="1210"/>
      <c r="D1790" s="1211" t="s">
        <v>1716</v>
      </c>
      <c r="E1790" s="1170"/>
      <c r="F1790" s="1170"/>
      <c r="G1790" s="621"/>
      <c r="H1790" s="1171"/>
      <c r="I1790" s="1171"/>
      <c r="J1790" s="626"/>
      <c r="K1790" s="626"/>
      <c r="L1790" s="623"/>
      <c r="M1790" s="1172"/>
      <c r="N1790" s="625"/>
      <c r="O1790" s="625"/>
      <c r="P1790" s="625"/>
      <c r="Q1790" s="1212">
        <f t="shared" ref="Q1790:AC1790" si="810">Q1775+Q1780+Q1785</f>
        <v>111470284827</v>
      </c>
      <c r="R1790" s="1212">
        <f t="shared" si="810"/>
        <v>100457253863</v>
      </c>
      <c r="S1790" s="1212">
        <f t="shared" si="810"/>
        <v>98132317356</v>
      </c>
      <c r="T1790" s="1212">
        <f t="shared" si="810"/>
        <v>88372467683</v>
      </c>
      <c r="U1790" s="1212">
        <f t="shared" si="810"/>
        <v>126675410053</v>
      </c>
      <c r="V1790" s="1212">
        <f t="shared" si="810"/>
        <v>95512061992</v>
      </c>
      <c r="W1790" s="1212">
        <f t="shared" si="810"/>
        <v>57228093440</v>
      </c>
      <c r="X1790" s="1212">
        <f t="shared" si="810"/>
        <v>53653819481</v>
      </c>
      <c r="Y1790" s="1212">
        <f t="shared" si="810"/>
        <v>51030735041</v>
      </c>
      <c r="Z1790" s="1212">
        <f t="shared" si="810"/>
        <v>49312096653</v>
      </c>
      <c r="AA1790" s="1212">
        <f t="shared" si="810"/>
        <v>49705351402</v>
      </c>
      <c r="AB1790" s="1212">
        <f t="shared" si="810"/>
        <v>49300220262</v>
      </c>
      <c r="AC1790" s="1213">
        <f t="shared" si="810"/>
        <v>930712355292</v>
      </c>
      <c r="AD1790" s="1214">
        <f>AC1790/AC1789</f>
        <v>0.7520972655</v>
      </c>
      <c r="AE1790" s="1215">
        <f>AC1790/AC1774</f>
        <v>0.8564343609</v>
      </c>
      <c r="AF1790" s="120"/>
      <c r="AG1790" s="120"/>
      <c r="AH1790" s="120"/>
      <c r="AI1790" s="120"/>
    </row>
    <row r="1791" hidden="1">
      <c r="A1791" s="118"/>
      <c r="B1791" s="1216"/>
      <c r="C1791" s="1217"/>
      <c r="D1791" s="1218" t="s">
        <v>1717</v>
      </c>
      <c r="E1791" s="1174"/>
      <c r="F1791" s="1174"/>
      <c r="G1791" s="1175"/>
      <c r="H1791" s="1176"/>
      <c r="I1791" s="1176"/>
      <c r="J1791" s="614"/>
      <c r="K1791" s="614"/>
      <c r="L1791" s="613"/>
      <c r="M1791" s="1177"/>
      <c r="N1791" s="630"/>
      <c r="O1791" s="630"/>
      <c r="P1791" s="630"/>
      <c r="Q1791" s="1219">
        <f t="shared" ref="Q1791:AC1791" si="811">Q1776+Q1781+Q1786</f>
        <v>101085178857</v>
      </c>
      <c r="R1791" s="1219">
        <f t="shared" si="811"/>
        <v>94827366503</v>
      </c>
      <c r="S1791" s="1219">
        <f t="shared" si="811"/>
        <v>98608524777</v>
      </c>
      <c r="T1791" s="1219">
        <f t="shared" si="811"/>
        <v>95433046446</v>
      </c>
      <c r="U1791" s="1219">
        <f t="shared" si="811"/>
        <v>97669000166</v>
      </c>
      <c r="V1791" s="1219">
        <f t="shared" si="811"/>
        <v>100738364707</v>
      </c>
      <c r="W1791" s="1219">
        <f t="shared" si="811"/>
        <v>3221385951</v>
      </c>
      <c r="X1791" s="1219">
        <f t="shared" si="811"/>
        <v>0</v>
      </c>
      <c r="Y1791" s="1219">
        <f t="shared" si="811"/>
        <v>0</v>
      </c>
      <c r="Z1791" s="1219">
        <f t="shared" si="811"/>
        <v>0</v>
      </c>
      <c r="AA1791" s="1219">
        <f t="shared" si="811"/>
        <v>0</v>
      </c>
      <c r="AB1791" s="1219">
        <f t="shared" si="811"/>
        <v>0</v>
      </c>
      <c r="AC1791" s="1220">
        <f t="shared" si="811"/>
        <v>591582867407</v>
      </c>
      <c r="AD1791" s="1221"/>
      <c r="AE1791" s="1180"/>
      <c r="AF1791" s="310">
        <f t="shared" ref="AF1791:AF1792" si="813">AC1791-AC1792</f>
        <v>160300155971</v>
      </c>
      <c r="AG1791" s="311" t="s">
        <v>226</v>
      </c>
      <c r="AH1791" s="120"/>
      <c r="AI1791" s="120"/>
    </row>
    <row r="1792" hidden="1">
      <c r="A1792" s="118"/>
      <c r="B1792" s="1216"/>
      <c r="C1792" s="1217"/>
      <c r="D1792" s="1218" t="s">
        <v>1718</v>
      </c>
      <c r="E1792" s="1222"/>
      <c r="F1792" s="1223"/>
      <c r="G1792" s="1224"/>
      <c r="H1792" s="1225"/>
      <c r="I1792" s="1225"/>
      <c r="J1792" s="1226"/>
      <c r="K1792" s="1226"/>
      <c r="L1792" s="1226"/>
      <c r="M1792" s="1227"/>
      <c r="N1792" s="1228"/>
      <c r="O1792" s="1228"/>
      <c r="P1792" s="1228"/>
      <c r="Q1792" s="1219">
        <f t="shared" ref="Q1792:AC1792" si="812">Q1777+Q1782+Q1787</f>
        <v>90117569770</v>
      </c>
      <c r="R1792" s="1219">
        <f t="shared" si="812"/>
        <v>81487578006</v>
      </c>
      <c r="S1792" s="1219">
        <f t="shared" si="812"/>
        <v>84660067134</v>
      </c>
      <c r="T1792" s="1219">
        <f t="shared" si="812"/>
        <v>78324508293</v>
      </c>
      <c r="U1792" s="1219">
        <f t="shared" si="812"/>
        <v>68989942292</v>
      </c>
      <c r="V1792" s="1219">
        <f t="shared" si="812"/>
        <v>27593433441</v>
      </c>
      <c r="W1792" s="1219">
        <f t="shared" si="812"/>
        <v>109612500</v>
      </c>
      <c r="X1792" s="1219">
        <f t="shared" si="812"/>
        <v>0</v>
      </c>
      <c r="Y1792" s="1219">
        <f t="shared" si="812"/>
        <v>0</v>
      </c>
      <c r="Z1792" s="1219">
        <f t="shared" si="812"/>
        <v>0</v>
      </c>
      <c r="AA1792" s="1219">
        <f t="shared" si="812"/>
        <v>0</v>
      </c>
      <c r="AB1792" s="1219">
        <f t="shared" si="812"/>
        <v>0</v>
      </c>
      <c r="AC1792" s="1220">
        <f t="shared" si="812"/>
        <v>431282711436</v>
      </c>
      <c r="AD1792" s="1229"/>
      <c r="AE1792" s="1230"/>
      <c r="AF1792" s="316">
        <f t="shared" si="813"/>
        <v>20506956646</v>
      </c>
      <c r="AG1792" s="311" t="s">
        <v>228</v>
      </c>
      <c r="AH1792" s="120"/>
      <c r="AI1792" s="120"/>
    </row>
    <row r="1793" hidden="1">
      <c r="A1793" s="118"/>
      <c r="B1793" s="1231"/>
      <c r="C1793" s="1232"/>
      <c r="D1793" s="1233" t="s">
        <v>1719</v>
      </c>
      <c r="E1793" s="1234"/>
      <c r="F1793" s="1235"/>
      <c r="G1793" s="1236"/>
      <c r="H1793" s="1237"/>
      <c r="I1793" s="1237"/>
      <c r="J1793" s="1238"/>
      <c r="K1793" s="1238"/>
      <c r="L1793" s="1238"/>
      <c r="M1793" s="1239"/>
      <c r="N1793" s="1240"/>
      <c r="O1793" s="1240"/>
      <c r="P1793" s="1240"/>
      <c r="Q1793" s="1241">
        <f t="shared" ref="Q1793:AC1793" si="814">Q1778+Q1783+Q1788</f>
        <v>86213945427</v>
      </c>
      <c r="R1793" s="1241">
        <f t="shared" si="814"/>
        <v>80470178556</v>
      </c>
      <c r="S1793" s="1241">
        <f t="shared" si="814"/>
        <v>82618828884</v>
      </c>
      <c r="T1793" s="1241">
        <f t="shared" si="814"/>
        <v>74991122081</v>
      </c>
      <c r="U1793" s="1241">
        <f t="shared" si="814"/>
        <v>63222863332</v>
      </c>
      <c r="V1793" s="1241">
        <f t="shared" si="814"/>
        <v>23258816510</v>
      </c>
      <c r="W1793" s="1241">
        <f t="shared" si="814"/>
        <v>0</v>
      </c>
      <c r="X1793" s="1241">
        <f t="shared" si="814"/>
        <v>0</v>
      </c>
      <c r="Y1793" s="1241">
        <f t="shared" si="814"/>
        <v>0</v>
      </c>
      <c r="Z1793" s="1241">
        <f t="shared" si="814"/>
        <v>0</v>
      </c>
      <c r="AA1793" s="1241">
        <f t="shared" si="814"/>
        <v>0</v>
      </c>
      <c r="AB1793" s="1241">
        <f t="shared" si="814"/>
        <v>0</v>
      </c>
      <c r="AC1793" s="1242">
        <f t="shared" si="814"/>
        <v>410775754790</v>
      </c>
      <c r="AD1793" s="1243"/>
      <c r="AE1793" s="1244"/>
      <c r="AF1793" s="328">
        <f>AC1793</f>
        <v>410775754790</v>
      </c>
      <c r="AG1793" s="311" t="s">
        <v>148</v>
      </c>
      <c r="AH1793" s="120"/>
      <c r="AI1793" s="120"/>
    </row>
    <row r="1794" hidden="1">
      <c r="A1794" s="118"/>
      <c r="B1794" s="119"/>
      <c r="C1794" s="119"/>
      <c r="D1794" s="120"/>
      <c r="E1794" s="121"/>
      <c r="F1794" s="121"/>
      <c r="G1794" s="121"/>
      <c r="H1794" s="122"/>
      <c r="I1794" s="122"/>
      <c r="J1794" s="123"/>
      <c r="K1794" s="123"/>
      <c r="L1794" s="123"/>
      <c r="M1794" s="124"/>
      <c r="N1794" s="125"/>
      <c r="O1794" s="125"/>
      <c r="P1794" s="125"/>
      <c r="Q1794" s="1245">
        <f t="shared" ref="Q1794:AC1794" si="815">(Q1763+Q1766)-Q1771</f>
        <v>92002400960</v>
      </c>
      <c r="R1794" s="1245">
        <f t="shared" si="815"/>
        <v>77486557095</v>
      </c>
      <c r="S1794" s="1245">
        <f t="shared" si="815"/>
        <v>77462023238</v>
      </c>
      <c r="T1794" s="1245">
        <f t="shared" si="815"/>
        <v>82008426946</v>
      </c>
      <c r="U1794" s="1245">
        <f t="shared" si="815"/>
        <v>82576647677</v>
      </c>
      <c r="V1794" s="1245">
        <f t="shared" si="815"/>
        <v>81877437265</v>
      </c>
      <c r="W1794" s="1245">
        <f t="shared" si="815"/>
        <v>3043077425</v>
      </c>
      <c r="X1794" s="1245">
        <f t="shared" si="815"/>
        <v>0</v>
      </c>
      <c r="Y1794" s="1245">
        <f t="shared" si="815"/>
        <v>0</v>
      </c>
      <c r="Z1794" s="1245">
        <f t="shared" si="815"/>
        <v>0</v>
      </c>
      <c r="AA1794" s="1245">
        <f t="shared" si="815"/>
        <v>0</v>
      </c>
      <c r="AB1794" s="1245">
        <f t="shared" si="815"/>
        <v>0</v>
      </c>
      <c r="AC1794" s="1245">
        <f t="shared" si="815"/>
        <v>496456570607</v>
      </c>
      <c r="AD1794" s="120"/>
      <c r="AE1794" s="1245">
        <f>SUM(AE9:AE1762)</f>
        <v>2168401927031</v>
      </c>
      <c r="AF1794" s="120"/>
      <c r="AG1794" s="120"/>
      <c r="AH1794" s="120"/>
      <c r="AI1794" s="120"/>
    </row>
    <row r="1795" hidden="1">
      <c r="A1795" s="118"/>
      <c r="B1795" s="1246" t="s">
        <v>1720</v>
      </c>
      <c r="C1795" s="1247"/>
      <c r="D1795" s="120"/>
      <c r="E1795" s="121"/>
      <c r="F1795" s="121"/>
      <c r="G1795" s="121"/>
      <c r="H1795" s="122"/>
      <c r="I1795" s="122"/>
      <c r="J1795" s="123"/>
      <c r="K1795" s="123"/>
      <c r="L1795" s="123"/>
      <c r="M1795" s="124"/>
      <c r="N1795" s="125"/>
      <c r="O1795" s="125"/>
      <c r="P1795" s="125"/>
      <c r="Q1795" s="1248"/>
      <c r="R1795" s="1248"/>
      <c r="S1795" s="1248"/>
      <c r="T1795" s="1248"/>
      <c r="U1795" s="1248"/>
      <c r="V1795" s="1248"/>
      <c r="W1795" s="1248"/>
      <c r="X1795" s="1248"/>
      <c r="Y1795" s="1248"/>
      <c r="Z1795" s="1248"/>
      <c r="AA1795" s="1248"/>
      <c r="AB1795" s="1248"/>
      <c r="AC1795" s="1248">
        <f>AB1105+AB1214+AB1219+AB1224+AB1244+AB1249+AB1254+AB1264+AB1349+AB1354+AB1359+AB1364+AB1369+AB1374+AB1379+AB1384+AB1389+AB1394+AB1399+AB1404+AB1409+AB1414+AB1419+AB1424+AB1429+AB1434+AB1439+AB1444+AB1449+AB1454+AB1459+AB1464+AB1469+AB1474+AB1479+AB1484+AB1509+AB1519+AB1535+AB1540++AB1613+AB1618+AB1623+AB1635+AB1640+AB1691+AB1696+AB1701+AB1706+AB1711+AB1716+AB1721+AB1741+AB1751</f>
        <v>7966166513</v>
      </c>
      <c r="AD1795" s="120"/>
      <c r="AE1795" s="194" t="str">
        <f>'RESUM REVENUE'!BJ52</f>
        <v>#REF!</v>
      </c>
      <c r="AF1795" s="194"/>
      <c r="AG1795" s="194"/>
      <c r="AH1795" s="194"/>
      <c r="AI1795" s="194"/>
    </row>
    <row r="1796">
      <c r="A1796" s="118"/>
      <c r="B1796" s="1249">
        <v>1.0</v>
      </c>
      <c r="C1796" s="1250" t="s">
        <v>1721</v>
      </c>
      <c r="D1796" s="120"/>
      <c r="E1796" s="1251"/>
      <c r="F1796" s="1251"/>
      <c r="G1796" s="1251"/>
      <c r="H1796" s="1252"/>
      <c r="I1796" s="1252"/>
      <c r="J1796" s="1253"/>
      <c r="K1796" s="1253"/>
      <c r="L1796" s="1253"/>
      <c r="M1796" s="124"/>
      <c r="N1796" s="125"/>
      <c r="O1796" s="125"/>
      <c r="P1796" s="125"/>
      <c r="Q1796" s="1248"/>
      <c r="R1796" s="1248"/>
      <c r="S1796" s="1248"/>
      <c r="T1796" s="1248"/>
      <c r="U1796" s="1248"/>
      <c r="V1796" s="1248"/>
      <c r="W1796" s="1248"/>
      <c r="X1796" s="1248"/>
      <c r="Y1796" s="1248"/>
      <c r="Z1796" s="1248"/>
      <c r="AA1796" s="1248"/>
      <c r="AB1796" s="1248"/>
      <c r="AC1796" s="1248"/>
      <c r="AD1796" s="120"/>
      <c r="AE1796" s="194" t="str">
        <f>AE1795-AE1794</f>
        <v>#REF!</v>
      </c>
      <c r="AF1796" s="194"/>
      <c r="AG1796" s="194"/>
      <c r="AH1796" s="194"/>
      <c r="AI1796" s="194"/>
    </row>
    <row r="1797">
      <c r="A1797" s="118"/>
      <c r="B1797" s="1254">
        <v>2.0</v>
      </c>
      <c r="C1797" s="1250" t="s">
        <v>1722</v>
      </c>
      <c r="D1797" s="120"/>
      <c r="E1797" s="1251"/>
      <c r="F1797" s="1251"/>
      <c r="G1797" s="1251"/>
      <c r="H1797" s="1252"/>
      <c r="I1797" s="1252"/>
      <c r="J1797" s="123"/>
      <c r="K1797" s="123"/>
      <c r="L1797" s="123"/>
      <c r="M1797" s="124"/>
      <c r="N1797" s="125"/>
      <c r="O1797" s="125"/>
      <c r="P1797" s="125"/>
      <c r="Q1797" s="1255">
        <v>8.608922918572414E10</v>
      </c>
      <c r="R1797" s="1255">
        <v>9.095843123890294E10</v>
      </c>
      <c r="S1797" s="1255">
        <v>9.272806007472414E10</v>
      </c>
      <c r="T1797" s="1255">
        <v>9.296203948241714E10</v>
      </c>
      <c r="U1797" s="1255">
        <v>9.331822597172414E10</v>
      </c>
      <c r="V1797" s="1255">
        <v>9.854295853851695E10</v>
      </c>
      <c r="W1797" s="1255">
        <v>9.371826297372414E10</v>
      </c>
      <c r="X1797" s="1255">
        <v>9.367515799472414E10</v>
      </c>
      <c r="Y1797" s="1255">
        <v>9.404488280541714E10</v>
      </c>
      <c r="Z1797" s="1255">
        <v>9.399554730272414E10</v>
      </c>
      <c r="AA1797" s="1255">
        <v>9.403595170641714E10</v>
      </c>
      <c r="AB1797" s="1255">
        <v>9.900681620372414E10</v>
      </c>
      <c r="AC1797" s="1255">
        <f>AC1763+AC1766</f>
        <v>496456570607</v>
      </c>
      <c r="AD1797" s="1245">
        <f t="shared" ref="AD1797:AD1798" si="820">AC1797</f>
        <v>496456570607</v>
      </c>
      <c r="AE1797" s="1256">
        <f t="shared" ref="AE1797:AE1798" si="821">AD1797-AC1797</f>
        <v>0</v>
      </c>
      <c r="AF1797" s="194"/>
      <c r="AG1797" s="194"/>
      <c r="AH1797" s="194"/>
      <c r="AI1797" s="194"/>
    </row>
    <row r="1798">
      <c r="A1798" s="118"/>
      <c r="B1798" s="1254">
        <v>3.0</v>
      </c>
      <c r="C1798" s="1250" t="s">
        <v>1723</v>
      </c>
      <c r="D1798" s="120"/>
      <c r="E1798" s="1251"/>
      <c r="F1798" s="1251"/>
      <c r="G1798" s="1251"/>
      <c r="H1798" s="1252"/>
      <c r="I1798" s="1252"/>
      <c r="J1798" s="123"/>
      <c r="K1798" s="123"/>
      <c r="L1798" s="123"/>
      <c r="M1798" s="124"/>
      <c r="N1798" s="125"/>
      <c r="O1798" s="125"/>
      <c r="P1798" s="125"/>
      <c r="Q1798" s="1257">
        <f t="shared" ref="Q1798:S1798" si="816">12500000</f>
        <v>12500000</v>
      </c>
      <c r="R1798" s="1257">
        <f t="shared" si="816"/>
        <v>12500000</v>
      </c>
      <c r="S1798" s="1257">
        <f t="shared" si="816"/>
        <v>12500000</v>
      </c>
      <c r="T1798" s="1257">
        <f t="shared" ref="T1798:U1798" si="817">15979166666.6667</f>
        <v>15979166667</v>
      </c>
      <c r="U1798" s="1257">
        <f t="shared" si="817"/>
        <v>15979166667</v>
      </c>
      <c r="V1798" s="1257">
        <f>20979166666.6667</f>
        <v>20979166667</v>
      </c>
      <c r="W1798" s="1257">
        <f t="shared" ref="W1798:Y1798" si="818">16030833333.3333</f>
        <v>16030833333</v>
      </c>
      <c r="X1798" s="1257">
        <f t="shared" si="818"/>
        <v>16030833333</v>
      </c>
      <c r="Y1798" s="1257">
        <f t="shared" si="818"/>
        <v>16030833333</v>
      </c>
      <c r="Z1798" s="1257">
        <f t="shared" ref="Z1798:AB1798" si="819">16564166666.6667</f>
        <v>16564166667</v>
      </c>
      <c r="AA1798" s="1257">
        <f t="shared" si="819"/>
        <v>16564166667</v>
      </c>
      <c r="AB1798" s="1257">
        <f t="shared" si="819"/>
        <v>16564166667</v>
      </c>
      <c r="AC1798" s="1257">
        <f>SUM(Q1798:AB1798)</f>
        <v>150760000000</v>
      </c>
      <c r="AD1798" s="1245">
        <f t="shared" si="820"/>
        <v>150760000000</v>
      </c>
      <c r="AE1798" s="1256">
        <f t="shared" si="821"/>
        <v>0</v>
      </c>
      <c r="AF1798" s="194"/>
      <c r="AG1798" s="194"/>
      <c r="AH1798" s="194"/>
      <c r="AI1798" s="194"/>
    </row>
    <row r="1799">
      <c r="A1799" s="118"/>
      <c r="B1799" s="1254">
        <v>4.0</v>
      </c>
      <c r="C1799" s="1250" t="s">
        <v>1724</v>
      </c>
      <c r="D1799" s="120"/>
      <c r="E1799" s="1251"/>
      <c r="F1799" s="1251"/>
      <c r="G1799" s="1251"/>
      <c r="H1799" s="1252"/>
      <c r="I1799" s="1252"/>
      <c r="J1799" s="123"/>
      <c r="K1799" s="123"/>
      <c r="L1799" s="123"/>
      <c r="M1799" s="124"/>
      <c r="N1799" s="125"/>
      <c r="O1799" s="125"/>
      <c r="P1799" s="125"/>
      <c r="Q1799" s="1258">
        <f t="shared" ref="Q1799:AC1799" si="822">Q1797+Q1798</f>
        <v>86101729186</v>
      </c>
      <c r="R1799" s="1258">
        <f t="shared" si="822"/>
        <v>90970931239</v>
      </c>
      <c r="S1799" s="1258">
        <f t="shared" si="822"/>
        <v>92740560075</v>
      </c>
      <c r="T1799" s="1258">
        <f t="shared" si="822"/>
        <v>108941206149</v>
      </c>
      <c r="U1799" s="1258">
        <f t="shared" si="822"/>
        <v>109297392638</v>
      </c>
      <c r="V1799" s="1258">
        <f t="shared" si="822"/>
        <v>119522125205</v>
      </c>
      <c r="W1799" s="1258">
        <f t="shared" si="822"/>
        <v>109749096307</v>
      </c>
      <c r="X1799" s="1258">
        <f t="shared" si="822"/>
        <v>109705991328</v>
      </c>
      <c r="Y1799" s="1258">
        <f t="shared" si="822"/>
        <v>110075716139</v>
      </c>
      <c r="Z1799" s="1258">
        <f t="shared" si="822"/>
        <v>110559713969</v>
      </c>
      <c r="AA1799" s="1258">
        <f t="shared" si="822"/>
        <v>110600118373</v>
      </c>
      <c r="AB1799" s="1258">
        <f t="shared" si="822"/>
        <v>115570982870</v>
      </c>
      <c r="AC1799" s="1258">
        <f t="shared" si="822"/>
        <v>647216570607</v>
      </c>
      <c r="AD1799" s="120"/>
      <c r="AE1799" s="1256"/>
      <c r="AF1799" s="194"/>
      <c r="AG1799" s="194"/>
      <c r="AH1799" s="194"/>
      <c r="AI1799" s="194"/>
    </row>
    <row r="1800">
      <c r="A1800" s="118"/>
      <c r="B1800" s="1254">
        <v>5.0</v>
      </c>
      <c r="C1800" s="1250" t="s">
        <v>1725</v>
      </c>
      <c r="D1800" s="120"/>
      <c r="E1800" s="121"/>
      <c r="F1800" s="121"/>
      <c r="G1800" s="121"/>
      <c r="H1800" s="122"/>
      <c r="I1800" s="122"/>
      <c r="J1800" s="123"/>
      <c r="K1800" s="123"/>
      <c r="L1800" s="123"/>
      <c r="M1800" s="124"/>
      <c r="N1800" s="125"/>
      <c r="O1800" s="125"/>
      <c r="P1800" s="125"/>
      <c r="Q1800" s="1259"/>
      <c r="R1800" s="1259"/>
      <c r="S1800" s="1259"/>
      <c r="T1800" s="1259"/>
      <c r="U1800" s="1259"/>
      <c r="V1800" s="1259"/>
      <c r="W1800" s="1259"/>
      <c r="X1800" s="1259"/>
      <c r="Y1800" s="1259"/>
      <c r="Z1800" s="1259"/>
      <c r="AA1800" s="1259"/>
      <c r="AB1800" s="1259"/>
      <c r="AC1800" s="1259"/>
      <c r="AD1800" s="120"/>
      <c r="AE1800" s="1256"/>
      <c r="AF1800" s="194"/>
      <c r="AG1800" s="194"/>
      <c r="AH1800" s="194"/>
      <c r="AI1800" s="194"/>
    </row>
    <row r="1801">
      <c r="A1801" s="118"/>
      <c r="B1801" s="1260">
        <v>6.0</v>
      </c>
      <c r="C1801" s="1250" t="s">
        <v>1726</v>
      </c>
      <c r="D1801" s="120"/>
      <c r="E1801" s="121"/>
      <c r="F1801" s="121"/>
      <c r="G1801" s="121"/>
      <c r="H1801" s="122"/>
      <c r="I1801" s="122"/>
      <c r="J1801" s="123"/>
      <c r="K1801" s="123"/>
      <c r="L1801" s="123"/>
      <c r="M1801" s="124"/>
      <c r="N1801" s="125"/>
      <c r="O1801" s="125"/>
      <c r="P1801" s="1261" t="s">
        <v>1727</v>
      </c>
      <c r="Q1801" s="1262">
        <f t="shared" ref="Q1801:AC1801" si="823">Q1802/Q1799</f>
        <v>1.096095389</v>
      </c>
      <c r="R1801" s="1262">
        <f t="shared" si="823"/>
        <v>1.025973985</v>
      </c>
      <c r="S1801" s="1262">
        <f t="shared" si="823"/>
        <v>1.080833309</v>
      </c>
      <c r="T1801" s="1262">
        <f t="shared" si="823"/>
        <v>0.791378658</v>
      </c>
      <c r="U1801" s="1262">
        <f t="shared" si="823"/>
        <v>0.7856549329</v>
      </c>
      <c r="V1801" s="1262">
        <f t="shared" si="823"/>
        <v>0.7594673673</v>
      </c>
      <c r="W1801" s="1262">
        <f t="shared" si="823"/>
        <v>0.83876434</v>
      </c>
      <c r="X1801" s="1262">
        <f t="shared" si="823"/>
        <v>0.8467029106</v>
      </c>
      <c r="Y1801" s="1262">
        <f t="shared" si="823"/>
        <v>0.7910405133</v>
      </c>
      <c r="Z1801" s="1262">
        <f t="shared" si="823"/>
        <v>0.7849533287</v>
      </c>
      <c r="AA1801" s="1262">
        <f t="shared" si="823"/>
        <v>0.773275402</v>
      </c>
      <c r="AB1801" s="1262">
        <f t="shared" si="823"/>
        <v>0.7925941261</v>
      </c>
      <c r="AC1801" s="1262">
        <f t="shared" si="823"/>
        <v>1.679081467</v>
      </c>
      <c r="AD1801" s="120"/>
      <c r="AE1801" s="1256">
        <f>AD1801-AC1801</f>
        <v>-1.679081467</v>
      </c>
      <c r="AF1801" s="194"/>
      <c r="AG1801" s="194"/>
      <c r="AH1801" s="194"/>
      <c r="AI1801" s="194"/>
    </row>
    <row r="1802" hidden="1">
      <c r="A1802" s="118"/>
      <c r="B1802" s="1263"/>
      <c r="C1802" s="1247"/>
      <c r="D1802" s="120"/>
      <c r="E1802" s="121"/>
      <c r="F1802" s="121"/>
      <c r="G1802" s="121"/>
      <c r="H1802" s="122"/>
      <c r="I1802" s="122"/>
      <c r="J1802" s="123"/>
      <c r="K1802" s="123"/>
      <c r="L1802" s="123"/>
      <c r="M1802" s="124"/>
      <c r="N1802" s="125"/>
      <c r="O1802" s="125"/>
      <c r="P1802" s="125"/>
      <c r="Q1802" s="1264">
        <f t="shared" ref="Q1802:AC1802" si="824">Q1774</f>
        <v>94375708370</v>
      </c>
      <c r="R1802" s="1264">
        <f t="shared" si="824"/>
        <v>93333808843</v>
      </c>
      <c r="S1802" s="1264">
        <f t="shared" si="824"/>
        <v>100237086406</v>
      </c>
      <c r="T1802" s="1264">
        <f t="shared" si="824"/>
        <v>86213745522</v>
      </c>
      <c r="U1802" s="1264">
        <f t="shared" si="824"/>
        <v>85870035684</v>
      </c>
      <c r="V1802" s="1264">
        <f t="shared" si="824"/>
        <v>90773153766</v>
      </c>
      <c r="W1802" s="1264">
        <f t="shared" si="824"/>
        <v>92053628329</v>
      </c>
      <c r="X1802" s="1264">
        <f t="shared" si="824"/>
        <v>92888382164</v>
      </c>
      <c r="Y1802" s="1264">
        <f t="shared" si="824"/>
        <v>87074351001</v>
      </c>
      <c r="Z1802" s="1264">
        <f t="shared" si="824"/>
        <v>86784215498</v>
      </c>
      <c r="AA1802" s="1264">
        <f t="shared" si="824"/>
        <v>85524351002</v>
      </c>
      <c r="AB1802" s="1264">
        <f t="shared" si="824"/>
        <v>91600882166</v>
      </c>
      <c r="AC1802" s="1264">
        <f t="shared" si="824"/>
        <v>1086729348747</v>
      </c>
      <c r="AD1802" s="120"/>
      <c r="AE1802" s="1256"/>
      <c r="AF1802" s="194"/>
      <c r="AG1802" s="194"/>
      <c r="AH1802" s="194"/>
      <c r="AI1802" s="194"/>
    </row>
    <row r="1803" hidden="1">
      <c r="A1803" s="118"/>
      <c r="B1803" s="1247" t="s">
        <v>1728</v>
      </c>
      <c r="C1803" s="119"/>
      <c r="D1803" s="120"/>
      <c r="E1803" s="121"/>
      <c r="F1803" s="121"/>
      <c r="G1803" s="121"/>
      <c r="H1803" s="122"/>
      <c r="I1803" s="122"/>
      <c r="J1803" s="123"/>
      <c r="K1803" s="123"/>
      <c r="L1803" s="123"/>
      <c r="M1803" s="124"/>
      <c r="N1803" s="125"/>
      <c r="O1803" s="125"/>
      <c r="P1803" s="125"/>
      <c r="Q1803" s="1265">
        <f t="shared" ref="Q1803:AC1803" si="825">Q1775</f>
        <v>93395924620</v>
      </c>
      <c r="R1803" s="1265">
        <f t="shared" si="825"/>
        <v>79960897694</v>
      </c>
      <c r="S1803" s="1265">
        <f t="shared" si="825"/>
        <v>80629779576</v>
      </c>
      <c r="T1803" s="1265">
        <f t="shared" si="825"/>
        <v>71023509367</v>
      </c>
      <c r="U1803" s="1265">
        <f t="shared" si="825"/>
        <v>88108641334</v>
      </c>
      <c r="V1803" s="1265">
        <f t="shared" si="825"/>
        <v>69243031363</v>
      </c>
      <c r="W1803" s="1265">
        <f t="shared" si="825"/>
        <v>41446950900</v>
      </c>
      <c r="X1803" s="1265">
        <f t="shared" si="825"/>
        <v>38098465922</v>
      </c>
      <c r="Y1803" s="1265">
        <f t="shared" si="825"/>
        <v>35493195180</v>
      </c>
      <c r="Z1803" s="1265">
        <f t="shared" si="825"/>
        <v>34652028626</v>
      </c>
      <c r="AA1803" s="1265">
        <f t="shared" si="825"/>
        <v>33930180331</v>
      </c>
      <c r="AB1803" s="1265">
        <f t="shared" si="825"/>
        <v>33404923206</v>
      </c>
      <c r="AC1803" s="1265">
        <f t="shared" si="825"/>
        <v>699249771358</v>
      </c>
    </row>
    <row r="1804">
      <c r="A1804" s="118"/>
      <c r="B1804" s="1266">
        <v>1.0</v>
      </c>
      <c r="C1804" s="1266" t="s">
        <v>1729</v>
      </c>
      <c r="D1804" s="120"/>
      <c r="E1804" s="121"/>
      <c r="F1804" s="121"/>
      <c r="G1804" s="121"/>
      <c r="H1804" s="122"/>
      <c r="I1804" s="122"/>
      <c r="J1804" s="123"/>
      <c r="K1804" s="123"/>
      <c r="L1804" s="123"/>
      <c r="M1804" s="124"/>
      <c r="N1804" s="125"/>
      <c r="O1804" s="125"/>
      <c r="P1804" s="125"/>
      <c r="Q1804" s="1267">
        <f t="shared" ref="Q1804:AC1804" si="826">Q1803/Q1802</f>
        <v>0.9896182634</v>
      </c>
      <c r="R1804" s="1267">
        <f t="shared" si="826"/>
        <v>0.8567195391</v>
      </c>
      <c r="S1804" s="1267">
        <f t="shared" si="826"/>
        <v>0.8043906948</v>
      </c>
      <c r="T1804" s="1267">
        <f t="shared" si="826"/>
        <v>0.8238072588</v>
      </c>
      <c r="U1804" s="1267">
        <f t="shared" si="826"/>
        <v>1.026069695</v>
      </c>
      <c r="V1804" s="1267">
        <f t="shared" si="826"/>
        <v>0.7628139873</v>
      </c>
      <c r="W1804" s="1267">
        <f t="shared" si="826"/>
        <v>0.4502478789</v>
      </c>
      <c r="X1804" s="1267">
        <f t="shared" si="826"/>
        <v>0.4101531864</v>
      </c>
      <c r="Y1804" s="1267">
        <f t="shared" si="826"/>
        <v>0.4076194054</v>
      </c>
      <c r="Z1804" s="1267">
        <f t="shared" si="826"/>
        <v>0.3992895301</v>
      </c>
      <c r="AA1804" s="1267">
        <f t="shared" si="826"/>
        <v>0.3967312226</v>
      </c>
      <c r="AB1804" s="1267">
        <f t="shared" si="826"/>
        <v>0.3646790557</v>
      </c>
      <c r="AC1804" s="1267">
        <f t="shared" si="826"/>
        <v>0.643444269</v>
      </c>
      <c r="AD1804" s="120"/>
      <c r="AE1804" s="1256">
        <f t="shared" ref="AE1804:AE1805" si="828">AD1804-AC1804</f>
        <v>-0.643444269</v>
      </c>
      <c r="AF1804" s="194"/>
      <c r="AG1804" s="194"/>
      <c r="AH1804" s="194"/>
      <c r="AI1804" s="194"/>
    </row>
    <row r="1805">
      <c r="A1805" s="118"/>
      <c r="B1805" s="1266">
        <v>2.0</v>
      </c>
      <c r="C1805" s="1268" t="s">
        <v>1730</v>
      </c>
      <c r="D1805" s="120"/>
      <c r="E1805" s="121"/>
      <c r="F1805" s="121"/>
      <c r="G1805" s="121"/>
      <c r="H1805" s="122"/>
      <c r="I1805" s="122"/>
      <c r="J1805" s="123"/>
      <c r="K1805" s="123"/>
      <c r="L1805" s="123"/>
      <c r="M1805" s="124"/>
      <c r="N1805" s="125"/>
      <c r="O1805" s="125"/>
      <c r="P1805" s="125"/>
      <c r="Q1805" s="1264">
        <f t="shared" ref="Q1805:AC1805" si="827">Q1774+Q1780+Q1785</f>
        <v>112450068577</v>
      </c>
      <c r="R1805" s="1264">
        <f t="shared" si="827"/>
        <v>113830165012</v>
      </c>
      <c r="S1805" s="1264">
        <f t="shared" si="827"/>
        <v>117739624185</v>
      </c>
      <c r="T1805" s="1264">
        <f t="shared" si="827"/>
        <v>103562703838</v>
      </c>
      <c r="U1805" s="1264">
        <f t="shared" si="827"/>
        <v>124436804402</v>
      </c>
      <c r="V1805" s="1264">
        <f t="shared" si="827"/>
        <v>117042184395</v>
      </c>
      <c r="W1805" s="1264">
        <f t="shared" si="827"/>
        <v>107834770868</v>
      </c>
      <c r="X1805" s="1264">
        <f t="shared" si="827"/>
        <v>108443735723</v>
      </c>
      <c r="Y1805" s="1264">
        <f t="shared" si="827"/>
        <v>102611890861</v>
      </c>
      <c r="Z1805" s="1264">
        <f t="shared" si="827"/>
        <v>101444283525</v>
      </c>
      <c r="AA1805" s="1264">
        <f t="shared" si="827"/>
        <v>101299522073</v>
      </c>
      <c r="AB1805" s="1264">
        <f t="shared" si="827"/>
        <v>107496179222</v>
      </c>
      <c r="AC1805" s="1264">
        <f t="shared" si="827"/>
        <v>1318191932681</v>
      </c>
      <c r="AD1805" s="120"/>
      <c r="AE1805" s="1256">
        <f t="shared" si="828"/>
        <v>-1318191932681</v>
      </c>
      <c r="AF1805" s="194"/>
      <c r="AG1805" s="194"/>
      <c r="AH1805" s="194"/>
      <c r="AI1805" s="194"/>
    </row>
    <row r="1806" hidden="1">
      <c r="A1806" s="118"/>
      <c r="E1806" s="121"/>
      <c r="F1806" s="121"/>
      <c r="G1806" s="121"/>
      <c r="H1806" s="122"/>
      <c r="I1806" s="122"/>
      <c r="J1806" s="123"/>
      <c r="K1806" s="123"/>
      <c r="L1806" s="123"/>
      <c r="M1806" s="124"/>
      <c r="N1806" s="125"/>
      <c r="O1806" s="125"/>
      <c r="P1806" s="125"/>
      <c r="Q1806" s="1265">
        <f t="shared" ref="Q1806:AC1806" si="829">Q1775+Q1781+Q1786</f>
        <v>102478702517</v>
      </c>
      <c r="R1806" s="1265">
        <f t="shared" si="829"/>
        <v>97301707102</v>
      </c>
      <c r="S1806" s="1265">
        <f t="shared" si="829"/>
        <v>101776281116</v>
      </c>
      <c r="T1806" s="1265">
        <f t="shared" si="829"/>
        <v>84448128867</v>
      </c>
      <c r="U1806" s="1265">
        <f t="shared" si="829"/>
        <v>103200993823</v>
      </c>
      <c r="V1806" s="1265">
        <f t="shared" si="829"/>
        <v>88103958804</v>
      </c>
      <c r="W1806" s="1265">
        <f t="shared" si="829"/>
        <v>41625259427</v>
      </c>
      <c r="X1806" s="1265">
        <f t="shared" si="829"/>
        <v>38098465922</v>
      </c>
      <c r="Y1806" s="1265">
        <f t="shared" si="829"/>
        <v>35493195180</v>
      </c>
      <c r="Z1806" s="1265">
        <f t="shared" si="829"/>
        <v>34652028626</v>
      </c>
      <c r="AA1806" s="1265">
        <f t="shared" si="829"/>
        <v>33930180331</v>
      </c>
      <c r="AB1806" s="1265">
        <f t="shared" si="829"/>
        <v>33404923206</v>
      </c>
      <c r="AC1806" s="1265">
        <f t="shared" si="829"/>
        <v>794376068158</v>
      </c>
      <c r="AD1806" s="120"/>
      <c r="AE1806" s="120"/>
      <c r="AF1806" s="120"/>
      <c r="AG1806" s="120"/>
      <c r="AH1806" s="120"/>
      <c r="AI1806" s="120"/>
    </row>
    <row r="1807" hidden="1">
      <c r="A1807" s="118"/>
      <c r="B1807" s="105" t="s">
        <v>1731</v>
      </c>
      <c r="E1807" s="121"/>
      <c r="F1807" s="121"/>
      <c r="G1807" s="121"/>
      <c r="H1807" s="122"/>
      <c r="I1807" s="122"/>
      <c r="J1807" s="123"/>
      <c r="K1807" s="123"/>
      <c r="L1807" s="123"/>
      <c r="M1807" s="124"/>
      <c r="N1807" s="125"/>
      <c r="O1807" s="125"/>
      <c r="P1807" s="125"/>
      <c r="Q1807" s="1267">
        <f t="shared" ref="Q1807:AC1807" si="830">Q1806/Q1805</f>
        <v>0.9113262785</v>
      </c>
      <c r="R1807" s="1267">
        <f t="shared" si="830"/>
        <v>0.8547972068</v>
      </c>
      <c r="S1807" s="1267">
        <f t="shared" si="830"/>
        <v>0.8644182604</v>
      </c>
      <c r="T1807" s="1267">
        <f t="shared" si="830"/>
        <v>0.8154299351</v>
      </c>
      <c r="U1807" s="1267">
        <f t="shared" si="830"/>
        <v>0.8293446165</v>
      </c>
      <c r="V1807" s="1267">
        <f t="shared" si="830"/>
        <v>0.7527538832</v>
      </c>
      <c r="W1807" s="1267">
        <f t="shared" si="830"/>
        <v>0.3860096246</v>
      </c>
      <c r="X1807" s="1267">
        <f t="shared" si="830"/>
        <v>0.351320117</v>
      </c>
      <c r="Y1807" s="1267">
        <f t="shared" si="830"/>
        <v>0.3458974869</v>
      </c>
      <c r="Z1807" s="1267">
        <f t="shared" si="830"/>
        <v>0.3415868043</v>
      </c>
      <c r="AA1807" s="1267">
        <f t="shared" si="830"/>
        <v>0.3349490663</v>
      </c>
      <c r="AB1807" s="1267">
        <f t="shared" si="830"/>
        <v>0.3107545166</v>
      </c>
      <c r="AC1807" s="1267">
        <f t="shared" si="830"/>
        <v>0.6026254967</v>
      </c>
      <c r="AD1807" s="120"/>
      <c r="AE1807" s="120"/>
      <c r="AF1807" s="120"/>
      <c r="AG1807" s="120"/>
      <c r="AH1807" s="120"/>
      <c r="AI1807" s="120"/>
    </row>
    <row r="1808" hidden="1">
      <c r="A1808" s="118"/>
      <c r="E1808" s="121"/>
      <c r="F1808" s="121"/>
      <c r="G1808" s="121"/>
      <c r="H1808" s="122"/>
      <c r="I1808" s="122"/>
      <c r="J1808" s="123"/>
      <c r="K1808" s="123"/>
      <c r="L1808" s="123"/>
      <c r="M1808" s="124"/>
      <c r="N1808" s="125"/>
      <c r="O1808" s="125"/>
      <c r="P1808" s="125"/>
      <c r="Q1808" s="1269">
        <f>Q1806/Q1805</f>
        <v>0.9113262785</v>
      </c>
      <c r="R1808" s="1269">
        <f>(Q1806+R1806)/(Q1805+R1805)</f>
        <v>0.8828893556</v>
      </c>
      <c r="S1808" s="1269">
        <f>(Q1806+R1806+S1806)/(Q1805+R1805+S1805)</f>
        <v>0.8765676862</v>
      </c>
      <c r="T1808" s="1269"/>
      <c r="U1808" s="1269"/>
      <c r="V1808" s="1269"/>
      <c r="W1808" s="1269"/>
      <c r="X1808" s="1269"/>
      <c r="Y1808" s="1269"/>
      <c r="Z1808" s="1269"/>
      <c r="AA1808" s="1269"/>
      <c r="AB1808" s="1269"/>
      <c r="AC1808" s="1269">
        <f>AC1806/AC1805</f>
        <v>0.6026254967</v>
      </c>
      <c r="AD1808" s="120"/>
      <c r="AE1808" s="120"/>
      <c r="AF1808" s="120"/>
      <c r="AG1808" s="120"/>
      <c r="AH1808" s="120"/>
      <c r="AI1808" s="120"/>
    </row>
    <row r="1809" hidden="1">
      <c r="A1809" s="118"/>
      <c r="E1809" s="121"/>
      <c r="F1809" s="121"/>
      <c r="G1809" s="121"/>
      <c r="H1809" s="122"/>
      <c r="I1809" s="122"/>
      <c r="J1809" s="123"/>
      <c r="K1809" s="123"/>
      <c r="L1809" s="123"/>
      <c r="M1809" s="124"/>
      <c r="N1809" s="125"/>
      <c r="O1809" s="125"/>
      <c r="P1809" s="125"/>
      <c r="Q1809" s="1269"/>
      <c r="R1809" s="1269"/>
      <c r="S1809" s="1269"/>
      <c r="T1809" s="1269"/>
      <c r="U1809" s="1269"/>
      <c r="V1809" s="1269"/>
      <c r="W1809" s="1269"/>
      <c r="X1809" s="1269"/>
      <c r="Y1809" s="1269"/>
      <c r="Z1809" s="1269"/>
      <c r="AA1809" s="1269"/>
      <c r="AB1809" s="1269"/>
      <c r="AC1809" s="1269"/>
      <c r="AD1809" s="120"/>
      <c r="AE1809" s="120"/>
      <c r="AF1809" s="120"/>
      <c r="AG1809" s="120"/>
      <c r="AH1809" s="120"/>
      <c r="AI1809" s="120"/>
    </row>
    <row r="1810">
      <c r="A1810" s="118"/>
      <c r="E1810" s="121"/>
      <c r="F1810" s="121"/>
      <c r="G1810" s="121"/>
      <c r="H1810" s="122"/>
      <c r="I1810" s="122"/>
      <c r="J1810" s="123"/>
      <c r="K1810" s="123"/>
      <c r="L1810" s="123"/>
      <c r="M1810" s="124"/>
      <c r="N1810" s="125"/>
      <c r="O1810" s="125"/>
      <c r="P1810" s="125"/>
      <c r="Q1810" s="120"/>
      <c r="R1810" s="120"/>
      <c r="S1810" s="120"/>
      <c r="T1810" s="120"/>
      <c r="U1810" s="120"/>
      <c r="V1810" s="120"/>
      <c r="W1810" s="120"/>
      <c r="X1810" s="120"/>
      <c r="Y1810" s="120"/>
      <c r="Z1810" s="120"/>
      <c r="AA1810" s="120"/>
      <c r="AB1810" s="120"/>
      <c r="AC1810" s="120"/>
      <c r="AD1810" s="120"/>
      <c r="AE1810" s="120"/>
      <c r="AF1810" s="120"/>
      <c r="AG1810" s="120"/>
      <c r="AH1810" s="120"/>
      <c r="AI1810" s="120"/>
    </row>
    <row r="1811">
      <c r="A1811" s="118"/>
      <c r="E1811" s="121"/>
      <c r="F1811" s="121"/>
      <c r="G1811" s="121"/>
      <c r="H1811" s="122"/>
      <c r="I1811" s="122"/>
      <c r="J1811" s="123"/>
      <c r="K1811" s="123"/>
      <c r="L1811" s="123"/>
      <c r="M1811" s="124"/>
      <c r="N1811" s="125"/>
      <c r="O1811" s="125"/>
      <c r="P1811" s="125"/>
      <c r="Q1811" s="120"/>
      <c r="R1811" s="120"/>
      <c r="S1811" s="120"/>
      <c r="T1811" s="120"/>
      <c r="U1811" s="120"/>
      <c r="V1811" s="120"/>
      <c r="W1811" s="120"/>
      <c r="X1811" s="120"/>
      <c r="Y1811" s="120"/>
      <c r="Z1811" s="120"/>
      <c r="AA1811" s="120"/>
      <c r="AB1811" s="120"/>
      <c r="AC1811" s="120"/>
      <c r="AD1811" s="120"/>
      <c r="AE1811" s="120"/>
      <c r="AF1811" s="120"/>
      <c r="AG1811" s="120"/>
      <c r="AH1811" s="120"/>
      <c r="AI1811" s="120"/>
    </row>
    <row r="1812">
      <c r="A1812" s="118"/>
      <c r="E1812" s="121"/>
      <c r="F1812" s="121"/>
      <c r="G1812" s="121"/>
      <c r="H1812" s="122"/>
      <c r="I1812" s="122"/>
      <c r="J1812" s="123"/>
      <c r="K1812" s="123"/>
      <c r="L1812" s="123"/>
      <c r="M1812" s="124"/>
      <c r="N1812" s="125"/>
      <c r="O1812" s="125"/>
      <c r="P1812" s="125"/>
      <c r="Q1812" s="120"/>
      <c r="R1812" s="120"/>
      <c r="S1812" s="120"/>
      <c r="T1812" s="120"/>
      <c r="U1812" s="120"/>
      <c r="V1812" s="120"/>
      <c r="W1812" s="120"/>
      <c r="X1812" s="120"/>
      <c r="Y1812" s="120"/>
      <c r="Z1812" s="120"/>
      <c r="AA1812" s="120"/>
      <c r="AB1812" s="120"/>
      <c r="AC1812" s="120"/>
      <c r="AD1812" s="120"/>
      <c r="AE1812" s="120"/>
      <c r="AF1812" s="120"/>
      <c r="AG1812" s="120"/>
      <c r="AH1812" s="120"/>
      <c r="AI1812" s="120"/>
    </row>
    <row r="1813">
      <c r="A1813" s="118"/>
      <c r="E1813" s="121"/>
      <c r="F1813" s="121"/>
      <c r="G1813" s="121"/>
      <c r="H1813" s="122"/>
      <c r="I1813" s="122"/>
      <c r="J1813" s="123"/>
      <c r="K1813" s="123"/>
      <c r="L1813" s="123"/>
      <c r="M1813" s="124"/>
      <c r="N1813" s="125"/>
      <c r="O1813" s="125"/>
      <c r="P1813" s="125"/>
      <c r="Q1813" s="120"/>
      <c r="R1813" s="120"/>
      <c r="S1813" s="120"/>
      <c r="T1813" s="120"/>
      <c r="U1813" s="120"/>
      <c r="V1813" s="120"/>
      <c r="W1813" s="120"/>
      <c r="X1813" s="120"/>
      <c r="Y1813" s="120"/>
      <c r="Z1813" s="120"/>
      <c r="AA1813" s="120"/>
      <c r="AB1813" s="120"/>
      <c r="AC1813" s="120"/>
      <c r="AD1813" s="120"/>
      <c r="AE1813" s="120"/>
      <c r="AF1813" s="120"/>
      <c r="AG1813" s="120"/>
      <c r="AH1813" s="120"/>
      <c r="AI1813" s="120"/>
    </row>
    <row r="1814">
      <c r="A1814" s="118"/>
      <c r="E1814" s="121"/>
      <c r="F1814" s="121"/>
      <c r="G1814" s="121"/>
      <c r="H1814" s="122"/>
      <c r="I1814" s="122"/>
      <c r="J1814" s="123"/>
      <c r="K1814" s="123"/>
      <c r="L1814" s="123"/>
      <c r="M1814" s="124"/>
      <c r="N1814" s="125"/>
      <c r="O1814" s="125"/>
      <c r="P1814" s="2" t="s">
        <v>1732</v>
      </c>
      <c r="Q1814" s="120"/>
      <c r="R1814" s="120"/>
      <c r="S1814" s="120"/>
      <c r="T1814" s="120"/>
      <c r="U1814" s="120"/>
      <c r="V1814" s="120"/>
      <c r="W1814" s="120"/>
      <c r="X1814" s="120"/>
      <c r="Y1814" s="120"/>
      <c r="Z1814" s="1245"/>
      <c r="AA1814" s="120"/>
      <c r="AB1814" s="120"/>
      <c r="AC1814" s="120"/>
      <c r="AD1814" s="120"/>
      <c r="AE1814" s="120"/>
      <c r="AF1814" s="120"/>
      <c r="AG1814" s="120"/>
      <c r="AH1814" s="120"/>
      <c r="AI1814" s="120"/>
    </row>
  </sheetData>
  <autoFilter ref="$B$7:$AF$1809">
    <filterColumn colId="1">
      <filters>
        <filter val="88"/>
        <filter val="Belitung - Tanjung Pandan (TJQ)"/>
        <filter val="89"/>
        <filter val="Jawa Timur - Surabaya (SUB)"/>
        <filter val="Sulawesi Tengah - Palu"/>
        <filter val="NUSA TENGGARA &amp; BALI"/>
        <filter val="90"/>
        <filter val="91"/>
        <filter val="92"/>
        <filter val="Papua Pegunungan - Jayawijaya"/>
        <filter val="93"/>
        <filter val="94"/>
        <filter val="Bengkulu - Bengkulu (BKS)"/>
        <filter val="95"/>
        <filter val="96"/>
        <filter val="97"/>
        <filter val="10"/>
        <filter val="98"/>
        <filter val="11"/>
        <filter val="99"/>
        <filter val="12"/>
        <filter val="Papua Tengah - Nabire"/>
        <filter val="13"/>
        <filter val="14"/>
        <filter val="15"/>
        <filter val="16"/>
        <filter val="17"/>
        <filter val="18"/>
        <filter val="Bahan evaluasi sekaligus langkah-langkah yg harus diambil oleh korporasi dalam hal terdapat cabang/regional/komersil pusat yg tidak tercapai."/>
        <filter val="19"/>
        <filter val="DI Yogyakarta - Yogyakarta (JOG)"/>
        <filter val="Kalimantan Timur - Samarinda"/>
        <filter val="1"/>
        <filter val="2"/>
        <filter val="Jawa Tengah - Semarang (SRG)"/>
        <filter val="3"/>
        <filter val="4"/>
        <filter val="Jawa Barat - Bandung (BDO)"/>
        <filter val="5"/>
        <filter val="6"/>
        <filter val="7"/>
        <filter val="8"/>
        <filter val="9"/>
        <filter val="20"/>
        <filter val="21"/>
        <filter val="22"/>
        <filter val="23"/>
        <filter val="24"/>
        <filter val="Maluku - Ambon"/>
        <filter val="25"/>
        <filter val="26"/>
        <filter val="SUMATERA"/>
        <filter val="27"/>
        <filter val="28"/>
        <filter val="29"/>
        <filter val="MALUKU"/>
        <filter val="Tidak boleh menambah kolom (Pekerjaan yg sudah kontrak tidak ada dalam program atau belum selesai pembayarannya s/d 2025 dengan menambah baris/row kebawah)"/>
        <filter val="30"/>
        <filter val="31"/>
        <filter val="32"/>
        <filter val="33"/>
        <filter val="34"/>
        <filter val="35"/>
        <filter val="Papua Barat - Manokwari"/>
        <filter val="JAWA"/>
        <filter val="36"/>
        <filter val="37"/>
        <filter val="38"/>
        <filter val="39"/>
        <filter val="Kalimantan Selatan - Banjarmasin BDJ"/>
        <filter val="Nilai Invoising / Asumsi Prestasi pekerjaan row ke tiga masing-masing program juga diisi dengan satuan"/>
        <filter val="Nusa Tenggara Timur-  Kupang ("/>
        <filter val="Kolom No 5, 6, 7 dan 8 harus diisi sesuai data kontrak tual atau yg dalam proses addendum (dikasih penjelasan di kolom 6 status &amp; posisi dokumennya)"/>
        <filter val="40"/>
        <filter val="41"/>
        <filter val="Bangka Belitung - Pangkal Pinang (PGK)"/>
        <filter val="42"/>
        <filter val="Banten - Serang"/>
        <filter val="43"/>
        <filter val="44"/>
        <filter val="45"/>
        <filter val="46"/>
        <filter val="47"/>
        <filter val="48"/>
        <filter val="49"/>
        <filter val="Papua Barat Daya - Sorong"/>
        <filter val="Kalimantan Tengah - Palangkaraya"/>
        <filter val="Sulawesi Utara - Manado"/>
        <filter val="Sulawesi Barat - Mamuju"/>
        <filter val="Papua Selatan - Merauke"/>
        <filter val="KALIMANTAN"/>
        <filter val="Sulawesi Utara - Manado (MDC)"/>
        <filter val="RKAP 2025/target revenue bulanan (Font Merah) tidak boleh diganti (angka absolut)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Sulawesi Tenggara - Kendari"/>
        <filter val="Gorontalo - Gorontalo"/>
        <filter val="DKI Jakarta - Jakarta (JKT)"/>
        <filter val="Maluku Utara - Sofifi"/>
        <filter val="Sumatra Utara - Medan (MES)"/>
        <filter val="Kalimantan Barat - Pontianak"/>
        <filter val="60"/>
        <filter val="61"/>
        <filter val="Bali - Denpasar (DPS)"/>
        <filter val="62"/>
        <filter val="63"/>
        <filter val="64"/>
        <filter val="65"/>
        <filter val="Sulawesi Selatan - Makassar"/>
        <filter val="66"/>
        <filter val="67"/>
        <filter val="68"/>
        <filter val="69"/>
        <filter val="Papua - Jayapura"/>
        <filter val="Kolom 7 dan 8 (durasi kontrak) diisi dengan effektif kontrak/Addendum  (kapan dimulai dan kapan berakhirnya)"/>
        <filter val="PAPUA"/>
        <filter val="Nusa Tenggara Barat - Mataram ("/>
        <filter val="Riau - Pekanbaru (PKU)"/>
        <filter val="Jambi - Jambi (DJB)"/>
        <filter val="Sumatra Barat - Padang (PDG)"/>
        <filter val="70"/>
        <filter val="71"/>
        <filter val="72"/>
        <filter val="Aceh - Banda Aceh (BTJ)"/>
        <filter val="73"/>
        <filter val="74"/>
        <filter val="75"/>
        <filter val="76"/>
        <filter val="77"/>
        <filter val="78"/>
        <filter val="79"/>
        <filter val="Kepulauan Riau - Tanjung Pinang (TNJ)"/>
        <filter val="Kalimantan Utara - Tanjung Selor"/>
        <filter val="Kolom 9 dan seterusnya merupakan breakdown bulanan RKAP, breakdown target alat produksi (sesuai kontrak/addendum) dan breakdown prestasi pekerjaan."/>
        <filter val="100"/>
        <filter val="Sumatra Selatan - Palembang (PLM)"/>
        <filter val="80"/>
        <filter val="81"/>
        <filter val="82"/>
        <filter val="83"/>
        <filter val="84"/>
        <filter val="85"/>
        <filter val="86"/>
        <filter val="Monitoring kinerja Cabang, Regional dan dan komersil pusat"/>
        <filter val="Lampung - Bandar Lampung (TKG)"/>
        <filter val="87"/>
      </filters>
    </filterColumn>
  </autoFilter>
  <customSheetViews>
    <customSheetView guid="{40376861-4673-4C88-9B1C-798F6AA9817A}" filter="1" showAutoFilter="1">
      <autoFilter ref="$B$7:$AC$1811"/>
      <extLst>
        <ext uri="GoogleSheetsCustomDataVersion1">
          <go:sheetsCustomData xmlns:go="http://customooxmlschemas.google.com/" filterViewId="1192233209"/>
        </ext>
      </extLst>
    </customSheetView>
  </customSheetViews>
  <mergeCells count="21">
    <mergeCell ref="AF5:AH5"/>
    <mergeCell ref="AF6:AH6"/>
    <mergeCell ref="K5:K6"/>
    <mergeCell ref="L5:L6"/>
    <mergeCell ref="M5:M6"/>
    <mergeCell ref="N5:N6"/>
    <mergeCell ref="O5:P5"/>
    <mergeCell ref="Q5:AC5"/>
    <mergeCell ref="AD5:AE6"/>
    <mergeCell ref="B1764:C1764"/>
    <mergeCell ref="B1769:C1769"/>
    <mergeCell ref="B1774:C1774"/>
    <mergeCell ref="B1779:C1779"/>
    <mergeCell ref="B1784:C1784"/>
    <mergeCell ref="B5:C6"/>
    <mergeCell ref="D5:D6"/>
    <mergeCell ref="E5:E6"/>
    <mergeCell ref="F5:F6"/>
    <mergeCell ref="G5:G6"/>
    <mergeCell ref="H5:H6"/>
    <mergeCell ref="I5:J5"/>
  </mergeCells>
  <hyperlinks>
    <hyperlink r:id="rId2" ref="M12"/>
    <hyperlink r:id="rId3" ref="M13"/>
    <hyperlink r:id="rId4" ref="M20"/>
    <hyperlink r:id="rId5" ref="M25"/>
    <hyperlink r:id="rId6" ref="M33"/>
    <hyperlink r:id="rId7" ref="M57"/>
    <hyperlink r:id="rId8" ref="M64"/>
    <hyperlink r:id="rId9" ref="M303"/>
    <hyperlink r:id="rId10" ref="M310"/>
    <hyperlink r:id="rId11" ref="M349"/>
    <hyperlink r:id="rId12" ref="M350"/>
    <hyperlink r:id="rId13" ref="M357"/>
    <hyperlink r:id="rId14" ref="M358"/>
    <hyperlink r:id="rId15" ref="M363"/>
    <hyperlink r:id="rId16" ref="M382"/>
    <hyperlink r:id="rId17" ref="M389"/>
    <hyperlink r:id="rId18" ref="M406"/>
    <hyperlink r:id="rId19" ref="M413"/>
    <hyperlink r:id="rId20" ref="M414"/>
    <hyperlink r:id="rId21" ref="M429"/>
    <hyperlink r:id="rId22" ref="M430"/>
    <hyperlink r:id="rId23" ref="M437"/>
    <hyperlink r:id="rId24" ref="M438"/>
    <hyperlink r:id="rId25" ref="M444"/>
    <hyperlink r:id="rId26" ref="M445"/>
    <hyperlink r:id="rId27" ref="M446"/>
    <hyperlink r:id="rId28" ref="M453"/>
    <hyperlink r:id="rId29" ref="M457"/>
    <hyperlink r:id="rId30" ref="M480"/>
    <hyperlink r:id="rId31" ref="M486"/>
    <hyperlink r:id="rId32" ref="M566"/>
    <hyperlink r:id="rId33" ref="M567"/>
    <hyperlink r:id="rId34" ref="M646"/>
    <hyperlink r:id="rId35" ref="M685"/>
    <hyperlink r:id="rId36" ref="M686"/>
    <hyperlink r:id="rId37" ref="M809"/>
    <hyperlink r:id="rId38" ref="M832"/>
    <hyperlink r:id="rId39" ref="M939"/>
    <hyperlink r:id="rId40" ref="M944"/>
    <hyperlink r:id="rId41" ref="M960"/>
    <hyperlink r:id="rId42" ref="M965"/>
    <hyperlink r:id="rId43" ref="M1165"/>
    <hyperlink r:id="rId44" ref="M1171"/>
    <hyperlink r:id="rId45" ref="M1177"/>
    <hyperlink r:id="rId46" ref="M1296"/>
    <hyperlink r:id="rId47" ref="M1303"/>
    <hyperlink r:id="rId48" ref="M1310"/>
    <hyperlink r:id="rId49" ref="M1311"/>
    <hyperlink r:id="rId50" ref="M1318"/>
    <hyperlink r:id="rId51" ref="M1323"/>
    <hyperlink r:id="rId52" ref="M1328"/>
    <hyperlink r:id="rId53" ref="M1557"/>
    <hyperlink r:id="rId54" ref="M1563"/>
    <hyperlink r:id="rId55" ref="M1564"/>
    <hyperlink r:id="rId56" ref="M1591"/>
    <hyperlink r:id="rId57" ref="M1592"/>
    <hyperlink r:id="rId58" ref="M1603"/>
  </hyperlinks>
  <printOptions/>
  <pageMargins bottom="0.75" footer="0.0" header="0.0" left="0.7" right="0.7" top="0.75"/>
  <pageSetup orientation="portrait"/>
  <drawing r:id="rId59"/>
  <legacyDrawing r:id="rId6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14"/>
    <col customWidth="1" min="3" max="3" width="5.14"/>
    <col customWidth="1" min="4" max="4" width="53.0"/>
    <col customWidth="1" min="5" max="5" width="51.57"/>
    <col customWidth="1" hidden="1" min="6" max="6" width="13.71"/>
    <col customWidth="1" hidden="1" min="7" max="7" width="22.29"/>
    <col customWidth="1" hidden="1" min="8" max="8" width="22.0"/>
    <col customWidth="1" hidden="1" min="9" max="9" width="26.14"/>
    <col customWidth="1" hidden="1" min="10" max="10" width="12.57"/>
    <col customWidth="1" hidden="1" min="11" max="11" width="15.86"/>
    <col customWidth="1" min="12" max="12" width="10.14"/>
    <col customWidth="1" min="13" max="13" width="18.43"/>
    <col customWidth="1" min="14" max="14" width="15.29"/>
    <col customWidth="1" min="15" max="15" width="15.43"/>
    <col customWidth="1" min="16" max="17" width="15.29"/>
    <col customWidth="1" min="18" max="18" width="16.0"/>
    <col customWidth="1" min="19" max="20" width="16.14"/>
    <col customWidth="1" min="21" max="21" width="14.43"/>
    <col customWidth="1" min="22" max="22" width="15.43"/>
    <col customWidth="1" min="23" max="23" width="15.29"/>
    <col customWidth="1" min="24" max="24" width="16.0"/>
    <col customWidth="1" min="25" max="25" width="18.57"/>
    <col customWidth="1" min="27" max="27" width="14.57"/>
    <col customWidth="1" min="28" max="28" width="3.57"/>
    <col customWidth="1" min="29" max="29" width="59.43"/>
    <col customWidth="1" min="30" max="30" width="8.71"/>
    <col customWidth="1" min="31" max="31" width="7.43"/>
    <col customWidth="1" min="32" max="32" width="5.29"/>
    <col customWidth="1" min="33" max="33" width="7.71"/>
    <col customWidth="1" min="34" max="34" width="8.71"/>
    <col customWidth="1" min="35" max="35" width="8.86"/>
    <col customWidth="1" min="36" max="36" width="8.43"/>
  </cols>
  <sheetData>
    <row r="1">
      <c r="C1" s="1270"/>
      <c r="D1" s="1270"/>
      <c r="E1" s="1270"/>
      <c r="F1" s="1271"/>
      <c r="G1" s="1271"/>
      <c r="H1" s="1271"/>
      <c r="I1" s="1271"/>
      <c r="J1" s="1271"/>
      <c r="K1" s="1271"/>
      <c r="L1" s="1270"/>
    </row>
    <row r="2">
      <c r="C2" s="1270"/>
      <c r="D2" s="1270"/>
      <c r="E2" s="1270"/>
      <c r="F2" s="1271"/>
      <c r="G2" s="1271"/>
      <c r="H2" s="1271"/>
      <c r="I2" s="1271"/>
      <c r="J2" s="1271"/>
      <c r="K2" s="1271"/>
      <c r="L2" s="1270"/>
    </row>
    <row r="3">
      <c r="A3" s="1272"/>
      <c r="B3" s="1272" t="s">
        <v>111</v>
      </c>
      <c r="D3" s="1273" t="s">
        <v>156</v>
      </c>
      <c r="E3" s="1274"/>
      <c r="F3" s="1275" t="s">
        <v>157</v>
      </c>
      <c r="G3" s="1276" t="s">
        <v>158</v>
      </c>
      <c r="H3" s="1276" t="s">
        <v>81</v>
      </c>
      <c r="I3" s="1276" t="s">
        <v>1733</v>
      </c>
      <c r="J3" s="1277" t="s">
        <v>160</v>
      </c>
      <c r="K3" s="1278"/>
      <c r="L3" s="1279" t="s">
        <v>1734</v>
      </c>
      <c r="M3" s="1280" t="s">
        <v>1735</v>
      </c>
    </row>
    <row r="4">
      <c r="A4" s="118"/>
      <c r="D4" s="1281"/>
      <c r="E4" s="1278"/>
      <c r="F4" s="1282"/>
      <c r="G4" s="1282"/>
      <c r="H4" s="1282"/>
      <c r="I4" s="1282"/>
      <c r="J4" s="1283" t="s">
        <v>169</v>
      </c>
      <c r="K4" s="1283" t="s">
        <v>170</v>
      </c>
      <c r="L4" s="1282"/>
      <c r="M4" s="1284" t="s">
        <v>11</v>
      </c>
      <c r="N4" s="1284" t="s">
        <v>12</v>
      </c>
      <c r="O4" s="1284" t="s">
        <v>13</v>
      </c>
      <c r="P4" s="1284" t="s">
        <v>14</v>
      </c>
      <c r="Q4" s="1284" t="s">
        <v>15</v>
      </c>
      <c r="R4" s="1284" t="s">
        <v>16</v>
      </c>
      <c r="S4" s="1284" t="s">
        <v>17</v>
      </c>
      <c r="T4" s="1284" t="s">
        <v>18</v>
      </c>
      <c r="U4" s="1284" t="s">
        <v>19</v>
      </c>
      <c r="V4" s="1284" t="s">
        <v>20</v>
      </c>
      <c r="W4" s="1284" t="s">
        <v>21</v>
      </c>
      <c r="X4" s="1284" t="s">
        <v>22</v>
      </c>
      <c r="Y4" s="1285">
        <v>2025.0</v>
      </c>
    </row>
    <row r="5">
      <c r="A5" s="126"/>
      <c r="B5" s="1286" t="s">
        <v>27</v>
      </c>
      <c r="C5" s="1287" t="s">
        <v>28</v>
      </c>
      <c r="D5" s="684"/>
      <c r="E5" s="1270"/>
      <c r="F5" s="1251"/>
      <c r="G5" s="1251"/>
      <c r="H5" s="1251"/>
      <c r="I5" s="1251"/>
      <c r="J5" s="1251"/>
      <c r="K5" s="1251"/>
      <c r="L5" s="1288"/>
      <c r="M5" s="1289">
        <f t="shared" ref="M5:Y5" si="1">M6+M12+M31+M47+M54+M57+M62+M67+M71+M75+M82</f>
        <v>14630140367</v>
      </c>
      <c r="N5" s="1289">
        <f t="shared" si="1"/>
        <v>14481698730</v>
      </c>
      <c r="O5" s="1289">
        <f t="shared" si="1"/>
        <v>20044018403</v>
      </c>
      <c r="P5" s="1289">
        <f t="shared" si="1"/>
        <v>13751143450</v>
      </c>
      <c r="Q5" s="1289">
        <f t="shared" si="1"/>
        <v>13096243450</v>
      </c>
      <c r="R5" s="1289">
        <f t="shared" si="1"/>
        <v>13096243450</v>
      </c>
      <c r="S5" s="1289">
        <f t="shared" si="1"/>
        <v>13096243450</v>
      </c>
      <c r="T5" s="1289">
        <f t="shared" si="1"/>
        <v>13096243450</v>
      </c>
      <c r="U5" s="1289">
        <f t="shared" si="1"/>
        <v>13096243450</v>
      </c>
      <c r="V5" s="1289">
        <f t="shared" si="1"/>
        <v>13096243450</v>
      </c>
      <c r="W5" s="1289">
        <f t="shared" si="1"/>
        <v>13096243450</v>
      </c>
      <c r="X5" s="1289">
        <f t="shared" si="1"/>
        <v>13096243450</v>
      </c>
      <c r="Y5" s="1289">
        <f t="shared" si="1"/>
        <v>167676948557</v>
      </c>
    </row>
    <row r="6">
      <c r="A6" s="126"/>
      <c r="B6" s="1290">
        <v>1.0</v>
      </c>
      <c r="C6" s="182" t="s">
        <v>29</v>
      </c>
      <c r="D6" s="183"/>
      <c r="E6" s="86"/>
      <c r="F6" s="1291"/>
      <c r="G6" s="1291"/>
      <c r="H6" s="1291"/>
      <c r="I6" s="1291"/>
      <c r="J6" s="1291"/>
      <c r="K6" s="1291"/>
      <c r="L6" s="1292" t="s">
        <v>189</v>
      </c>
      <c r="M6" s="1289">
        <f t="shared" ref="M6:Y6" si="2">SUM(M7:M11)</f>
        <v>273856973</v>
      </c>
      <c r="N6" s="1289">
        <f t="shared" si="2"/>
        <v>273856973</v>
      </c>
      <c r="O6" s="1289">
        <f t="shared" si="2"/>
        <v>273856973</v>
      </c>
      <c r="P6" s="1289">
        <f t="shared" si="2"/>
        <v>273856973</v>
      </c>
      <c r="Q6" s="1289">
        <f t="shared" si="2"/>
        <v>273856973</v>
      </c>
      <c r="R6" s="1289">
        <f t="shared" si="2"/>
        <v>273856973</v>
      </c>
      <c r="S6" s="1289">
        <f t="shared" si="2"/>
        <v>273856973</v>
      </c>
      <c r="T6" s="1289">
        <f t="shared" si="2"/>
        <v>273856973</v>
      </c>
      <c r="U6" s="1289">
        <f t="shared" si="2"/>
        <v>273856973</v>
      </c>
      <c r="V6" s="1289">
        <f t="shared" si="2"/>
        <v>273856973</v>
      </c>
      <c r="W6" s="1289">
        <f t="shared" si="2"/>
        <v>273856973</v>
      </c>
      <c r="X6" s="1289">
        <f t="shared" si="2"/>
        <v>273856973</v>
      </c>
      <c r="Y6" s="1289">
        <f t="shared" si="2"/>
        <v>3286283680</v>
      </c>
    </row>
    <row r="7">
      <c r="A7" s="126"/>
      <c r="B7" s="185"/>
      <c r="C7" s="196">
        <v>1.0</v>
      </c>
      <c r="D7" s="197" t="s">
        <v>185</v>
      </c>
      <c r="E7" s="198" t="s">
        <v>185</v>
      </c>
      <c r="F7" s="1293" t="s">
        <v>186</v>
      </c>
      <c r="G7" s="1293" t="s">
        <v>103</v>
      </c>
      <c r="H7" s="1293" t="s">
        <v>86</v>
      </c>
      <c r="I7" s="1293" t="s">
        <v>86</v>
      </c>
      <c r="J7" s="1293" t="s">
        <v>187</v>
      </c>
      <c r="K7" s="1293" t="s">
        <v>1736</v>
      </c>
      <c r="L7" s="1292" t="s">
        <v>189</v>
      </c>
      <c r="M7" s="1294">
        <v>1.04692192E8</v>
      </c>
      <c r="N7" s="1294">
        <v>1.04692192E8</v>
      </c>
      <c r="O7" s="1294">
        <v>1.04692192E8</v>
      </c>
      <c r="P7" s="1294">
        <v>1.04692192E8</v>
      </c>
      <c r="Q7" s="1294">
        <v>1.04692192E8</v>
      </c>
      <c r="R7" s="1294">
        <v>1.04692192E8</v>
      </c>
      <c r="S7" s="1294">
        <v>1.04692192E8</v>
      </c>
      <c r="T7" s="1294">
        <v>1.04692192E8</v>
      </c>
      <c r="U7" s="1294">
        <v>1.04692192E8</v>
      </c>
      <c r="V7" s="1294">
        <v>1.04692192E8</v>
      </c>
      <c r="W7" s="1294">
        <v>1.04692192E8</v>
      </c>
      <c r="X7" s="1294">
        <v>1.04692192E8</v>
      </c>
      <c r="Y7" s="725">
        <v>1.256306306E9</v>
      </c>
    </row>
    <row r="8">
      <c r="A8" s="126"/>
      <c r="B8" s="185"/>
      <c r="C8" s="196">
        <v>2.0</v>
      </c>
      <c r="D8" s="197" t="s">
        <v>196</v>
      </c>
      <c r="E8" s="198" t="s">
        <v>196</v>
      </c>
      <c r="F8" s="1293" t="s">
        <v>186</v>
      </c>
      <c r="G8" s="1293" t="s">
        <v>103</v>
      </c>
      <c r="H8" s="1293" t="s">
        <v>86</v>
      </c>
      <c r="I8" s="1293" t="s">
        <v>86</v>
      </c>
      <c r="J8" s="1293" t="s">
        <v>187</v>
      </c>
      <c r="K8" s="1293" t="s">
        <v>1736</v>
      </c>
      <c r="L8" s="1292" t="s">
        <v>189</v>
      </c>
      <c r="M8" s="1294">
        <v>1.4677177E7</v>
      </c>
      <c r="N8" s="1294">
        <v>1.4677177E7</v>
      </c>
      <c r="O8" s="1294">
        <v>1.4677177E7</v>
      </c>
      <c r="P8" s="1294">
        <v>1.4677177E7</v>
      </c>
      <c r="Q8" s="1294">
        <v>1.4677177E7</v>
      </c>
      <c r="R8" s="1294">
        <v>1.4677177E7</v>
      </c>
      <c r="S8" s="1294">
        <v>1.4677177E7</v>
      </c>
      <c r="T8" s="1294">
        <v>1.4677177E7</v>
      </c>
      <c r="U8" s="1294">
        <v>1.4677177E7</v>
      </c>
      <c r="V8" s="1294">
        <v>1.4677177E7</v>
      </c>
      <c r="W8" s="1294">
        <v>1.4677177E7</v>
      </c>
      <c r="X8" s="1294">
        <v>1.4677177E7</v>
      </c>
      <c r="Y8" s="725">
        <v>1.76126126E8</v>
      </c>
    </row>
    <row r="9">
      <c r="A9" s="126"/>
      <c r="B9" s="185"/>
      <c r="C9" s="196">
        <v>3.0</v>
      </c>
      <c r="D9" s="197" t="s">
        <v>202</v>
      </c>
      <c r="E9" s="198" t="s">
        <v>1737</v>
      </c>
      <c r="F9" s="1293" t="s">
        <v>186</v>
      </c>
      <c r="G9" s="1293" t="s">
        <v>135</v>
      </c>
      <c r="H9" s="1293" t="s">
        <v>135</v>
      </c>
      <c r="I9" s="1293" t="s">
        <v>203</v>
      </c>
      <c r="J9" s="1293" t="s">
        <v>187</v>
      </c>
      <c r="K9" s="1293" t="s">
        <v>1736</v>
      </c>
      <c r="L9" s="1292" t="s">
        <v>189</v>
      </c>
      <c r="M9" s="1294">
        <v>5.3221217E7</v>
      </c>
      <c r="N9" s="1294">
        <v>5.3221217E7</v>
      </c>
      <c r="O9" s="1294">
        <v>5.3221217E7</v>
      </c>
      <c r="P9" s="1294">
        <v>5.3221217E7</v>
      </c>
      <c r="Q9" s="1294">
        <v>5.3221217E7</v>
      </c>
      <c r="R9" s="1294">
        <v>5.3221217E7</v>
      </c>
      <c r="S9" s="1294">
        <v>5.3221217E7</v>
      </c>
      <c r="T9" s="1294">
        <v>5.3221217E7</v>
      </c>
      <c r="U9" s="1294">
        <v>5.3221217E7</v>
      </c>
      <c r="V9" s="1294">
        <v>5.3221217E7</v>
      </c>
      <c r="W9" s="1294">
        <v>5.3221217E7</v>
      </c>
      <c r="X9" s="1294">
        <v>5.3221217E7</v>
      </c>
      <c r="Y9" s="725">
        <v>6.38654604E8</v>
      </c>
    </row>
    <row r="10">
      <c r="A10" s="126"/>
      <c r="B10" s="185"/>
      <c r="C10" s="196">
        <v>4.0</v>
      </c>
      <c r="D10" s="197" t="s">
        <v>211</v>
      </c>
      <c r="E10" s="198" t="s">
        <v>211</v>
      </c>
      <c r="F10" s="1293" t="s">
        <v>186</v>
      </c>
      <c r="G10" s="1293" t="s">
        <v>135</v>
      </c>
      <c r="H10" s="1293" t="s">
        <v>135</v>
      </c>
      <c r="I10" s="1293" t="s">
        <v>203</v>
      </c>
      <c r="J10" s="1293" t="s">
        <v>187</v>
      </c>
      <c r="K10" s="1293" t="s">
        <v>1736</v>
      </c>
      <c r="L10" s="1292" t="s">
        <v>189</v>
      </c>
      <c r="M10" s="1294">
        <v>1.9384865E7</v>
      </c>
      <c r="N10" s="1294">
        <v>1.9384865E7</v>
      </c>
      <c r="O10" s="1294">
        <v>1.9384865E7</v>
      </c>
      <c r="P10" s="1294">
        <v>1.9384865E7</v>
      </c>
      <c r="Q10" s="1294">
        <v>1.9384865E7</v>
      </c>
      <c r="R10" s="1294">
        <v>1.9384865E7</v>
      </c>
      <c r="S10" s="1294">
        <v>1.9384865E7</v>
      </c>
      <c r="T10" s="1294">
        <v>1.9384865E7</v>
      </c>
      <c r="U10" s="1294">
        <v>1.9384865E7</v>
      </c>
      <c r="V10" s="1294">
        <v>1.9384865E7</v>
      </c>
      <c r="W10" s="1294">
        <v>1.9384865E7</v>
      </c>
      <c r="X10" s="1294">
        <v>1.9384865E7</v>
      </c>
      <c r="Y10" s="725">
        <v>2.3261838E8</v>
      </c>
    </row>
    <row r="11">
      <c r="A11" s="126"/>
      <c r="B11" s="185"/>
      <c r="C11" s="196">
        <v>5.0</v>
      </c>
      <c r="D11" s="197" t="s">
        <v>217</v>
      </c>
      <c r="E11" s="198" t="s">
        <v>217</v>
      </c>
      <c r="F11" s="1293" t="s">
        <v>186</v>
      </c>
      <c r="G11" s="1293" t="s">
        <v>88</v>
      </c>
      <c r="H11" s="1293" t="s">
        <v>88</v>
      </c>
      <c r="I11" s="1293" t="s">
        <v>218</v>
      </c>
      <c r="J11" s="1293" t="s">
        <v>187</v>
      </c>
      <c r="K11" s="1293" t="s">
        <v>1736</v>
      </c>
      <c r="L11" s="1292" t="s">
        <v>189</v>
      </c>
      <c r="M11" s="1294">
        <v>8.1881522E7</v>
      </c>
      <c r="N11" s="1294">
        <v>8.1881522E7</v>
      </c>
      <c r="O11" s="1294">
        <v>8.1881522E7</v>
      </c>
      <c r="P11" s="1294">
        <v>8.1881522E7</v>
      </c>
      <c r="Q11" s="1294">
        <v>8.1881522E7</v>
      </c>
      <c r="R11" s="1294">
        <v>8.1881522E7</v>
      </c>
      <c r="S11" s="1294">
        <v>8.1881522E7</v>
      </c>
      <c r="T11" s="1294">
        <v>8.1881522E7</v>
      </c>
      <c r="U11" s="1294">
        <v>8.1881522E7</v>
      </c>
      <c r="V11" s="1294">
        <v>8.1881522E7</v>
      </c>
      <c r="W11" s="1294">
        <v>8.1881522E7</v>
      </c>
      <c r="X11" s="1294">
        <v>8.1881522E7</v>
      </c>
      <c r="Y11" s="725">
        <v>9.82578264E8</v>
      </c>
    </row>
    <row r="12">
      <c r="A12" s="126"/>
      <c r="B12" s="1290">
        <v>2.0</v>
      </c>
      <c r="C12" s="329" t="s">
        <v>30</v>
      </c>
      <c r="D12" s="330"/>
      <c r="E12" s="1295"/>
      <c r="F12" s="1296"/>
      <c r="G12" s="1296"/>
      <c r="H12" s="1296"/>
      <c r="I12" s="1296"/>
      <c r="J12" s="1296"/>
      <c r="K12" s="1296"/>
      <c r="L12" s="1292" t="s">
        <v>1738</v>
      </c>
      <c r="M12" s="1289">
        <f t="shared" ref="M12:Y12" si="3">SUM(M13:M30)</f>
        <v>7441577366</v>
      </c>
      <c r="N12" s="1289">
        <f t="shared" si="3"/>
        <v>7293135729</v>
      </c>
      <c r="O12" s="1289">
        <f t="shared" si="3"/>
        <v>7441577366</v>
      </c>
      <c r="P12" s="1289">
        <f t="shared" si="3"/>
        <v>5907680449</v>
      </c>
      <c r="Q12" s="1289">
        <f t="shared" si="3"/>
        <v>5907680449</v>
      </c>
      <c r="R12" s="1289">
        <f t="shared" si="3"/>
        <v>5907680449</v>
      </c>
      <c r="S12" s="1289">
        <f t="shared" si="3"/>
        <v>5907680449</v>
      </c>
      <c r="T12" s="1289">
        <f t="shared" si="3"/>
        <v>5907680449</v>
      </c>
      <c r="U12" s="1289">
        <f t="shared" si="3"/>
        <v>5907680449</v>
      </c>
      <c r="V12" s="1289">
        <f t="shared" si="3"/>
        <v>5907680449</v>
      </c>
      <c r="W12" s="1289">
        <f t="shared" si="3"/>
        <v>5907680449</v>
      </c>
      <c r="X12" s="1289">
        <f t="shared" si="3"/>
        <v>5907680449</v>
      </c>
      <c r="Y12" s="1289">
        <f t="shared" si="3"/>
        <v>75345414500</v>
      </c>
      <c r="Z12" s="1297"/>
      <c r="AA12" s="1297"/>
      <c r="AB12" s="1297"/>
      <c r="AC12" s="1297"/>
      <c r="AD12" s="1297"/>
      <c r="AE12" s="1297"/>
      <c r="AF12" s="1297"/>
      <c r="AG12" s="1297"/>
      <c r="AH12" s="1297"/>
      <c r="AI12" s="1297"/>
      <c r="AJ12" s="1297"/>
      <c r="AK12" s="1297"/>
    </row>
    <row r="13">
      <c r="A13" s="126"/>
      <c r="B13" s="185"/>
      <c r="C13" s="196">
        <v>1.0</v>
      </c>
      <c r="D13" s="197" t="s">
        <v>231</v>
      </c>
      <c r="E13" s="198" t="s">
        <v>231</v>
      </c>
      <c r="F13" s="1293" t="s">
        <v>186</v>
      </c>
      <c r="G13" s="1293" t="s">
        <v>103</v>
      </c>
      <c r="H13" s="1293" t="s">
        <v>86</v>
      </c>
      <c r="I13" s="1293" t="s">
        <v>86</v>
      </c>
      <c r="J13" s="1293" t="s">
        <v>187</v>
      </c>
      <c r="K13" s="1293" t="s">
        <v>1736</v>
      </c>
      <c r="L13" s="1292" t="s">
        <v>232</v>
      </c>
      <c r="M13" s="1294">
        <v>6.7878829E7</v>
      </c>
      <c r="N13" s="1294">
        <v>6.7878829E7</v>
      </c>
      <c r="O13" s="1294">
        <v>6.7878829E7</v>
      </c>
      <c r="P13" s="1294">
        <v>6.7878829E7</v>
      </c>
      <c r="Q13" s="1294">
        <v>6.7878829E7</v>
      </c>
      <c r="R13" s="1294">
        <v>6.7878829E7</v>
      </c>
      <c r="S13" s="1294">
        <v>6.7878829E7</v>
      </c>
      <c r="T13" s="1294">
        <v>6.7878829E7</v>
      </c>
      <c r="U13" s="1294">
        <v>6.7878829E7</v>
      </c>
      <c r="V13" s="1294">
        <v>6.7878829E7</v>
      </c>
      <c r="W13" s="1294">
        <v>6.7878829E7</v>
      </c>
      <c r="X13" s="1294">
        <v>6.7878829E7</v>
      </c>
      <c r="Y13" s="725">
        <v>8.14545948E8</v>
      </c>
    </row>
    <row r="14">
      <c r="A14" s="126"/>
      <c r="B14" s="185"/>
      <c r="C14" s="196">
        <v>2.0</v>
      </c>
      <c r="D14" s="197" t="s">
        <v>240</v>
      </c>
      <c r="E14" s="198" t="s">
        <v>240</v>
      </c>
      <c r="F14" s="1293" t="s">
        <v>186</v>
      </c>
      <c r="G14" s="1293" t="s">
        <v>88</v>
      </c>
      <c r="H14" s="1293" t="s">
        <v>88</v>
      </c>
      <c r="I14" s="1293" t="s">
        <v>218</v>
      </c>
      <c r="J14" s="1293" t="s">
        <v>187</v>
      </c>
      <c r="K14" s="1293" t="s">
        <v>1736</v>
      </c>
      <c r="L14" s="1292" t="s">
        <v>232</v>
      </c>
      <c r="M14" s="1294">
        <v>7.0875958E7</v>
      </c>
      <c r="N14" s="1294">
        <v>7.0875958E7</v>
      </c>
      <c r="O14" s="1294">
        <v>7.0875958E7</v>
      </c>
      <c r="P14" s="1294">
        <v>7.0875958E7</v>
      </c>
      <c r="Q14" s="1294">
        <v>7.0875958E7</v>
      </c>
      <c r="R14" s="1294">
        <v>7.0875958E7</v>
      </c>
      <c r="S14" s="1294">
        <v>7.0875958E7</v>
      </c>
      <c r="T14" s="1294">
        <v>7.0875958E7</v>
      </c>
      <c r="U14" s="1294">
        <v>7.0875958E7</v>
      </c>
      <c r="V14" s="1294">
        <v>7.0875958E7</v>
      </c>
      <c r="W14" s="1294">
        <v>7.0875958E7</v>
      </c>
      <c r="X14" s="1294">
        <v>7.0875958E7</v>
      </c>
      <c r="Y14" s="725">
        <v>8.50511496E8</v>
      </c>
    </row>
    <row r="15">
      <c r="A15" s="126"/>
      <c r="B15" s="185"/>
      <c r="C15" s="196">
        <v>3.0</v>
      </c>
      <c r="D15" s="354" t="s">
        <v>246</v>
      </c>
      <c r="E15" s="198" t="s">
        <v>246</v>
      </c>
      <c r="F15" s="1293" t="s">
        <v>186</v>
      </c>
      <c r="G15" s="1293" t="s">
        <v>88</v>
      </c>
      <c r="H15" s="1293" t="s">
        <v>88</v>
      </c>
      <c r="I15" s="1293" t="s">
        <v>218</v>
      </c>
      <c r="J15" s="1293" t="s">
        <v>187</v>
      </c>
      <c r="K15" s="1293" t="s">
        <v>1736</v>
      </c>
      <c r="L15" s="1292" t="s">
        <v>232</v>
      </c>
      <c r="M15" s="1294">
        <v>1.25212734E8</v>
      </c>
      <c r="N15" s="1294">
        <v>1.25212734E8</v>
      </c>
      <c r="O15" s="1294">
        <v>1.25212734E8</v>
      </c>
      <c r="P15" s="1294">
        <v>1.25212734E8</v>
      </c>
      <c r="Q15" s="1294">
        <v>1.25212734E8</v>
      </c>
      <c r="R15" s="1294">
        <v>1.25212734E8</v>
      </c>
      <c r="S15" s="1294">
        <v>1.25212734E8</v>
      </c>
      <c r="T15" s="1294">
        <v>1.25212734E8</v>
      </c>
      <c r="U15" s="1294">
        <v>1.25212734E8</v>
      </c>
      <c r="V15" s="1294">
        <v>1.25212734E8</v>
      </c>
      <c r="W15" s="1294">
        <v>1.25212734E8</v>
      </c>
      <c r="X15" s="1294">
        <v>1.25212734E8</v>
      </c>
      <c r="Y15" s="725">
        <v>1.502552808E9</v>
      </c>
    </row>
    <row r="16">
      <c r="A16" s="126"/>
      <c r="B16" s="185"/>
      <c r="C16" s="196">
        <v>4.0</v>
      </c>
      <c r="D16" s="360" t="s">
        <v>252</v>
      </c>
      <c r="E16" s="198" t="s">
        <v>252</v>
      </c>
      <c r="F16" s="1293" t="s">
        <v>186</v>
      </c>
      <c r="G16" s="1293" t="s">
        <v>103</v>
      </c>
      <c r="H16" s="1293" t="s">
        <v>86</v>
      </c>
      <c r="I16" s="1293" t="s">
        <v>86</v>
      </c>
      <c r="J16" s="1293" t="s">
        <v>253</v>
      </c>
      <c r="K16" s="1293" t="s">
        <v>1739</v>
      </c>
      <c r="L16" s="1292" t="s">
        <v>230</v>
      </c>
      <c r="M16" s="1294">
        <v>1026026.0</v>
      </c>
      <c r="N16" s="1294">
        <v>1026026.0</v>
      </c>
      <c r="O16" s="1294">
        <v>1026026.0</v>
      </c>
      <c r="P16" s="1294">
        <v>1026026.0</v>
      </c>
      <c r="Q16" s="1294">
        <v>1026026.0</v>
      </c>
      <c r="R16" s="1294">
        <v>1026026.0</v>
      </c>
      <c r="S16" s="1294">
        <v>1026026.0</v>
      </c>
      <c r="T16" s="1294">
        <v>1026026.0</v>
      </c>
      <c r="U16" s="1294">
        <v>1026026.0</v>
      </c>
      <c r="V16" s="1294">
        <v>1026026.0</v>
      </c>
      <c r="W16" s="1294">
        <v>1026026.0</v>
      </c>
      <c r="X16" s="1294">
        <v>1026026.0</v>
      </c>
      <c r="Y16" s="725">
        <v>1.2312312E7</v>
      </c>
    </row>
    <row r="17">
      <c r="A17" s="126"/>
      <c r="B17" s="185"/>
      <c r="C17" s="196">
        <v>5.0</v>
      </c>
      <c r="D17" s="354" t="s">
        <v>259</v>
      </c>
      <c r="E17" s="198" t="s">
        <v>1740</v>
      </c>
      <c r="F17" s="1293" t="s">
        <v>186</v>
      </c>
      <c r="G17" s="1293" t="s">
        <v>103</v>
      </c>
      <c r="H17" s="1293" t="s">
        <v>86</v>
      </c>
      <c r="I17" s="1293" t="s">
        <v>86</v>
      </c>
      <c r="J17" s="1293" t="s">
        <v>187</v>
      </c>
      <c r="K17" s="1293" t="s">
        <v>1736</v>
      </c>
      <c r="L17" s="1292" t="s">
        <v>230</v>
      </c>
      <c r="M17" s="1294">
        <v>4.90990991E8</v>
      </c>
      <c r="N17" s="1294">
        <v>4.90990991E8</v>
      </c>
      <c r="O17" s="1294">
        <v>4.90990991E8</v>
      </c>
      <c r="P17" s="1294">
        <v>4.90990991E8</v>
      </c>
      <c r="Q17" s="1294">
        <v>4.90990991E8</v>
      </c>
      <c r="R17" s="1294">
        <v>4.90990991E8</v>
      </c>
      <c r="S17" s="1294">
        <v>4.90990991E8</v>
      </c>
      <c r="T17" s="1294">
        <v>4.90990991E8</v>
      </c>
      <c r="U17" s="1294">
        <v>4.90990991E8</v>
      </c>
      <c r="V17" s="1294">
        <v>4.90990991E8</v>
      </c>
      <c r="W17" s="1294">
        <v>4.90990991E8</v>
      </c>
      <c r="X17" s="1294">
        <v>4.90990991E8</v>
      </c>
      <c r="Y17" s="725">
        <v>5.891891892E9</v>
      </c>
    </row>
    <row r="18">
      <c r="A18" s="126"/>
      <c r="B18" s="185"/>
      <c r="C18" s="196">
        <v>6.0</v>
      </c>
      <c r="D18" s="197" t="s">
        <v>267</v>
      </c>
      <c r="E18" s="198" t="s">
        <v>267</v>
      </c>
      <c r="F18" s="1293" t="s">
        <v>186</v>
      </c>
      <c r="G18" s="1293" t="s">
        <v>103</v>
      </c>
      <c r="H18" s="1293" t="s">
        <v>86</v>
      </c>
      <c r="I18" s="1293" t="s">
        <v>86</v>
      </c>
      <c r="J18" s="1293" t="s">
        <v>187</v>
      </c>
      <c r="K18" s="1293" t="s">
        <v>1736</v>
      </c>
      <c r="L18" s="1292" t="s">
        <v>230</v>
      </c>
      <c r="M18" s="1294">
        <v>1.801801802E9</v>
      </c>
      <c r="N18" s="1294">
        <v>1.801801802E9</v>
      </c>
      <c r="O18" s="1294">
        <v>1.801801802E9</v>
      </c>
      <c r="P18" s="1294">
        <v>1.801801802E9</v>
      </c>
      <c r="Q18" s="1294">
        <v>1.801801802E9</v>
      </c>
      <c r="R18" s="1294">
        <v>1.801801802E9</v>
      </c>
      <c r="S18" s="1294">
        <v>1.801801802E9</v>
      </c>
      <c r="T18" s="1294">
        <v>1.801801802E9</v>
      </c>
      <c r="U18" s="1294">
        <v>1.801801802E9</v>
      </c>
      <c r="V18" s="1294">
        <v>1.801801802E9</v>
      </c>
      <c r="W18" s="1294">
        <v>1.801801802E9</v>
      </c>
      <c r="X18" s="1294">
        <v>1.801801802E9</v>
      </c>
      <c r="Y18" s="725">
        <v>2.1621621622E10</v>
      </c>
    </row>
    <row r="19">
      <c r="A19" s="126"/>
      <c r="B19" s="185"/>
      <c r="C19" s="196">
        <v>7.0</v>
      </c>
      <c r="D19" s="354" t="s">
        <v>274</v>
      </c>
      <c r="E19" s="198" t="s">
        <v>1741</v>
      </c>
      <c r="F19" s="1293" t="s">
        <v>186</v>
      </c>
      <c r="G19" s="1293" t="s">
        <v>103</v>
      </c>
      <c r="H19" s="1293" t="s">
        <v>86</v>
      </c>
      <c r="I19" s="1293" t="s">
        <v>86</v>
      </c>
      <c r="J19" s="1293" t="s">
        <v>253</v>
      </c>
      <c r="K19" s="1293" t="s">
        <v>1739</v>
      </c>
      <c r="L19" s="1292" t="s">
        <v>230</v>
      </c>
      <c r="M19" s="1294">
        <v>4954955.0</v>
      </c>
      <c r="N19" s="1294">
        <v>4954955.0</v>
      </c>
      <c r="O19" s="1294">
        <v>4954955.0</v>
      </c>
      <c r="P19" s="1294">
        <v>4954955.0</v>
      </c>
      <c r="Q19" s="1294">
        <v>4954955.0</v>
      </c>
      <c r="R19" s="1294">
        <v>4954955.0</v>
      </c>
      <c r="S19" s="1294">
        <v>4954955.0</v>
      </c>
      <c r="T19" s="1294">
        <v>4954955.0</v>
      </c>
      <c r="U19" s="1294">
        <v>4954955.0</v>
      </c>
      <c r="V19" s="1294">
        <v>4954955.0</v>
      </c>
      <c r="W19" s="1294">
        <v>4954955.0</v>
      </c>
      <c r="X19" s="1294">
        <v>4954955.0</v>
      </c>
      <c r="Y19" s="725">
        <v>5.945946E7</v>
      </c>
    </row>
    <row r="20">
      <c r="A20" s="126"/>
      <c r="B20" s="185"/>
      <c r="C20" s="196">
        <v>8.0</v>
      </c>
      <c r="D20" s="197" t="s">
        <v>278</v>
      </c>
      <c r="E20" s="198" t="s">
        <v>278</v>
      </c>
      <c r="F20" s="1293" t="s">
        <v>186</v>
      </c>
      <c r="G20" s="1293" t="s">
        <v>103</v>
      </c>
      <c r="H20" s="1293" t="s">
        <v>86</v>
      </c>
      <c r="I20" s="1293" t="s">
        <v>86</v>
      </c>
      <c r="J20" s="1293" t="s">
        <v>253</v>
      </c>
      <c r="K20" s="1293" t="s">
        <v>1739</v>
      </c>
      <c r="L20" s="1292" t="s">
        <v>230</v>
      </c>
      <c r="M20" s="1294">
        <v>3603604.0</v>
      </c>
      <c r="N20" s="1294">
        <v>3603604.0</v>
      </c>
      <c r="O20" s="1294">
        <v>3603604.0</v>
      </c>
      <c r="P20" s="1294">
        <v>3603604.0</v>
      </c>
      <c r="Q20" s="1294">
        <v>3603604.0</v>
      </c>
      <c r="R20" s="1294">
        <v>3603604.0</v>
      </c>
      <c r="S20" s="1294">
        <v>3603604.0</v>
      </c>
      <c r="T20" s="1294">
        <v>3603604.0</v>
      </c>
      <c r="U20" s="1294">
        <v>3603604.0</v>
      </c>
      <c r="V20" s="1294">
        <v>3603604.0</v>
      </c>
      <c r="W20" s="1294">
        <v>3603604.0</v>
      </c>
      <c r="X20" s="1294">
        <v>3603604.0</v>
      </c>
      <c r="Y20" s="725">
        <v>4.3243248E7</v>
      </c>
    </row>
    <row r="21">
      <c r="A21" s="126"/>
      <c r="B21" s="185"/>
      <c r="C21" s="196">
        <v>9.0</v>
      </c>
      <c r="D21" s="197" t="s">
        <v>282</v>
      </c>
      <c r="E21" s="198" t="s">
        <v>282</v>
      </c>
      <c r="F21" s="1293" t="s">
        <v>186</v>
      </c>
      <c r="G21" s="1293" t="s">
        <v>103</v>
      </c>
      <c r="H21" s="1293" t="s">
        <v>86</v>
      </c>
      <c r="I21" s="1293" t="s">
        <v>86</v>
      </c>
      <c r="J21" s="1293" t="s">
        <v>253</v>
      </c>
      <c r="K21" s="1293" t="s">
        <v>1739</v>
      </c>
      <c r="L21" s="1292" t="s">
        <v>230</v>
      </c>
      <c r="M21" s="1294">
        <v>3.2486124E7</v>
      </c>
      <c r="N21" s="1294">
        <v>3.2486124E7</v>
      </c>
      <c r="O21" s="1294">
        <v>3.2486124E7</v>
      </c>
      <c r="P21" s="1294">
        <v>3.2486124E7</v>
      </c>
      <c r="Q21" s="1294">
        <v>3.2486124E7</v>
      </c>
      <c r="R21" s="1294">
        <v>3.2486124E7</v>
      </c>
      <c r="S21" s="1294">
        <v>3.2486124E7</v>
      </c>
      <c r="T21" s="1294">
        <v>3.2486124E7</v>
      </c>
      <c r="U21" s="1294">
        <v>3.2486124E7</v>
      </c>
      <c r="V21" s="1294">
        <v>3.2486124E7</v>
      </c>
      <c r="W21" s="1294">
        <v>3.2486124E7</v>
      </c>
      <c r="X21" s="1294">
        <v>3.2486124E7</v>
      </c>
      <c r="Y21" s="725">
        <v>3.89833488E8</v>
      </c>
    </row>
    <row r="22">
      <c r="A22" s="126"/>
      <c r="B22" s="185"/>
      <c r="C22" s="196">
        <v>10.0</v>
      </c>
      <c r="D22" s="380" t="s">
        <v>287</v>
      </c>
      <c r="E22" s="198" t="s">
        <v>287</v>
      </c>
      <c r="F22" s="1293" t="s">
        <v>186</v>
      </c>
      <c r="G22" s="1293" t="s">
        <v>135</v>
      </c>
      <c r="H22" s="1293" t="s">
        <v>135</v>
      </c>
      <c r="I22" s="1293" t="s">
        <v>203</v>
      </c>
      <c r="J22" s="1293" t="s">
        <v>187</v>
      </c>
      <c r="K22" s="1293" t="s">
        <v>1736</v>
      </c>
      <c r="L22" s="1292" t="s">
        <v>230</v>
      </c>
      <c r="M22" s="1294">
        <v>3.19442525E8</v>
      </c>
      <c r="N22" s="1294">
        <v>3.19442525E8</v>
      </c>
      <c r="O22" s="1294">
        <v>3.19442525E8</v>
      </c>
      <c r="P22" s="1294">
        <v>3.19442525E8</v>
      </c>
      <c r="Q22" s="1294">
        <v>3.19442525E8</v>
      </c>
      <c r="R22" s="1294">
        <v>3.19442525E8</v>
      </c>
      <c r="S22" s="1294">
        <v>3.19442525E8</v>
      </c>
      <c r="T22" s="1294">
        <v>3.19442525E8</v>
      </c>
      <c r="U22" s="1294">
        <v>3.19442525E8</v>
      </c>
      <c r="V22" s="1294">
        <v>3.19442525E8</v>
      </c>
      <c r="W22" s="1294">
        <v>3.19442525E8</v>
      </c>
      <c r="X22" s="1294">
        <v>3.19442525E8</v>
      </c>
      <c r="Y22" s="725">
        <v>3.8333103E9</v>
      </c>
    </row>
    <row r="23">
      <c r="A23" s="126"/>
      <c r="B23" s="185"/>
      <c r="C23" s="196">
        <v>11.0</v>
      </c>
      <c r="D23" s="354" t="s">
        <v>294</v>
      </c>
      <c r="E23" s="198" t="s">
        <v>1742</v>
      </c>
      <c r="F23" s="1293" t="s">
        <v>186</v>
      </c>
      <c r="G23" s="1293" t="s">
        <v>88</v>
      </c>
      <c r="H23" s="1293" t="s">
        <v>88</v>
      </c>
      <c r="I23" s="1293" t="s">
        <v>218</v>
      </c>
      <c r="J23" s="1293" t="s">
        <v>187</v>
      </c>
      <c r="K23" s="1293" t="s">
        <v>1736</v>
      </c>
      <c r="L23" s="1292" t="s">
        <v>230</v>
      </c>
      <c r="M23" s="1294">
        <v>2.374111525E9</v>
      </c>
      <c r="N23" s="1294">
        <v>2.374111525E9</v>
      </c>
      <c r="O23" s="1294">
        <v>2.374111525E9</v>
      </c>
      <c r="P23" s="1294">
        <v>2.374111525E9</v>
      </c>
      <c r="Q23" s="1294">
        <v>2.374111525E9</v>
      </c>
      <c r="R23" s="1294">
        <v>2.374111525E9</v>
      </c>
      <c r="S23" s="1294">
        <v>2.374111525E9</v>
      </c>
      <c r="T23" s="1294">
        <v>2.374111525E9</v>
      </c>
      <c r="U23" s="1294">
        <v>2.374111525E9</v>
      </c>
      <c r="V23" s="1294">
        <v>2.374111525E9</v>
      </c>
      <c r="W23" s="1294">
        <v>2.374111525E9</v>
      </c>
      <c r="X23" s="1294">
        <v>2.374111525E9</v>
      </c>
      <c r="Y23" s="725">
        <v>2.84893383E10</v>
      </c>
    </row>
    <row r="24">
      <c r="A24" s="126"/>
      <c r="B24" s="185"/>
      <c r="C24" s="196">
        <v>12.0</v>
      </c>
      <c r="D24" s="380" t="s">
        <v>304</v>
      </c>
      <c r="E24" s="198" t="s">
        <v>304</v>
      </c>
      <c r="F24" s="1293" t="s">
        <v>186</v>
      </c>
      <c r="G24" s="1293" t="s">
        <v>305</v>
      </c>
      <c r="H24" s="1293" t="s">
        <v>92</v>
      </c>
      <c r="I24" s="1293" t="s">
        <v>306</v>
      </c>
      <c r="J24" s="1293" t="s">
        <v>187</v>
      </c>
      <c r="K24" s="1293" t="s">
        <v>1736</v>
      </c>
      <c r="L24" s="1292" t="s">
        <v>230</v>
      </c>
      <c r="M24" s="1294">
        <v>4.7008333E7</v>
      </c>
      <c r="N24" s="1294">
        <v>4.7008333E7</v>
      </c>
      <c r="O24" s="1294">
        <v>4.7008333E7</v>
      </c>
      <c r="P24" s="1294">
        <v>4.7008333E7</v>
      </c>
      <c r="Q24" s="1294">
        <v>4.7008333E7</v>
      </c>
      <c r="R24" s="1294">
        <v>4.7008333E7</v>
      </c>
      <c r="S24" s="1294">
        <v>4.7008333E7</v>
      </c>
      <c r="T24" s="1294">
        <v>4.7008333E7</v>
      </c>
      <c r="U24" s="1294">
        <v>4.7008333E7</v>
      </c>
      <c r="V24" s="1294">
        <v>4.7008333E7</v>
      </c>
      <c r="W24" s="1294">
        <v>4.7008333E7</v>
      </c>
      <c r="X24" s="1294">
        <v>4.7008333E7</v>
      </c>
      <c r="Y24" s="725">
        <v>5.641E8</v>
      </c>
    </row>
    <row r="25">
      <c r="A25" s="126"/>
      <c r="B25" s="185"/>
      <c r="C25" s="196">
        <v>13.0</v>
      </c>
      <c r="D25" s="197" t="s">
        <v>311</v>
      </c>
      <c r="E25" s="198" t="s">
        <v>311</v>
      </c>
      <c r="F25" s="1293" t="s">
        <v>186</v>
      </c>
      <c r="G25" s="1293" t="s">
        <v>305</v>
      </c>
      <c r="H25" s="1293" t="s">
        <v>92</v>
      </c>
      <c r="I25" s="1293" t="s">
        <v>306</v>
      </c>
      <c r="J25" s="1293" t="s">
        <v>187</v>
      </c>
      <c r="K25" s="1293" t="s">
        <v>1736</v>
      </c>
      <c r="L25" s="1292" t="s">
        <v>230</v>
      </c>
      <c r="M25" s="1294">
        <v>2.46460441E8</v>
      </c>
      <c r="N25" s="1294">
        <v>2.46460441E8</v>
      </c>
      <c r="O25" s="1294">
        <v>2.46460441E8</v>
      </c>
      <c r="P25" s="1294">
        <v>2.46460441E8</v>
      </c>
      <c r="Q25" s="1294">
        <v>2.46460441E8</v>
      </c>
      <c r="R25" s="1294">
        <v>2.46460441E8</v>
      </c>
      <c r="S25" s="1294">
        <v>2.46460441E8</v>
      </c>
      <c r="T25" s="1294">
        <v>2.46460441E8</v>
      </c>
      <c r="U25" s="1294">
        <v>2.46460441E8</v>
      </c>
      <c r="V25" s="1294">
        <v>2.46460441E8</v>
      </c>
      <c r="W25" s="1294">
        <v>2.46460441E8</v>
      </c>
      <c r="X25" s="1294">
        <v>2.46460441E8</v>
      </c>
      <c r="Y25" s="725">
        <v>2.957525295E9</v>
      </c>
    </row>
    <row r="26">
      <c r="A26" s="126"/>
      <c r="B26" s="185"/>
      <c r="C26" s="196">
        <v>14.0</v>
      </c>
      <c r="D26" s="197" t="s">
        <v>315</v>
      </c>
      <c r="E26" s="198" t="s">
        <v>315</v>
      </c>
      <c r="F26" s="1293" t="s">
        <v>186</v>
      </c>
      <c r="G26" s="1293" t="s">
        <v>305</v>
      </c>
      <c r="H26" s="1293" t="s">
        <v>92</v>
      </c>
      <c r="I26" s="1293" t="s">
        <v>306</v>
      </c>
      <c r="J26" s="1293" t="s">
        <v>187</v>
      </c>
      <c r="K26" s="1293" t="s">
        <v>1736</v>
      </c>
      <c r="L26" s="1292" t="s">
        <v>230</v>
      </c>
      <c r="M26" s="1294">
        <v>3.21826602E8</v>
      </c>
      <c r="N26" s="1294">
        <v>3.21826602E8</v>
      </c>
      <c r="O26" s="1294">
        <v>3.21826602E8</v>
      </c>
      <c r="P26" s="1294">
        <v>3.21826602E8</v>
      </c>
      <c r="Q26" s="1294">
        <v>3.21826602E8</v>
      </c>
      <c r="R26" s="1294">
        <v>3.21826602E8</v>
      </c>
      <c r="S26" s="1294">
        <v>3.21826602E8</v>
      </c>
      <c r="T26" s="1294">
        <v>3.21826602E8</v>
      </c>
      <c r="U26" s="1294">
        <v>3.21826602E8</v>
      </c>
      <c r="V26" s="1294">
        <v>3.21826602E8</v>
      </c>
      <c r="W26" s="1294">
        <v>3.21826602E8</v>
      </c>
      <c r="X26" s="1294">
        <v>3.21826602E8</v>
      </c>
      <c r="Y26" s="725">
        <v>3.861919218E9</v>
      </c>
    </row>
    <row r="27">
      <c r="A27" s="391"/>
      <c r="B27" s="1298"/>
      <c r="C27" s="394">
        <v>15.0</v>
      </c>
      <c r="D27" s="395" t="s">
        <v>319</v>
      </c>
      <c r="E27" s="1299" t="s">
        <v>1743</v>
      </c>
      <c r="F27" s="1293" t="s">
        <v>186</v>
      </c>
      <c r="G27" s="1293" t="s">
        <v>98</v>
      </c>
      <c r="H27" s="1293" t="s">
        <v>320</v>
      </c>
      <c r="I27" s="1293" t="s">
        <v>320</v>
      </c>
      <c r="J27" s="1293" t="s">
        <v>253</v>
      </c>
      <c r="K27" s="1293" t="s">
        <v>1739</v>
      </c>
      <c r="L27" s="1292" t="s">
        <v>230</v>
      </c>
      <c r="M27" s="1294">
        <v>1.533896917E9</v>
      </c>
      <c r="N27" s="1294">
        <v>1.38545528E9</v>
      </c>
      <c r="O27" s="1294">
        <v>1.533896917E9</v>
      </c>
      <c r="P27" s="1300"/>
      <c r="Q27" s="1300"/>
      <c r="R27" s="1300"/>
      <c r="S27" s="1300"/>
      <c r="T27" s="1300"/>
      <c r="U27" s="1300"/>
      <c r="V27" s="1300"/>
      <c r="W27" s="1300"/>
      <c r="X27" s="1300"/>
      <c r="Y27" s="725">
        <v>4.453249113E9</v>
      </c>
    </row>
    <row r="28">
      <c r="A28" s="126"/>
      <c r="B28" s="1301"/>
      <c r="C28" s="433">
        <v>16.0</v>
      </c>
      <c r="D28" s="434" t="s">
        <v>325</v>
      </c>
      <c r="E28" s="1302"/>
      <c r="F28" s="1291"/>
      <c r="G28" s="1291"/>
      <c r="H28" s="1291"/>
      <c r="I28" s="1291"/>
      <c r="J28" s="1291"/>
      <c r="K28" s="1291"/>
      <c r="L28" s="1292" t="s">
        <v>230</v>
      </c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</row>
    <row r="29">
      <c r="A29" s="126"/>
      <c r="B29" s="1301"/>
      <c r="C29" s="433">
        <v>17.0</v>
      </c>
      <c r="D29" s="434" t="s">
        <v>332</v>
      </c>
      <c r="E29" s="1302"/>
      <c r="F29" s="1291"/>
      <c r="G29" s="1291"/>
      <c r="H29" s="1291"/>
      <c r="I29" s="1291"/>
      <c r="J29" s="1291"/>
      <c r="K29" s="1291"/>
      <c r="L29" s="1292" t="s">
        <v>230</v>
      </c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  <c r="X29" s="754"/>
      <c r="Y29" s="754"/>
    </row>
    <row r="30">
      <c r="A30" s="126"/>
      <c r="B30" s="1301"/>
      <c r="C30" s="475">
        <v>18.0</v>
      </c>
      <c r="D30" s="476" t="s">
        <v>336</v>
      </c>
      <c r="E30" s="1302"/>
      <c r="F30" s="1291"/>
      <c r="G30" s="1291"/>
      <c r="H30" s="1291"/>
      <c r="I30" s="1291"/>
      <c r="J30" s="1291"/>
      <c r="K30" s="1291"/>
      <c r="L30" s="1292" t="s">
        <v>230</v>
      </c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  <c r="X30" s="754"/>
      <c r="Y30" s="754"/>
    </row>
    <row r="31">
      <c r="A31" s="126"/>
      <c r="B31" s="1290">
        <v>3.0</v>
      </c>
      <c r="C31" s="329" t="s">
        <v>31</v>
      </c>
      <c r="D31" s="330"/>
      <c r="E31" s="1302"/>
      <c r="F31" s="1291"/>
      <c r="G31" s="1291"/>
      <c r="H31" s="1291"/>
      <c r="I31" s="1291"/>
      <c r="J31" s="1291"/>
      <c r="K31" s="1291"/>
      <c r="L31" s="1292" t="s">
        <v>347</v>
      </c>
      <c r="M31" s="1289">
        <f t="shared" ref="M31:Y31" si="4">SUM(M32:M46)</f>
        <v>1329517609</v>
      </c>
      <c r="N31" s="1289">
        <f t="shared" si="4"/>
        <v>1329517609</v>
      </c>
      <c r="O31" s="1289">
        <f t="shared" si="4"/>
        <v>6743395645</v>
      </c>
      <c r="P31" s="1289">
        <f t="shared" si="4"/>
        <v>1329517609</v>
      </c>
      <c r="Q31" s="1289">
        <f t="shared" si="4"/>
        <v>1329517609</v>
      </c>
      <c r="R31" s="1289">
        <f t="shared" si="4"/>
        <v>1329517609</v>
      </c>
      <c r="S31" s="1289">
        <f t="shared" si="4"/>
        <v>1329517609</v>
      </c>
      <c r="T31" s="1289">
        <f t="shared" si="4"/>
        <v>1329517609</v>
      </c>
      <c r="U31" s="1289">
        <f t="shared" si="4"/>
        <v>1329517609</v>
      </c>
      <c r="V31" s="1289">
        <f t="shared" si="4"/>
        <v>1329517609</v>
      </c>
      <c r="W31" s="1289">
        <f t="shared" si="4"/>
        <v>1329517609</v>
      </c>
      <c r="X31" s="1289">
        <f t="shared" si="4"/>
        <v>1329517609</v>
      </c>
      <c r="Y31" s="1289">
        <f t="shared" si="4"/>
        <v>21368089345</v>
      </c>
    </row>
    <row r="32">
      <c r="A32" s="126"/>
      <c r="B32" s="185"/>
      <c r="C32" s="196">
        <v>1.0</v>
      </c>
      <c r="D32" s="197" t="s">
        <v>348</v>
      </c>
      <c r="E32" s="198" t="s">
        <v>1744</v>
      </c>
      <c r="F32" s="1293" t="s">
        <v>186</v>
      </c>
      <c r="G32" s="1293" t="s">
        <v>103</v>
      </c>
      <c r="H32" s="1293" t="s">
        <v>86</v>
      </c>
      <c r="I32" s="1293" t="s">
        <v>86</v>
      </c>
      <c r="J32" s="1293" t="s">
        <v>187</v>
      </c>
      <c r="K32" s="1293" t="s">
        <v>1736</v>
      </c>
      <c r="L32" s="1292" t="s">
        <v>347</v>
      </c>
      <c r="M32" s="1294">
        <v>3.26125988E8</v>
      </c>
      <c r="N32" s="1294">
        <v>3.26125988E8</v>
      </c>
      <c r="O32" s="1294">
        <v>3.26125988E8</v>
      </c>
      <c r="P32" s="1294">
        <v>3.26125988E8</v>
      </c>
      <c r="Q32" s="1294">
        <v>3.26125988E8</v>
      </c>
      <c r="R32" s="1294">
        <v>3.26125988E8</v>
      </c>
      <c r="S32" s="1294">
        <v>3.26125988E8</v>
      </c>
      <c r="T32" s="1294">
        <v>3.26125988E8</v>
      </c>
      <c r="U32" s="1294">
        <v>3.26125988E8</v>
      </c>
      <c r="V32" s="1294">
        <v>3.26125988E8</v>
      </c>
      <c r="W32" s="1294">
        <v>3.26125988E8</v>
      </c>
      <c r="X32" s="1294">
        <v>3.26125988E8</v>
      </c>
      <c r="Y32" s="725">
        <v>3.91351185E9</v>
      </c>
    </row>
    <row r="33">
      <c r="A33" s="126"/>
      <c r="B33" s="185"/>
      <c r="C33" s="196">
        <v>2.0</v>
      </c>
      <c r="D33" s="197" t="s">
        <v>358</v>
      </c>
      <c r="E33" s="198" t="s">
        <v>1745</v>
      </c>
      <c r="F33" s="1293" t="s">
        <v>186</v>
      </c>
      <c r="G33" s="1293" t="s">
        <v>103</v>
      </c>
      <c r="H33" s="1293" t="s">
        <v>86</v>
      </c>
      <c r="I33" s="1293" t="s">
        <v>86</v>
      </c>
      <c r="J33" s="1293" t="s">
        <v>187</v>
      </c>
      <c r="K33" s="1293" t="s">
        <v>1736</v>
      </c>
      <c r="L33" s="1292" t="s">
        <v>347</v>
      </c>
      <c r="M33" s="1294">
        <v>4.08949E7</v>
      </c>
      <c r="N33" s="1294">
        <v>4.08949E7</v>
      </c>
      <c r="O33" s="1294">
        <v>4.08949E7</v>
      </c>
      <c r="P33" s="1294">
        <v>4.08949E7</v>
      </c>
      <c r="Q33" s="1294">
        <v>4.08949E7</v>
      </c>
      <c r="R33" s="1294">
        <v>4.08949E7</v>
      </c>
      <c r="S33" s="1294">
        <v>4.08949E7</v>
      </c>
      <c r="T33" s="1294">
        <v>4.08949E7</v>
      </c>
      <c r="U33" s="1294">
        <v>4.08949E7</v>
      </c>
      <c r="V33" s="1294">
        <v>4.08949E7</v>
      </c>
      <c r="W33" s="1294">
        <v>4.08949E7</v>
      </c>
      <c r="X33" s="1294">
        <v>4.08949E7</v>
      </c>
      <c r="Y33" s="725">
        <v>4.90738804E8</v>
      </c>
    </row>
    <row r="34">
      <c r="A34" s="126"/>
      <c r="B34" s="185"/>
      <c r="C34" s="196">
        <v>3.0</v>
      </c>
      <c r="D34" s="184" t="s">
        <v>365</v>
      </c>
      <c r="E34" s="198" t="s">
        <v>1746</v>
      </c>
      <c r="F34" s="1293" t="s">
        <v>186</v>
      </c>
      <c r="G34" s="1293" t="s">
        <v>103</v>
      </c>
      <c r="H34" s="1293" t="s">
        <v>86</v>
      </c>
      <c r="I34" s="1293" t="s">
        <v>86</v>
      </c>
      <c r="J34" s="1293" t="s">
        <v>366</v>
      </c>
      <c r="K34" s="1293" t="s">
        <v>1747</v>
      </c>
      <c r="L34" s="1292" t="s">
        <v>347</v>
      </c>
      <c r="M34" s="1294">
        <v>1.8290364E7</v>
      </c>
      <c r="N34" s="1294">
        <v>1.8290364E7</v>
      </c>
      <c r="O34" s="1294">
        <v>1.8290364E7</v>
      </c>
      <c r="P34" s="1294">
        <v>1.8290364E7</v>
      </c>
      <c r="Q34" s="1294">
        <v>1.8290364E7</v>
      </c>
      <c r="R34" s="1294">
        <v>1.8290364E7</v>
      </c>
      <c r="S34" s="1294">
        <v>1.8290364E7</v>
      </c>
      <c r="T34" s="1294">
        <v>1.8290364E7</v>
      </c>
      <c r="U34" s="1294">
        <v>1.8290364E7</v>
      </c>
      <c r="V34" s="1294">
        <v>1.8290364E7</v>
      </c>
      <c r="W34" s="1294">
        <v>1.8290364E7</v>
      </c>
      <c r="X34" s="1294">
        <v>1.8290364E7</v>
      </c>
      <c r="Y34" s="725">
        <v>2.19484368E8</v>
      </c>
    </row>
    <row r="35">
      <c r="A35" s="126"/>
      <c r="B35" s="185"/>
      <c r="C35" s="196">
        <v>4.0</v>
      </c>
      <c r="D35" s="354" t="s">
        <v>371</v>
      </c>
      <c r="E35" s="198" t="s">
        <v>1748</v>
      </c>
      <c r="F35" s="1293" t="s">
        <v>186</v>
      </c>
      <c r="G35" s="1293" t="s">
        <v>135</v>
      </c>
      <c r="H35" s="1293" t="s">
        <v>135</v>
      </c>
      <c r="I35" s="1293" t="s">
        <v>203</v>
      </c>
      <c r="J35" s="1293" t="s">
        <v>187</v>
      </c>
      <c r="K35" s="1293" t="s">
        <v>1736</v>
      </c>
      <c r="L35" s="1292" t="s">
        <v>347</v>
      </c>
      <c r="M35" s="1294">
        <v>1.5764261E8</v>
      </c>
      <c r="N35" s="1294">
        <v>1.5764261E8</v>
      </c>
      <c r="O35" s="1294">
        <v>1.5764261E8</v>
      </c>
      <c r="P35" s="1294">
        <v>1.5764261E8</v>
      </c>
      <c r="Q35" s="1294">
        <v>1.5764261E8</v>
      </c>
      <c r="R35" s="1294">
        <v>1.5764261E8</v>
      </c>
      <c r="S35" s="1294">
        <v>1.5764261E8</v>
      </c>
      <c r="T35" s="1294">
        <v>1.5764261E8</v>
      </c>
      <c r="U35" s="1294">
        <v>1.5764261E8</v>
      </c>
      <c r="V35" s="1294">
        <v>1.5764261E8</v>
      </c>
      <c r="W35" s="1294">
        <v>1.5764261E8</v>
      </c>
      <c r="X35" s="1294">
        <v>1.5764261E8</v>
      </c>
      <c r="Y35" s="725">
        <v>1.89171132E9</v>
      </c>
    </row>
    <row r="36">
      <c r="A36" s="126"/>
      <c r="B36" s="185"/>
      <c r="C36" s="196">
        <v>5.0</v>
      </c>
      <c r="D36" s="354" t="s">
        <v>380</v>
      </c>
      <c r="E36" s="198" t="s">
        <v>1749</v>
      </c>
      <c r="F36" s="1293" t="s">
        <v>186</v>
      </c>
      <c r="G36" s="1293" t="s">
        <v>135</v>
      </c>
      <c r="H36" s="1293" t="s">
        <v>135</v>
      </c>
      <c r="I36" s="1293" t="s">
        <v>203</v>
      </c>
      <c r="J36" s="1293" t="s">
        <v>187</v>
      </c>
      <c r="K36" s="1293" t="s">
        <v>1736</v>
      </c>
      <c r="L36" s="1292" t="s">
        <v>347</v>
      </c>
      <c r="M36" s="1294">
        <v>2.9895622E7</v>
      </c>
      <c r="N36" s="1294">
        <v>2.9895622E7</v>
      </c>
      <c r="O36" s="1294">
        <v>2.9895622E7</v>
      </c>
      <c r="P36" s="1294">
        <v>2.9895622E7</v>
      </c>
      <c r="Q36" s="1294">
        <v>2.9895622E7</v>
      </c>
      <c r="R36" s="1294">
        <v>2.9895622E7</v>
      </c>
      <c r="S36" s="1294">
        <v>2.9895622E7</v>
      </c>
      <c r="T36" s="1294">
        <v>2.9895622E7</v>
      </c>
      <c r="U36" s="1294">
        <v>2.9895622E7</v>
      </c>
      <c r="V36" s="1294">
        <v>2.9895622E7</v>
      </c>
      <c r="W36" s="1294">
        <v>2.9895622E7</v>
      </c>
      <c r="X36" s="1294">
        <v>2.9895622E7</v>
      </c>
      <c r="Y36" s="725">
        <v>3.58747464E8</v>
      </c>
    </row>
    <row r="37">
      <c r="A37" s="126"/>
      <c r="B37" s="185"/>
      <c r="C37" s="196">
        <v>6.0</v>
      </c>
      <c r="D37" s="354" t="s">
        <v>386</v>
      </c>
      <c r="E37" s="198" t="s">
        <v>1750</v>
      </c>
      <c r="F37" s="1293" t="s">
        <v>186</v>
      </c>
      <c r="G37" s="1293" t="s">
        <v>88</v>
      </c>
      <c r="H37" s="1293" t="s">
        <v>88</v>
      </c>
      <c r="I37" s="1293" t="s">
        <v>218</v>
      </c>
      <c r="J37" s="1293" t="s">
        <v>187</v>
      </c>
      <c r="K37" s="1293" t="s">
        <v>1736</v>
      </c>
      <c r="L37" s="1292" t="s">
        <v>347</v>
      </c>
      <c r="M37" s="1294">
        <v>4.7246803E8</v>
      </c>
      <c r="N37" s="1294">
        <v>4.7246803E8</v>
      </c>
      <c r="O37" s="1294">
        <v>4.7246803E8</v>
      </c>
      <c r="P37" s="1294">
        <v>4.7246803E8</v>
      </c>
      <c r="Q37" s="1294">
        <v>4.7246803E8</v>
      </c>
      <c r="R37" s="1294">
        <v>4.7246803E8</v>
      </c>
      <c r="S37" s="1294">
        <v>4.7246803E8</v>
      </c>
      <c r="T37" s="1294">
        <v>4.7246803E8</v>
      </c>
      <c r="U37" s="1294">
        <v>4.7246803E8</v>
      </c>
      <c r="V37" s="1294">
        <v>4.7246803E8</v>
      </c>
      <c r="W37" s="1294">
        <v>4.7246803E8</v>
      </c>
      <c r="X37" s="1294">
        <v>4.7246803E8</v>
      </c>
      <c r="Y37" s="725">
        <v>5.66961636E9</v>
      </c>
    </row>
    <row r="38">
      <c r="A38" s="126"/>
      <c r="B38" s="185"/>
      <c r="C38" s="196">
        <v>7.0</v>
      </c>
      <c r="D38" s="354" t="s">
        <v>392</v>
      </c>
      <c r="E38" s="198" t="s">
        <v>1751</v>
      </c>
      <c r="F38" s="1293" t="s">
        <v>186</v>
      </c>
      <c r="G38" s="1293" t="s">
        <v>305</v>
      </c>
      <c r="H38" s="1293" t="s">
        <v>92</v>
      </c>
      <c r="I38" s="1293" t="s">
        <v>306</v>
      </c>
      <c r="J38" s="1293" t="s">
        <v>187</v>
      </c>
      <c r="K38" s="1293" t="s">
        <v>1736</v>
      </c>
      <c r="L38" s="1292" t="s">
        <v>347</v>
      </c>
      <c r="M38" s="1294">
        <v>6.0315994E7</v>
      </c>
      <c r="N38" s="1294">
        <v>6.0315994E7</v>
      </c>
      <c r="O38" s="1294">
        <v>6.0315994E7</v>
      </c>
      <c r="P38" s="1294">
        <v>6.0315994E7</v>
      </c>
      <c r="Q38" s="1294">
        <v>6.0315994E7</v>
      </c>
      <c r="R38" s="1294">
        <v>6.0315994E7</v>
      </c>
      <c r="S38" s="1294">
        <v>6.0315994E7</v>
      </c>
      <c r="T38" s="1294">
        <v>6.0315994E7</v>
      </c>
      <c r="U38" s="1294">
        <v>6.0315994E7</v>
      </c>
      <c r="V38" s="1294">
        <v>6.0315994E7</v>
      </c>
      <c r="W38" s="1294">
        <v>6.0315994E7</v>
      </c>
      <c r="X38" s="1294">
        <v>6.0315994E7</v>
      </c>
      <c r="Y38" s="725">
        <v>7.23791928E8</v>
      </c>
    </row>
    <row r="39">
      <c r="A39" s="126"/>
      <c r="B39" s="185"/>
      <c r="C39" s="196">
        <v>8.0</v>
      </c>
      <c r="D39" s="354" t="s">
        <v>400</v>
      </c>
      <c r="E39" s="198" t="s">
        <v>1752</v>
      </c>
      <c r="F39" s="1293" t="s">
        <v>186</v>
      </c>
      <c r="G39" s="1293" t="s">
        <v>305</v>
      </c>
      <c r="H39" s="1293" t="s">
        <v>92</v>
      </c>
      <c r="I39" s="1293" t="s">
        <v>306</v>
      </c>
      <c r="J39" s="1293" t="s">
        <v>187</v>
      </c>
      <c r="K39" s="1293" t="s">
        <v>1736</v>
      </c>
      <c r="L39" s="1292" t="s">
        <v>347</v>
      </c>
      <c r="M39" s="1294">
        <v>4.6654026E7</v>
      </c>
      <c r="N39" s="1294">
        <v>4.6654026E7</v>
      </c>
      <c r="O39" s="1294">
        <v>4.6654026E7</v>
      </c>
      <c r="P39" s="1294">
        <v>4.6654026E7</v>
      </c>
      <c r="Q39" s="1294">
        <v>4.6654026E7</v>
      </c>
      <c r="R39" s="1294">
        <v>4.6654026E7</v>
      </c>
      <c r="S39" s="1294">
        <v>4.6654026E7</v>
      </c>
      <c r="T39" s="1294">
        <v>4.6654026E7</v>
      </c>
      <c r="U39" s="1294">
        <v>4.6654026E7</v>
      </c>
      <c r="V39" s="1294">
        <v>4.6654026E7</v>
      </c>
      <c r="W39" s="1294">
        <v>4.6654026E7</v>
      </c>
      <c r="X39" s="1294">
        <v>4.6654026E7</v>
      </c>
      <c r="Y39" s="725">
        <v>5.59848311E8</v>
      </c>
    </row>
    <row r="40">
      <c r="A40" s="126"/>
      <c r="B40" s="185"/>
      <c r="C40" s="196">
        <v>9.0</v>
      </c>
      <c r="D40" s="354" t="s">
        <v>406</v>
      </c>
      <c r="E40" s="198" t="s">
        <v>1753</v>
      </c>
      <c r="F40" s="1293" t="s">
        <v>186</v>
      </c>
      <c r="G40" s="1293" t="s">
        <v>305</v>
      </c>
      <c r="H40" s="1293" t="s">
        <v>92</v>
      </c>
      <c r="I40" s="1293" t="s">
        <v>306</v>
      </c>
      <c r="J40" s="1293" t="s">
        <v>187</v>
      </c>
      <c r="K40" s="1293" t="s">
        <v>1736</v>
      </c>
      <c r="L40" s="1292" t="s">
        <v>347</v>
      </c>
      <c r="M40" s="1294">
        <v>6.2561599E7</v>
      </c>
      <c r="N40" s="1294">
        <v>6.2561599E7</v>
      </c>
      <c r="O40" s="1294">
        <v>6.2561599E7</v>
      </c>
      <c r="P40" s="1294">
        <v>6.2561599E7</v>
      </c>
      <c r="Q40" s="1294">
        <v>6.2561599E7</v>
      </c>
      <c r="R40" s="1294">
        <v>6.2561599E7</v>
      </c>
      <c r="S40" s="1294">
        <v>6.2561599E7</v>
      </c>
      <c r="T40" s="1294">
        <v>6.2561599E7</v>
      </c>
      <c r="U40" s="1294">
        <v>6.2561599E7</v>
      </c>
      <c r="V40" s="1294">
        <v>6.2561599E7</v>
      </c>
      <c r="W40" s="1294">
        <v>6.2561599E7</v>
      </c>
      <c r="X40" s="1294">
        <v>6.2561599E7</v>
      </c>
      <c r="Y40" s="725">
        <v>7.50739192E8</v>
      </c>
    </row>
    <row r="41">
      <c r="A41" s="126"/>
      <c r="B41" s="185"/>
      <c r="C41" s="196">
        <v>10.0</v>
      </c>
      <c r="D41" s="354" t="s">
        <v>412</v>
      </c>
      <c r="E41" s="198" t="s">
        <v>1754</v>
      </c>
      <c r="F41" s="1293" t="s">
        <v>186</v>
      </c>
      <c r="G41" s="1293" t="s">
        <v>103</v>
      </c>
      <c r="H41" s="1293" t="s">
        <v>86</v>
      </c>
      <c r="I41" s="1293" t="s">
        <v>86</v>
      </c>
      <c r="J41" s="1293" t="s">
        <v>187</v>
      </c>
      <c r="K41" s="1293" t="s">
        <v>1736</v>
      </c>
      <c r="L41" s="1292" t="s">
        <v>347</v>
      </c>
      <c r="M41" s="1294">
        <v>2.99533E7</v>
      </c>
      <c r="N41" s="1294">
        <v>2.99533E7</v>
      </c>
      <c r="O41" s="1294">
        <v>2.99533E7</v>
      </c>
      <c r="P41" s="1294">
        <v>2.99533E7</v>
      </c>
      <c r="Q41" s="1294">
        <v>2.99533E7</v>
      </c>
      <c r="R41" s="1294">
        <v>2.99533E7</v>
      </c>
      <c r="S41" s="1294">
        <v>2.99533E7</v>
      </c>
      <c r="T41" s="1294">
        <v>2.99533E7</v>
      </c>
      <c r="U41" s="1294">
        <v>2.99533E7</v>
      </c>
      <c r="V41" s="1294">
        <v>2.99533E7</v>
      </c>
      <c r="W41" s="1294">
        <v>2.99533E7</v>
      </c>
      <c r="X41" s="1294">
        <v>2.99533E7</v>
      </c>
      <c r="Y41" s="725">
        <v>3.594396E8</v>
      </c>
    </row>
    <row r="42">
      <c r="A42" s="126"/>
      <c r="B42" s="185"/>
      <c r="C42" s="196">
        <v>11.0</v>
      </c>
      <c r="D42" s="354" t="s">
        <v>418</v>
      </c>
      <c r="E42" s="198" t="s">
        <v>1755</v>
      </c>
      <c r="F42" s="1293" t="s">
        <v>186</v>
      </c>
      <c r="G42" s="1293" t="s">
        <v>103</v>
      </c>
      <c r="H42" s="1293" t="s">
        <v>86</v>
      </c>
      <c r="I42" s="1293" t="s">
        <v>86</v>
      </c>
      <c r="J42" s="1293" t="s">
        <v>187</v>
      </c>
      <c r="K42" s="1293" t="s">
        <v>1736</v>
      </c>
      <c r="L42" s="1292" t="s">
        <v>347</v>
      </c>
      <c r="M42" s="1294">
        <v>4.7473692E7</v>
      </c>
      <c r="N42" s="1294">
        <v>4.7473692E7</v>
      </c>
      <c r="O42" s="1294">
        <v>4.7473692E7</v>
      </c>
      <c r="P42" s="1294">
        <v>4.7473692E7</v>
      </c>
      <c r="Q42" s="1294">
        <v>4.7473692E7</v>
      </c>
      <c r="R42" s="1294">
        <v>4.7473692E7</v>
      </c>
      <c r="S42" s="1294">
        <v>4.7473692E7</v>
      </c>
      <c r="T42" s="1294">
        <v>4.7473692E7</v>
      </c>
      <c r="U42" s="1294">
        <v>4.7473692E7</v>
      </c>
      <c r="V42" s="1294">
        <v>4.7473692E7</v>
      </c>
      <c r="W42" s="1294">
        <v>4.7473692E7</v>
      </c>
      <c r="X42" s="1294">
        <v>4.7473692E7</v>
      </c>
      <c r="Y42" s="725">
        <v>5.69684304E8</v>
      </c>
    </row>
    <row r="43">
      <c r="A43" s="126"/>
      <c r="B43" s="185"/>
      <c r="C43" s="196">
        <v>12.0</v>
      </c>
      <c r="D43" s="354" t="s">
        <v>422</v>
      </c>
      <c r="E43" s="198" t="s">
        <v>1756</v>
      </c>
      <c r="F43" s="1293" t="s">
        <v>186</v>
      </c>
      <c r="G43" s="1293" t="s">
        <v>103</v>
      </c>
      <c r="H43" s="1293" t="s">
        <v>86</v>
      </c>
      <c r="I43" s="1293" t="s">
        <v>86</v>
      </c>
      <c r="J43" s="1293" t="s">
        <v>187</v>
      </c>
      <c r="K43" s="1293" t="s">
        <v>1736</v>
      </c>
      <c r="L43" s="1292" t="s">
        <v>347</v>
      </c>
      <c r="M43" s="1294">
        <v>3.7241484E7</v>
      </c>
      <c r="N43" s="1294">
        <v>3.7241484E7</v>
      </c>
      <c r="O43" s="1294">
        <v>3.7241484E7</v>
      </c>
      <c r="P43" s="1294">
        <v>3.7241484E7</v>
      </c>
      <c r="Q43" s="1294">
        <v>3.7241484E7</v>
      </c>
      <c r="R43" s="1294">
        <v>3.7241484E7</v>
      </c>
      <c r="S43" s="1294">
        <v>3.7241484E7</v>
      </c>
      <c r="T43" s="1294">
        <v>3.7241484E7</v>
      </c>
      <c r="U43" s="1294">
        <v>3.7241484E7</v>
      </c>
      <c r="V43" s="1294">
        <v>3.7241484E7</v>
      </c>
      <c r="W43" s="1294">
        <v>3.7241484E7</v>
      </c>
      <c r="X43" s="1294">
        <v>3.7241484E7</v>
      </c>
      <c r="Y43" s="725">
        <v>4.46897808E8</v>
      </c>
    </row>
    <row r="44">
      <c r="A44" s="126"/>
      <c r="B44" s="1303"/>
      <c r="C44" s="515">
        <v>13.0</v>
      </c>
      <c r="D44" s="516" t="s">
        <v>428</v>
      </c>
      <c r="E44" s="198" t="s">
        <v>1757</v>
      </c>
      <c r="F44" s="1293" t="s">
        <v>326</v>
      </c>
      <c r="G44" s="1293" t="s">
        <v>305</v>
      </c>
      <c r="H44" s="1293" t="s">
        <v>327</v>
      </c>
      <c r="I44" s="1293" t="s">
        <v>328</v>
      </c>
      <c r="J44" s="1293" t="s">
        <v>187</v>
      </c>
      <c r="K44" s="1293" t="s">
        <v>1736</v>
      </c>
      <c r="L44" s="1292" t="s">
        <v>347</v>
      </c>
      <c r="M44" s="1300"/>
      <c r="N44" s="1300"/>
      <c r="O44" s="1294">
        <v>2.244832809E9</v>
      </c>
      <c r="P44" s="1300"/>
      <c r="Q44" s="1300"/>
      <c r="R44" s="1300"/>
      <c r="S44" s="1300"/>
      <c r="T44" s="1300"/>
      <c r="U44" s="1300"/>
      <c r="V44" s="1300"/>
      <c r="W44" s="1300"/>
      <c r="X44" s="1300"/>
      <c r="Y44" s="725">
        <v>2.244832809E9</v>
      </c>
    </row>
    <row r="45">
      <c r="A45" s="126"/>
      <c r="B45" s="1303"/>
      <c r="C45" s="515">
        <v>14.0</v>
      </c>
      <c r="D45" s="516" t="s">
        <v>433</v>
      </c>
      <c r="E45" s="1304" t="s">
        <v>1758</v>
      </c>
      <c r="F45" s="1293" t="s">
        <v>326</v>
      </c>
      <c r="G45" s="1293" t="s">
        <v>305</v>
      </c>
      <c r="H45" s="1293" t="s">
        <v>327</v>
      </c>
      <c r="I45" s="1293" t="s">
        <v>328</v>
      </c>
      <c r="J45" s="1293" t="s">
        <v>187</v>
      </c>
      <c r="K45" s="1293" t="s">
        <v>1736</v>
      </c>
      <c r="L45" s="1292" t="s">
        <v>347</v>
      </c>
      <c r="M45" s="1300"/>
      <c r="N45" s="1300"/>
      <c r="O45" s="1294">
        <v>3.169045227E9</v>
      </c>
      <c r="P45" s="1300"/>
      <c r="Q45" s="1300"/>
      <c r="R45" s="1300"/>
      <c r="S45" s="1300"/>
      <c r="T45" s="1300"/>
      <c r="U45" s="1300"/>
      <c r="V45" s="1300"/>
      <c r="W45" s="1300"/>
      <c r="X45" s="1300"/>
      <c r="Y45" s="725">
        <v>3.169045227E9</v>
      </c>
    </row>
    <row r="46">
      <c r="A46" s="126"/>
      <c r="B46" s="1301"/>
      <c r="C46" s="433">
        <v>15.0</v>
      </c>
      <c r="D46" s="528" t="s">
        <v>437</v>
      </c>
      <c r="E46" s="1305"/>
      <c r="F46" s="1291"/>
      <c r="G46" s="1291"/>
      <c r="H46" s="1291"/>
      <c r="I46" s="1291"/>
      <c r="J46" s="1291"/>
      <c r="K46" s="1291"/>
      <c r="L46" s="1292" t="s">
        <v>347</v>
      </c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  <c r="X46" s="754"/>
      <c r="Y46" s="754"/>
    </row>
    <row r="47">
      <c r="A47" s="126"/>
      <c r="B47" s="1290">
        <v>4.0</v>
      </c>
      <c r="C47" s="329" t="s">
        <v>32</v>
      </c>
      <c r="D47" s="330"/>
      <c r="E47" s="1302"/>
      <c r="F47" s="1291"/>
      <c r="G47" s="1291"/>
      <c r="H47" s="1291"/>
      <c r="I47" s="1291"/>
      <c r="J47" s="1291"/>
      <c r="K47" s="1291"/>
      <c r="L47" s="1292" t="s">
        <v>445</v>
      </c>
      <c r="M47" s="1289">
        <f t="shared" ref="M47:Y47" si="5">SUM(M48:M53)</f>
        <v>824456242</v>
      </c>
      <c r="N47" s="1289">
        <f t="shared" si="5"/>
        <v>824456242</v>
      </c>
      <c r="O47" s="1289">
        <f t="shared" si="5"/>
        <v>824456242</v>
      </c>
      <c r="P47" s="1289">
        <f t="shared" si="5"/>
        <v>824456242</v>
      </c>
      <c r="Q47" s="1289">
        <f t="shared" si="5"/>
        <v>824456242</v>
      </c>
      <c r="R47" s="1289">
        <f t="shared" si="5"/>
        <v>824456242</v>
      </c>
      <c r="S47" s="1289">
        <f t="shared" si="5"/>
        <v>824456242</v>
      </c>
      <c r="T47" s="1289">
        <f t="shared" si="5"/>
        <v>824456242</v>
      </c>
      <c r="U47" s="1289">
        <f t="shared" si="5"/>
        <v>824456242</v>
      </c>
      <c r="V47" s="1289">
        <f t="shared" si="5"/>
        <v>824456242</v>
      </c>
      <c r="W47" s="1289">
        <f t="shared" si="5"/>
        <v>824456242</v>
      </c>
      <c r="X47" s="1289">
        <f t="shared" si="5"/>
        <v>824456242</v>
      </c>
      <c r="Y47" s="1289">
        <f t="shared" si="5"/>
        <v>9893474910</v>
      </c>
    </row>
    <row r="48">
      <c r="A48" s="126"/>
      <c r="B48" s="185"/>
      <c r="C48" s="196">
        <v>1.0</v>
      </c>
      <c r="D48" s="197" t="s">
        <v>446</v>
      </c>
      <c r="E48" s="198" t="s">
        <v>446</v>
      </c>
      <c r="F48" s="1293" t="s">
        <v>186</v>
      </c>
      <c r="G48" s="1293" t="s">
        <v>103</v>
      </c>
      <c r="H48" s="1293" t="s">
        <v>86</v>
      </c>
      <c r="I48" s="1293" t="s">
        <v>86</v>
      </c>
      <c r="J48" s="1293" t="s">
        <v>187</v>
      </c>
      <c r="K48" s="1293" t="s">
        <v>1736</v>
      </c>
      <c r="L48" s="1292" t="s">
        <v>445</v>
      </c>
      <c r="M48" s="1294">
        <v>2.39056685E8</v>
      </c>
      <c r="N48" s="1294">
        <v>2.39056685E8</v>
      </c>
      <c r="O48" s="1294">
        <v>2.39056685E8</v>
      </c>
      <c r="P48" s="1294">
        <v>2.39056685E8</v>
      </c>
      <c r="Q48" s="1294">
        <v>2.39056685E8</v>
      </c>
      <c r="R48" s="1294">
        <v>2.39056685E8</v>
      </c>
      <c r="S48" s="1294">
        <v>2.39056685E8</v>
      </c>
      <c r="T48" s="1294">
        <v>2.39056685E8</v>
      </c>
      <c r="U48" s="1294">
        <v>2.39056685E8</v>
      </c>
      <c r="V48" s="1294">
        <v>2.39056685E8</v>
      </c>
      <c r="W48" s="1294">
        <v>2.39056685E8</v>
      </c>
      <c r="X48" s="1294">
        <v>2.39056685E8</v>
      </c>
      <c r="Y48" s="725">
        <v>2.86868022E9</v>
      </c>
    </row>
    <row r="49">
      <c r="A49" s="126"/>
      <c r="B49" s="185"/>
      <c r="C49" s="196">
        <v>2.0</v>
      </c>
      <c r="D49" s="354" t="s">
        <v>450</v>
      </c>
      <c r="E49" s="198" t="s">
        <v>1759</v>
      </c>
      <c r="F49" s="1293" t="s">
        <v>186</v>
      </c>
      <c r="G49" s="1293" t="s">
        <v>103</v>
      </c>
      <c r="H49" s="1293" t="s">
        <v>86</v>
      </c>
      <c r="I49" s="1293" t="s">
        <v>86</v>
      </c>
      <c r="J49" s="1293" t="s">
        <v>187</v>
      </c>
      <c r="K49" s="1293" t="s">
        <v>1736</v>
      </c>
      <c r="L49" s="1292" t="s">
        <v>445</v>
      </c>
      <c r="M49" s="1294">
        <v>3.310375E7</v>
      </c>
      <c r="N49" s="1294">
        <v>3.310375E7</v>
      </c>
      <c r="O49" s="1294">
        <v>3.310375E7</v>
      </c>
      <c r="P49" s="1294">
        <v>3.310375E7</v>
      </c>
      <c r="Q49" s="1294">
        <v>3.310375E7</v>
      </c>
      <c r="R49" s="1294">
        <v>3.310375E7</v>
      </c>
      <c r="S49" s="1294">
        <v>3.310375E7</v>
      </c>
      <c r="T49" s="1294">
        <v>3.310375E7</v>
      </c>
      <c r="U49" s="1294">
        <v>3.310375E7</v>
      </c>
      <c r="V49" s="1294">
        <v>3.310375E7</v>
      </c>
      <c r="W49" s="1294">
        <v>3.310375E7</v>
      </c>
      <c r="X49" s="1294">
        <v>3.310375E7</v>
      </c>
      <c r="Y49" s="725">
        <v>3.97245E8</v>
      </c>
    </row>
    <row r="50">
      <c r="A50" s="126"/>
      <c r="B50" s="185"/>
      <c r="C50" s="196">
        <v>3.0</v>
      </c>
      <c r="D50" s="184" t="s">
        <v>458</v>
      </c>
      <c r="E50" s="198" t="s">
        <v>458</v>
      </c>
      <c r="F50" s="1293" t="s">
        <v>186</v>
      </c>
      <c r="G50" s="1293" t="s">
        <v>103</v>
      </c>
      <c r="H50" s="1293" t="s">
        <v>86</v>
      </c>
      <c r="I50" s="1293" t="s">
        <v>86</v>
      </c>
      <c r="J50" s="1293" t="s">
        <v>366</v>
      </c>
      <c r="K50" s="1293" t="s">
        <v>1747</v>
      </c>
      <c r="L50" s="1292" t="s">
        <v>445</v>
      </c>
      <c r="M50" s="1294">
        <v>2.153182E7</v>
      </c>
      <c r="N50" s="1294">
        <v>2.153182E7</v>
      </c>
      <c r="O50" s="1294">
        <v>2.153182E7</v>
      </c>
      <c r="P50" s="1294">
        <v>2.153182E7</v>
      </c>
      <c r="Q50" s="1294">
        <v>2.153182E7</v>
      </c>
      <c r="R50" s="1294">
        <v>2.153182E7</v>
      </c>
      <c r="S50" s="1294">
        <v>2.153182E7</v>
      </c>
      <c r="T50" s="1294">
        <v>2.153182E7</v>
      </c>
      <c r="U50" s="1294">
        <v>2.153182E7</v>
      </c>
      <c r="V50" s="1294">
        <v>2.153182E7</v>
      </c>
      <c r="W50" s="1294">
        <v>2.153182E7</v>
      </c>
      <c r="X50" s="1294">
        <v>2.153182E7</v>
      </c>
      <c r="Y50" s="725">
        <v>2.5838184E8</v>
      </c>
    </row>
    <row r="51">
      <c r="A51" s="126"/>
      <c r="B51" s="185"/>
      <c r="C51" s="196">
        <v>4.0</v>
      </c>
      <c r="D51" s="354" t="s">
        <v>464</v>
      </c>
      <c r="E51" s="198" t="s">
        <v>1760</v>
      </c>
      <c r="F51" s="1293" t="s">
        <v>186</v>
      </c>
      <c r="G51" s="1293" t="s">
        <v>135</v>
      </c>
      <c r="H51" s="1293" t="s">
        <v>135</v>
      </c>
      <c r="I51" s="1293" t="s">
        <v>203</v>
      </c>
      <c r="J51" s="1293" t="s">
        <v>187</v>
      </c>
      <c r="K51" s="1293" t="s">
        <v>1736</v>
      </c>
      <c r="L51" s="1292" t="s">
        <v>445</v>
      </c>
      <c r="M51" s="1294">
        <v>1.14597762E8</v>
      </c>
      <c r="N51" s="1294">
        <v>1.14597762E8</v>
      </c>
      <c r="O51" s="1294">
        <v>1.14597762E8</v>
      </c>
      <c r="P51" s="1294">
        <v>1.14597762E8</v>
      </c>
      <c r="Q51" s="1294">
        <v>1.14597762E8</v>
      </c>
      <c r="R51" s="1294">
        <v>1.14597762E8</v>
      </c>
      <c r="S51" s="1294">
        <v>1.14597762E8</v>
      </c>
      <c r="T51" s="1294">
        <v>1.14597762E8</v>
      </c>
      <c r="U51" s="1294">
        <v>1.14597762E8</v>
      </c>
      <c r="V51" s="1294">
        <v>1.14597762E8</v>
      </c>
      <c r="W51" s="1294">
        <v>1.14597762E8</v>
      </c>
      <c r="X51" s="1294">
        <v>1.14597762E8</v>
      </c>
      <c r="Y51" s="725">
        <v>1.375173144E9</v>
      </c>
    </row>
    <row r="52">
      <c r="A52" s="126"/>
      <c r="B52" s="185"/>
      <c r="C52" s="196">
        <v>5.0</v>
      </c>
      <c r="D52" s="354" t="s">
        <v>470</v>
      </c>
      <c r="E52" s="198" t="s">
        <v>1761</v>
      </c>
      <c r="F52" s="1293" t="s">
        <v>186</v>
      </c>
      <c r="G52" s="1293" t="s">
        <v>88</v>
      </c>
      <c r="H52" s="1293" t="s">
        <v>88</v>
      </c>
      <c r="I52" s="1293" t="s">
        <v>218</v>
      </c>
      <c r="J52" s="1293" t="s">
        <v>187</v>
      </c>
      <c r="K52" s="1293" t="s">
        <v>1736</v>
      </c>
      <c r="L52" s="1292" t="s">
        <v>445</v>
      </c>
      <c r="M52" s="1294">
        <v>3.30208618E8</v>
      </c>
      <c r="N52" s="1294">
        <v>3.30208618E8</v>
      </c>
      <c r="O52" s="1294">
        <v>3.30208618E8</v>
      </c>
      <c r="P52" s="1294">
        <v>3.30208618E8</v>
      </c>
      <c r="Q52" s="1294">
        <v>3.30208618E8</v>
      </c>
      <c r="R52" s="1294">
        <v>3.30208618E8</v>
      </c>
      <c r="S52" s="1294">
        <v>3.30208618E8</v>
      </c>
      <c r="T52" s="1294">
        <v>3.30208618E8</v>
      </c>
      <c r="U52" s="1294">
        <v>3.30208618E8</v>
      </c>
      <c r="V52" s="1294">
        <v>3.30208618E8</v>
      </c>
      <c r="W52" s="1294">
        <v>3.30208618E8</v>
      </c>
      <c r="X52" s="1294">
        <v>3.30208618E8</v>
      </c>
      <c r="Y52" s="725">
        <v>3.962503416E9</v>
      </c>
    </row>
    <row r="53">
      <c r="A53" s="126"/>
      <c r="B53" s="185"/>
      <c r="C53" s="196">
        <v>6.0</v>
      </c>
      <c r="D53" s="354" t="s">
        <v>474</v>
      </c>
      <c r="E53" s="198" t="s">
        <v>1762</v>
      </c>
      <c r="F53" s="1293" t="s">
        <v>186</v>
      </c>
      <c r="G53" s="1293" t="s">
        <v>305</v>
      </c>
      <c r="H53" s="1293" t="s">
        <v>92</v>
      </c>
      <c r="I53" s="1293" t="s">
        <v>306</v>
      </c>
      <c r="J53" s="1293" t="s">
        <v>187</v>
      </c>
      <c r="K53" s="1293" t="s">
        <v>1736</v>
      </c>
      <c r="L53" s="1292" t="s">
        <v>445</v>
      </c>
      <c r="M53" s="1294">
        <v>8.5957607E7</v>
      </c>
      <c r="N53" s="1294">
        <v>8.5957607E7</v>
      </c>
      <c r="O53" s="1294">
        <v>8.5957607E7</v>
      </c>
      <c r="P53" s="1294">
        <v>8.5957607E7</v>
      </c>
      <c r="Q53" s="1294">
        <v>8.5957607E7</v>
      </c>
      <c r="R53" s="1294">
        <v>8.5957607E7</v>
      </c>
      <c r="S53" s="1294">
        <v>8.5957607E7</v>
      </c>
      <c r="T53" s="1294">
        <v>8.5957607E7</v>
      </c>
      <c r="U53" s="1294">
        <v>8.5957607E7</v>
      </c>
      <c r="V53" s="1294">
        <v>8.5957607E7</v>
      </c>
      <c r="W53" s="1294">
        <v>8.5957607E7</v>
      </c>
      <c r="X53" s="1294">
        <v>8.5957607E7</v>
      </c>
      <c r="Y53" s="725">
        <v>1.03149129E9</v>
      </c>
    </row>
    <row r="54">
      <c r="A54" s="126"/>
      <c r="B54" s="1290">
        <v>5.0</v>
      </c>
      <c r="C54" s="329" t="s">
        <v>33</v>
      </c>
      <c r="D54" s="330"/>
      <c r="E54" s="1302"/>
      <c r="F54" s="1291"/>
      <c r="G54" s="1291"/>
      <c r="H54" s="1291"/>
      <c r="I54" s="1291"/>
      <c r="J54" s="1291"/>
      <c r="K54" s="1291"/>
      <c r="L54" s="1292" t="s">
        <v>485</v>
      </c>
      <c r="M54" s="1289">
        <f t="shared" ref="M54:Y54" si="6">SUM(M55:M56)</f>
        <v>491801521</v>
      </c>
      <c r="N54" s="1289">
        <f t="shared" si="6"/>
        <v>491801521</v>
      </c>
      <c r="O54" s="1289">
        <f t="shared" si="6"/>
        <v>491801521</v>
      </c>
      <c r="P54" s="1289">
        <f t="shared" si="6"/>
        <v>491801521</v>
      </c>
      <c r="Q54" s="1289">
        <f t="shared" si="6"/>
        <v>491801521</v>
      </c>
      <c r="R54" s="1289">
        <f t="shared" si="6"/>
        <v>491801521</v>
      </c>
      <c r="S54" s="1289">
        <f t="shared" si="6"/>
        <v>491801521</v>
      </c>
      <c r="T54" s="1289">
        <f t="shared" si="6"/>
        <v>491801521</v>
      </c>
      <c r="U54" s="1289">
        <f t="shared" si="6"/>
        <v>491801521</v>
      </c>
      <c r="V54" s="1289">
        <f t="shared" si="6"/>
        <v>491801521</v>
      </c>
      <c r="W54" s="1289">
        <f t="shared" si="6"/>
        <v>491801521</v>
      </c>
      <c r="X54" s="1289">
        <f t="shared" si="6"/>
        <v>491801521</v>
      </c>
      <c r="Y54" s="1289">
        <f t="shared" si="6"/>
        <v>5901618252</v>
      </c>
    </row>
    <row r="55">
      <c r="A55" s="126"/>
      <c r="B55" s="185"/>
      <c r="C55" s="196">
        <v>1.0</v>
      </c>
      <c r="D55" s="354" t="s">
        <v>486</v>
      </c>
      <c r="E55" s="198" t="s">
        <v>1763</v>
      </c>
      <c r="F55" s="1293" t="s">
        <v>186</v>
      </c>
      <c r="G55" s="1293" t="s">
        <v>103</v>
      </c>
      <c r="H55" s="1293" t="s">
        <v>86</v>
      </c>
      <c r="I55" s="1293" t="s">
        <v>86</v>
      </c>
      <c r="J55" s="1293" t="s">
        <v>187</v>
      </c>
      <c r="K55" s="1293" t="s">
        <v>1736</v>
      </c>
      <c r="L55" s="1292" t="s">
        <v>485</v>
      </c>
      <c r="M55" s="1294">
        <v>1.2E8</v>
      </c>
      <c r="N55" s="1294">
        <v>1.2E8</v>
      </c>
      <c r="O55" s="1294">
        <v>1.2E8</v>
      </c>
      <c r="P55" s="1294">
        <v>1.2E8</v>
      </c>
      <c r="Q55" s="1294">
        <v>1.2E8</v>
      </c>
      <c r="R55" s="1294">
        <v>1.2E8</v>
      </c>
      <c r="S55" s="1294">
        <v>1.2E8</v>
      </c>
      <c r="T55" s="1294">
        <v>1.2E8</v>
      </c>
      <c r="U55" s="1294">
        <v>1.2E8</v>
      </c>
      <c r="V55" s="1294">
        <v>1.2E8</v>
      </c>
      <c r="W55" s="1294">
        <v>1.2E8</v>
      </c>
      <c r="X55" s="1294">
        <v>1.2E8</v>
      </c>
      <c r="Y55" s="725">
        <v>1.44E9</v>
      </c>
    </row>
    <row r="56">
      <c r="A56" s="126"/>
      <c r="B56" s="185"/>
      <c r="C56" s="196">
        <v>2.0</v>
      </c>
      <c r="D56" s="197" t="s">
        <v>493</v>
      </c>
      <c r="E56" s="198" t="s">
        <v>493</v>
      </c>
      <c r="F56" s="1293" t="s">
        <v>186</v>
      </c>
      <c r="G56" s="1293" t="s">
        <v>88</v>
      </c>
      <c r="H56" s="1293" t="s">
        <v>88</v>
      </c>
      <c r="I56" s="1293" t="s">
        <v>218</v>
      </c>
      <c r="J56" s="1293" t="s">
        <v>187</v>
      </c>
      <c r="K56" s="1293" t="s">
        <v>1736</v>
      </c>
      <c r="L56" s="1292" t="s">
        <v>485</v>
      </c>
      <c r="M56" s="1294">
        <v>3.71801521E8</v>
      </c>
      <c r="N56" s="1294">
        <v>3.71801521E8</v>
      </c>
      <c r="O56" s="1294">
        <v>3.71801521E8</v>
      </c>
      <c r="P56" s="1294">
        <v>3.71801521E8</v>
      </c>
      <c r="Q56" s="1294">
        <v>3.71801521E8</v>
      </c>
      <c r="R56" s="1294">
        <v>3.71801521E8</v>
      </c>
      <c r="S56" s="1294">
        <v>3.71801521E8</v>
      </c>
      <c r="T56" s="1294">
        <v>3.71801521E8</v>
      </c>
      <c r="U56" s="1294">
        <v>3.71801521E8</v>
      </c>
      <c r="V56" s="1294">
        <v>3.71801521E8</v>
      </c>
      <c r="W56" s="1294">
        <v>3.71801521E8</v>
      </c>
      <c r="X56" s="1294">
        <v>3.71801521E8</v>
      </c>
      <c r="Y56" s="725">
        <v>4.461618252E9</v>
      </c>
    </row>
    <row r="57">
      <c r="A57" s="126"/>
      <c r="B57" s="1290">
        <v>6.0</v>
      </c>
      <c r="C57" s="329" t="s">
        <v>34</v>
      </c>
      <c r="D57" s="330"/>
      <c r="E57" s="1302"/>
      <c r="F57" s="1291"/>
      <c r="G57" s="1291"/>
      <c r="H57" s="1291"/>
      <c r="I57" s="1291"/>
      <c r="J57" s="1291"/>
      <c r="K57" s="1291"/>
      <c r="L57" s="1292" t="s">
        <v>503</v>
      </c>
      <c r="M57" s="1289">
        <f t="shared" ref="M57:Y57" si="7">SUM(M58:M61)</f>
        <v>858918922</v>
      </c>
      <c r="N57" s="1289">
        <f t="shared" si="7"/>
        <v>858918922</v>
      </c>
      <c r="O57" s="1289">
        <f t="shared" si="7"/>
        <v>858918922</v>
      </c>
      <c r="P57" s="1289">
        <f t="shared" si="7"/>
        <v>858918922</v>
      </c>
      <c r="Q57" s="1289">
        <f t="shared" si="7"/>
        <v>858918922</v>
      </c>
      <c r="R57" s="1289">
        <f t="shared" si="7"/>
        <v>858918922</v>
      </c>
      <c r="S57" s="1289">
        <f t="shared" si="7"/>
        <v>858918922</v>
      </c>
      <c r="T57" s="1289">
        <f t="shared" si="7"/>
        <v>858918922</v>
      </c>
      <c r="U57" s="1289">
        <f t="shared" si="7"/>
        <v>858918922</v>
      </c>
      <c r="V57" s="1289">
        <f t="shared" si="7"/>
        <v>858918922</v>
      </c>
      <c r="W57" s="1289">
        <f t="shared" si="7"/>
        <v>858918922</v>
      </c>
      <c r="X57" s="1289">
        <f t="shared" si="7"/>
        <v>858918922</v>
      </c>
      <c r="Y57" s="1289">
        <f t="shared" si="7"/>
        <v>10307027070</v>
      </c>
    </row>
    <row r="58">
      <c r="A58" s="126"/>
      <c r="B58" s="185"/>
      <c r="C58" s="196">
        <v>1.0</v>
      </c>
      <c r="D58" s="197" t="s">
        <v>504</v>
      </c>
      <c r="E58" s="198" t="s">
        <v>504</v>
      </c>
      <c r="F58" s="1293" t="s">
        <v>186</v>
      </c>
      <c r="G58" s="1293" t="s">
        <v>103</v>
      </c>
      <c r="H58" s="1293" t="s">
        <v>86</v>
      </c>
      <c r="I58" s="1293" t="s">
        <v>86</v>
      </c>
      <c r="J58" s="1293" t="s">
        <v>187</v>
      </c>
      <c r="K58" s="1293" t="s">
        <v>1736</v>
      </c>
      <c r="L58" s="1292" t="s">
        <v>503</v>
      </c>
      <c r="M58" s="1294">
        <v>4.03809459E8</v>
      </c>
      <c r="N58" s="1294">
        <v>4.03809459E8</v>
      </c>
      <c r="O58" s="1294">
        <v>4.03809459E8</v>
      </c>
      <c r="P58" s="1294">
        <v>4.03809459E8</v>
      </c>
      <c r="Q58" s="1294">
        <v>4.03809459E8</v>
      </c>
      <c r="R58" s="1294">
        <v>4.03809459E8</v>
      </c>
      <c r="S58" s="1294">
        <v>4.03809459E8</v>
      </c>
      <c r="T58" s="1294">
        <v>4.03809459E8</v>
      </c>
      <c r="U58" s="1294">
        <v>4.03809459E8</v>
      </c>
      <c r="V58" s="1294">
        <v>4.03809459E8</v>
      </c>
      <c r="W58" s="1294">
        <v>4.03809459E8</v>
      </c>
      <c r="X58" s="1294">
        <v>4.03809459E8</v>
      </c>
      <c r="Y58" s="725">
        <v>4.845713508E9</v>
      </c>
    </row>
    <row r="59">
      <c r="A59" s="126"/>
      <c r="B59" s="185"/>
      <c r="C59" s="196">
        <v>2.0</v>
      </c>
      <c r="D59" s="184" t="s">
        <v>509</v>
      </c>
      <c r="E59" s="198" t="s">
        <v>509</v>
      </c>
      <c r="F59" s="1293" t="s">
        <v>186</v>
      </c>
      <c r="G59" s="1293" t="s">
        <v>103</v>
      </c>
      <c r="H59" s="1293" t="s">
        <v>86</v>
      </c>
      <c r="I59" s="1293" t="s">
        <v>86</v>
      </c>
      <c r="J59" s="1293" t="s">
        <v>366</v>
      </c>
      <c r="K59" s="1293" t="s">
        <v>1747</v>
      </c>
      <c r="L59" s="1292" t="s">
        <v>503</v>
      </c>
      <c r="M59" s="1294">
        <v>4.4442177E7</v>
      </c>
      <c r="N59" s="1294">
        <v>4.4442177E7</v>
      </c>
      <c r="O59" s="1294">
        <v>4.4442177E7</v>
      </c>
      <c r="P59" s="1294">
        <v>4.4442177E7</v>
      </c>
      <c r="Q59" s="1294">
        <v>4.4442177E7</v>
      </c>
      <c r="R59" s="1294">
        <v>4.4442177E7</v>
      </c>
      <c r="S59" s="1294">
        <v>4.4442177E7</v>
      </c>
      <c r="T59" s="1294">
        <v>4.4442177E7</v>
      </c>
      <c r="U59" s="1294">
        <v>4.4442177E7</v>
      </c>
      <c r="V59" s="1294">
        <v>4.4442177E7</v>
      </c>
      <c r="W59" s="1294">
        <v>4.4442177E7</v>
      </c>
      <c r="X59" s="1294">
        <v>4.4442177E7</v>
      </c>
      <c r="Y59" s="725">
        <v>5.3330613E8</v>
      </c>
    </row>
    <row r="60">
      <c r="A60" s="126"/>
      <c r="B60" s="1306"/>
      <c r="C60" s="551">
        <v>3.0</v>
      </c>
      <c r="D60" s="556" t="s">
        <v>515</v>
      </c>
      <c r="E60" s="86"/>
      <c r="F60" s="86"/>
      <c r="G60" s="86"/>
      <c r="H60" s="86"/>
      <c r="I60" s="86"/>
      <c r="J60" s="86"/>
      <c r="K60" s="86"/>
    </row>
    <row r="61">
      <c r="A61" s="126"/>
      <c r="B61" s="1096"/>
      <c r="C61" s="196">
        <v>4.0</v>
      </c>
      <c r="D61" s="563" t="s">
        <v>520</v>
      </c>
      <c r="E61" s="198" t="s">
        <v>1764</v>
      </c>
      <c r="F61" s="1293" t="s">
        <v>186</v>
      </c>
      <c r="G61" s="1293" t="s">
        <v>88</v>
      </c>
      <c r="H61" s="1293" t="s">
        <v>88</v>
      </c>
      <c r="I61" s="1293" t="s">
        <v>218</v>
      </c>
      <c r="J61" s="1293" t="s">
        <v>187</v>
      </c>
      <c r="K61" s="1293" t="s">
        <v>1736</v>
      </c>
      <c r="L61" s="1292" t="s">
        <v>503</v>
      </c>
      <c r="M61" s="1294">
        <v>4.10667286E8</v>
      </c>
      <c r="N61" s="1294">
        <v>4.10667286E8</v>
      </c>
      <c r="O61" s="1294">
        <v>4.10667286E8</v>
      </c>
      <c r="P61" s="1294">
        <v>4.10667286E8</v>
      </c>
      <c r="Q61" s="1294">
        <v>4.10667286E8</v>
      </c>
      <c r="R61" s="1294">
        <v>4.10667286E8</v>
      </c>
      <c r="S61" s="1294">
        <v>4.10667286E8</v>
      </c>
      <c r="T61" s="1294">
        <v>4.10667286E8</v>
      </c>
      <c r="U61" s="1294">
        <v>4.10667286E8</v>
      </c>
      <c r="V61" s="1294">
        <v>4.10667286E8</v>
      </c>
      <c r="W61" s="1294">
        <v>4.10667286E8</v>
      </c>
      <c r="X61" s="1294">
        <v>4.10667286E8</v>
      </c>
      <c r="Y61" s="725">
        <v>4.928007432E9</v>
      </c>
    </row>
    <row r="62">
      <c r="A62" s="126"/>
      <c r="B62" s="1290">
        <v>7.0</v>
      </c>
      <c r="C62" s="329" t="s">
        <v>35</v>
      </c>
      <c r="D62" s="330"/>
      <c r="E62" s="1302"/>
      <c r="F62" s="1291"/>
      <c r="G62" s="1291"/>
      <c r="H62" s="1291"/>
      <c r="I62" s="1291"/>
      <c r="J62" s="1291"/>
      <c r="K62" s="1291"/>
      <c r="L62" s="1292" t="s">
        <v>529</v>
      </c>
      <c r="M62" s="1289">
        <f t="shared" ref="M62:Y62" si="8">SUM(M63:M66)</f>
        <v>476258029</v>
      </c>
      <c r="N62" s="1289">
        <f t="shared" si="8"/>
        <v>476258029</v>
      </c>
      <c r="O62" s="1289">
        <f t="shared" si="8"/>
        <v>476258029</v>
      </c>
      <c r="P62" s="1289">
        <f t="shared" si="8"/>
        <v>476258029</v>
      </c>
      <c r="Q62" s="1289">
        <f t="shared" si="8"/>
        <v>476258029</v>
      </c>
      <c r="R62" s="1289">
        <f t="shared" si="8"/>
        <v>476258029</v>
      </c>
      <c r="S62" s="1289">
        <f t="shared" si="8"/>
        <v>476258029</v>
      </c>
      <c r="T62" s="1289">
        <f t="shared" si="8"/>
        <v>476258029</v>
      </c>
      <c r="U62" s="1289">
        <f t="shared" si="8"/>
        <v>476258029</v>
      </c>
      <c r="V62" s="1289">
        <f t="shared" si="8"/>
        <v>476258029</v>
      </c>
      <c r="W62" s="1289">
        <f t="shared" si="8"/>
        <v>476258029</v>
      </c>
      <c r="X62" s="1289">
        <f t="shared" si="8"/>
        <v>476258029</v>
      </c>
      <c r="Y62" s="1289">
        <f t="shared" si="8"/>
        <v>5715096348</v>
      </c>
    </row>
    <row r="63">
      <c r="A63" s="126"/>
      <c r="B63" s="185"/>
      <c r="C63" s="196">
        <v>1.0</v>
      </c>
      <c r="D63" s="354" t="s">
        <v>530</v>
      </c>
      <c r="E63" s="198" t="s">
        <v>1765</v>
      </c>
      <c r="F63" s="1293" t="s">
        <v>186</v>
      </c>
      <c r="G63" s="1293" t="s">
        <v>88</v>
      </c>
      <c r="H63" s="1293" t="s">
        <v>88</v>
      </c>
      <c r="I63" s="1293" t="s">
        <v>218</v>
      </c>
      <c r="J63" s="1293" t="s">
        <v>253</v>
      </c>
      <c r="K63" s="1293" t="s">
        <v>1739</v>
      </c>
      <c r="L63" s="1292" t="s">
        <v>529</v>
      </c>
      <c r="M63" s="1294">
        <v>3.39241701E8</v>
      </c>
      <c r="N63" s="1294">
        <v>3.39241701E8</v>
      </c>
      <c r="O63" s="1294">
        <v>3.39241701E8</v>
      </c>
      <c r="P63" s="1294">
        <v>3.39241701E8</v>
      </c>
      <c r="Q63" s="1294">
        <v>3.39241701E8</v>
      </c>
      <c r="R63" s="1294">
        <v>3.39241701E8</v>
      </c>
      <c r="S63" s="1294">
        <v>3.39241701E8</v>
      </c>
      <c r="T63" s="1294">
        <v>3.39241701E8</v>
      </c>
      <c r="U63" s="1294">
        <v>3.39241701E8</v>
      </c>
      <c r="V63" s="1294">
        <v>3.39241701E8</v>
      </c>
      <c r="W63" s="1294">
        <v>3.39241701E8</v>
      </c>
      <c r="X63" s="1294">
        <v>3.39241701E8</v>
      </c>
      <c r="Y63" s="725">
        <v>4.070900412E9</v>
      </c>
    </row>
    <row r="64">
      <c r="A64" s="126"/>
      <c r="B64" s="185"/>
      <c r="C64" s="196">
        <v>2.0</v>
      </c>
      <c r="D64" s="354" t="s">
        <v>539</v>
      </c>
      <c r="E64" s="198" t="s">
        <v>1766</v>
      </c>
      <c r="F64" s="1293" t="s">
        <v>186</v>
      </c>
      <c r="G64" s="1293" t="s">
        <v>88</v>
      </c>
      <c r="H64" s="1293" t="s">
        <v>88</v>
      </c>
      <c r="I64" s="1293" t="s">
        <v>218</v>
      </c>
      <c r="J64" s="1293" t="s">
        <v>187</v>
      </c>
      <c r="K64" s="1293" t="s">
        <v>1736</v>
      </c>
      <c r="L64" s="1292" t="s">
        <v>529</v>
      </c>
      <c r="M64" s="1294">
        <v>1.37016328E8</v>
      </c>
      <c r="N64" s="1294">
        <v>1.37016328E8</v>
      </c>
      <c r="O64" s="1294">
        <v>1.37016328E8</v>
      </c>
      <c r="P64" s="1294">
        <v>1.37016328E8</v>
      </c>
      <c r="Q64" s="1294">
        <v>1.37016328E8</v>
      </c>
      <c r="R64" s="1294">
        <v>1.37016328E8</v>
      </c>
      <c r="S64" s="1294">
        <v>1.37016328E8</v>
      </c>
      <c r="T64" s="1294">
        <v>1.37016328E8</v>
      </c>
      <c r="U64" s="1294">
        <v>1.37016328E8</v>
      </c>
      <c r="V64" s="1294">
        <v>1.37016328E8</v>
      </c>
      <c r="W64" s="1294">
        <v>1.37016328E8</v>
      </c>
      <c r="X64" s="1294">
        <v>1.37016328E8</v>
      </c>
      <c r="Y64" s="725">
        <v>1.644195936E9</v>
      </c>
    </row>
    <row r="65">
      <c r="A65" s="582"/>
      <c r="B65" s="1307"/>
      <c r="C65" s="584">
        <v>3.0</v>
      </c>
      <c r="D65" s="585" t="s">
        <v>546</v>
      </c>
      <c r="E65" s="1308"/>
      <c r="F65" s="1291"/>
      <c r="G65" s="1291"/>
      <c r="H65" s="1291"/>
      <c r="I65" s="1291"/>
      <c r="J65" s="1291"/>
      <c r="K65" s="1291"/>
      <c r="L65" s="1292" t="s">
        <v>529</v>
      </c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  <c r="X65" s="754"/>
      <c r="Y65" s="754"/>
    </row>
    <row r="66">
      <c r="A66" s="126"/>
      <c r="B66" s="1309"/>
      <c r="C66" s="602">
        <v>4.0</v>
      </c>
      <c r="D66" s="603" t="s">
        <v>551</v>
      </c>
      <c r="E66" s="1310"/>
      <c r="F66" s="1291"/>
      <c r="G66" s="1291"/>
      <c r="H66" s="1291"/>
      <c r="I66" s="1291"/>
      <c r="J66" s="1291"/>
      <c r="K66" s="1291"/>
      <c r="L66" s="1292" t="s">
        <v>529</v>
      </c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  <c r="X66" s="754"/>
      <c r="Y66" s="754"/>
    </row>
    <row r="67">
      <c r="A67" s="126"/>
      <c r="B67" s="1290">
        <v>8.0</v>
      </c>
      <c r="C67" s="329" t="s">
        <v>36</v>
      </c>
      <c r="D67" s="330"/>
      <c r="E67" s="1302"/>
      <c r="F67" s="1291"/>
      <c r="G67" s="1291"/>
      <c r="H67" s="1291"/>
      <c r="I67" s="1291"/>
      <c r="J67" s="1291"/>
      <c r="K67" s="1291"/>
      <c r="L67" s="1292" t="s">
        <v>559</v>
      </c>
      <c r="M67" s="1289">
        <f t="shared" ref="M67:Y67" si="9">SUM(M68:M70)</f>
        <v>148403231</v>
      </c>
      <c r="N67" s="1289">
        <f t="shared" si="9"/>
        <v>148403231</v>
      </c>
      <c r="O67" s="1289">
        <f t="shared" si="9"/>
        <v>148403231</v>
      </c>
      <c r="P67" s="1289">
        <f t="shared" si="9"/>
        <v>148403231</v>
      </c>
      <c r="Q67" s="1289">
        <f t="shared" si="9"/>
        <v>148403231</v>
      </c>
      <c r="R67" s="1289">
        <f t="shared" si="9"/>
        <v>148403231</v>
      </c>
      <c r="S67" s="1289">
        <f t="shared" si="9"/>
        <v>148403231</v>
      </c>
      <c r="T67" s="1289">
        <f t="shared" si="9"/>
        <v>148403231</v>
      </c>
      <c r="U67" s="1289">
        <f t="shared" si="9"/>
        <v>148403231</v>
      </c>
      <c r="V67" s="1289">
        <f t="shared" si="9"/>
        <v>148403231</v>
      </c>
      <c r="W67" s="1289">
        <f t="shared" si="9"/>
        <v>148403231</v>
      </c>
      <c r="X67" s="1289">
        <f t="shared" si="9"/>
        <v>148403231</v>
      </c>
      <c r="Y67" s="1289">
        <f t="shared" si="9"/>
        <v>1780838768</v>
      </c>
    </row>
    <row r="68">
      <c r="A68" s="126"/>
      <c r="B68" s="185"/>
      <c r="C68" s="196">
        <v>1.0</v>
      </c>
      <c r="D68" s="354" t="s">
        <v>560</v>
      </c>
      <c r="E68" s="198" t="s">
        <v>1767</v>
      </c>
      <c r="F68" s="1293" t="s">
        <v>186</v>
      </c>
      <c r="G68" s="1293" t="s">
        <v>103</v>
      </c>
      <c r="H68" s="1293" t="s">
        <v>86</v>
      </c>
      <c r="I68" s="1293" t="s">
        <v>86</v>
      </c>
      <c r="J68" s="1293" t="s">
        <v>187</v>
      </c>
      <c r="K68" s="1293" t="s">
        <v>1736</v>
      </c>
      <c r="L68" s="1292" t="s">
        <v>559</v>
      </c>
      <c r="M68" s="1294">
        <v>9.0400376E7</v>
      </c>
      <c r="N68" s="1294">
        <v>9.0400376E7</v>
      </c>
      <c r="O68" s="1294">
        <v>9.0400376E7</v>
      </c>
      <c r="P68" s="1294">
        <v>9.0400376E7</v>
      </c>
      <c r="Q68" s="1294">
        <v>9.0400376E7</v>
      </c>
      <c r="R68" s="1294">
        <v>9.0400376E7</v>
      </c>
      <c r="S68" s="1294">
        <v>9.0400376E7</v>
      </c>
      <c r="T68" s="1294">
        <v>9.0400376E7</v>
      </c>
      <c r="U68" s="1294">
        <v>9.0400376E7</v>
      </c>
      <c r="V68" s="1294">
        <v>9.0400376E7</v>
      </c>
      <c r="W68" s="1294">
        <v>9.0400376E7</v>
      </c>
      <c r="X68" s="1294">
        <v>9.0400376E7</v>
      </c>
      <c r="Y68" s="725">
        <v>1.084804508E9</v>
      </c>
    </row>
    <row r="69">
      <c r="A69" s="126"/>
      <c r="B69" s="185"/>
      <c r="C69" s="196">
        <v>2.0</v>
      </c>
      <c r="D69" s="354" t="s">
        <v>567</v>
      </c>
      <c r="E69" s="198" t="s">
        <v>1768</v>
      </c>
      <c r="F69" s="1293" t="s">
        <v>186</v>
      </c>
      <c r="G69" s="1293" t="s">
        <v>88</v>
      </c>
      <c r="H69" s="1293" t="s">
        <v>88</v>
      </c>
      <c r="I69" s="1293" t="s">
        <v>218</v>
      </c>
      <c r="J69" s="1293" t="s">
        <v>187</v>
      </c>
      <c r="K69" s="1293" t="s">
        <v>1736</v>
      </c>
      <c r="L69" s="1292" t="s">
        <v>559</v>
      </c>
      <c r="M69" s="1294">
        <v>5.8002855E7</v>
      </c>
      <c r="N69" s="1294">
        <v>5.8002855E7</v>
      </c>
      <c r="O69" s="1294">
        <v>5.8002855E7</v>
      </c>
      <c r="P69" s="1294">
        <v>5.8002855E7</v>
      </c>
      <c r="Q69" s="1294">
        <v>5.8002855E7</v>
      </c>
      <c r="R69" s="1294">
        <v>5.8002855E7</v>
      </c>
      <c r="S69" s="1294">
        <v>5.8002855E7</v>
      </c>
      <c r="T69" s="1294">
        <v>5.8002855E7</v>
      </c>
      <c r="U69" s="1294">
        <v>5.8002855E7</v>
      </c>
      <c r="V69" s="1294">
        <v>5.8002855E7</v>
      </c>
      <c r="W69" s="1294">
        <v>5.8002855E7</v>
      </c>
      <c r="X69" s="1294">
        <v>5.8002855E7</v>
      </c>
      <c r="Y69" s="725">
        <v>6.9603426E8</v>
      </c>
    </row>
    <row r="70">
      <c r="A70" s="126"/>
      <c r="B70" s="1301"/>
      <c r="C70" s="196">
        <v>3.0</v>
      </c>
      <c r="D70" s="476" t="s">
        <v>574</v>
      </c>
      <c r="E70" s="1310"/>
      <c r="F70" s="1291"/>
      <c r="G70" s="1291"/>
      <c r="H70" s="1291"/>
      <c r="I70" s="1291"/>
      <c r="J70" s="1291"/>
      <c r="K70" s="1291"/>
      <c r="L70" s="1292" t="s">
        <v>559</v>
      </c>
      <c r="M70" s="754"/>
      <c r="N70" s="754"/>
      <c r="O70" s="754"/>
      <c r="P70" s="754"/>
      <c r="Q70" s="754"/>
      <c r="R70" s="754"/>
      <c r="S70" s="754"/>
      <c r="T70" s="754"/>
      <c r="U70" s="754"/>
      <c r="V70" s="754"/>
      <c r="W70" s="754"/>
      <c r="X70" s="754"/>
      <c r="Y70" s="754"/>
    </row>
    <row r="71">
      <c r="A71" s="126"/>
      <c r="B71" s="1290">
        <v>9.0</v>
      </c>
      <c r="C71" s="329" t="s">
        <v>37</v>
      </c>
      <c r="D71" s="330"/>
      <c r="E71" s="1302"/>
      <c r="F71" s="1291"/>
      <c r="G71" s="1291"/>
      <c r="H71" s="1291"/>
      <c r="I71" s="1291"/>
      <c r="J71" s="1291"/>
      <c r="K71" s="1291"/>
      <c r="L71" s="1292" t="s">
        <v>582</v>
      </c>
      <c r="M71" s="1289">
        <f t="shared" ref="M71:Y71" si="10">SUM(M72:M74)</f>
        <v>680137089</v>
      </c>
      <c r="N71" s="1289">
        <f t="shared" si="10"/>
        <v>680137089</v>
      </c>
      <c r="O71" s="1289">
        <f t="shared" si="10"/>
        <v>680137089</v>
      </c>
      <c r="P71" s="1289">
        <f t="shared" si="10"/>
        <v>680137089</v>
      </c>
      <c r="Q71" s="1289">
        <f t="shared" si="10"/>
        <v>680137089</v>
      </c>
      <c r="R71" s="1289">
        <f t="shared" si="10"/>
        <v>680137089</v>
      </c>
      <c r="S71" s="1289">
        <f t="shared" si="10"/>
        <v>680137089</v>
      </c>
      <c r="T71" s="1289">
        <f t="shared" si="10"/>
        <v>680137089</v>
      </c>
      <c r="U71" s="1289">
        <f t="shared" si="10"/>
        <v>680137089</v>
      </c>
      <c r="V71" s="1289">
        <f t="shared" si="10"/>
        <v>680137089</v>
      </c>
      <c r="W71" s="1289">
        <f t="shared" si="10"/>
        <v>680137089</v>
      </c>
      <c r="X71" s="1289">
        <f t="shared" si="10"/>
        <v>680137089</v>
      </c>
      <c r="Y71" s="1289">
        <f t="shared" si="10"/>
        <v>8161645064</v>
      </c>
    </row>
    <row r="72">
      <c r="A72" s="126"/>
      <c r="B72" s="185"/>
      <c r="C72" s="196">
        <v>1.0</v>
      </c>
      <c r="D72" s="354" t="s">
        <v>583</v>
      </c>
      <c r="E72" s="198" t="s">
        <v>1769</v>
      </c>
      <c r="F72" s="1293" t="s">
        <v>186</v>
      </c>
      <c r="G72" s="1293" t="s">
        <v>103</v>
      </c>
      <c r="H72" s="1293" t="s">
        <v>86</v>
      </c>
      <c r="I72" s="1293" t="s">
        <v>86</v>
      </c>
      <c r="J72" s="1293" t="s">
        <v>187</v>
      </c>
      <c r="K72" s="1293" t="s">
        <v>1736</v>
      </c>
      <c r="L72" s="1292" t="s">
        <v>582</v>
      </c>
      <c r="M72" s="1294">
        <v>1.66416667E8</v>
      </c>
      <c r="N72" s="1294">
        <v>1.66416667E8</v>
      </c>
      <c r="O72" s="1294">
        <v>1.66416667E8</v>
      </c>
      <c r="P72" s="1294">
        <v>1.66416667E8</v>
      </c>
      <c r="Q72" s="1294">
        <v>1.66416667E8</v>
      </c>
      <c r="R72" s="1294">
        <v>1.66416667E8</v>
      </c>
      <c r="S72" s="1294">
        <v>1.66416667E8</v>
      </c>
      <c r="T72" s="1294">
        <v>1.66416667E8</v>
      </c>
      <c r="U72" s="1294">
        <v>1.66416667E8</v>
      </c>
      <c r="V72" s="1294">
        <v>1.66416667E8</v>
      </c>
      <c r="W72" s="1294">
        <v>1.66416667E8</v>
      </c>
      <c r="X72" s="1294">
        <v>1.66416667E8</v>
      </c>
      <c r="Y72" s="725">
        <v>1.997E9</v>
      </c>
    </row>
    <row r="73">
      <c r="A73" s="126"/>
      <c r="B73" s="185"/>
      <c r="C73" s="196">
        <v>2.0</v>
      </c>
      <c r="D73" s="197" t="s">
        <v>590</v>
      </c>
      <c r="E73" s="198" t="s">
        <v>590</v>
      </c>
      <c r="F73" s="1293" t="s">
        <v>186</v>
      </c>
      <c r="G73" s="1293" t="s">
        <v>88</v>
      </c>
      <c r="H73" s="1293" t="s">
        <v>88</v>
      </c>
      <c r="I73" s="1293" t="s">
        <v>218</v>
      </c>
      <c r="J73" s="1293" t="s">
        <v>187</v>
      </c>
      <c r="K73" s="1293" t="s">
        <v>1736</v>
      </c>
      <c r="L73" s="1292" t="s">
        <v>582</v>
      </c>
      <c r="M73" s="1294">
        <v>5.13720422E8</v>
      </c>
      <c r="N73" s="1294">
        <v>5.13720422E8</v>
      </c>
      <c r="O73" s="1294">
        <v>5.13720422E8</v>
      </c>
      <c r="P73" s="1294">
        <v>5.13720422E8</v>
      </c>
      <c r="Q73" s="1294">
        <v>5.13720422E8</v>
      </c>
      <c r="R73" s="1294">
        <v>5.13720422E8</v>
      </c>
      <c r="S73" s="1294">
        <v>5.13720422E8</v>
      </c>
      <c r="T73" s="1294">
        <v>5.13720422E8</v>
      </c>
      <c r="U73" s="1294">
        <v>5.13720422E8</v>
      </c>
      <c r="V73" s="1294">
        <v>5.13720422E8</v>
      </c>
      <c r="W73" s="1294">
        <v>5.13720422E8</v>
      </c>
      <c r="X73" s="1294">
        <v>5.13720422E8</v>
      </c>
      <c r="Y73" s="725">
        <v>6.164645064E9</v>
      </c>
    </row>
    <row r="74">
      <c r="A74" s="126"/>
      <c r="B74" s="1311"/>
      <c r="C74" s="196">
        <v>3.0</v>
      </c>
      <c r="D74" s="616" t="s">
        <v>599</v>
      </c>
      <c r="E74" s="1310"/>
      <c r="F74" s="1291"/>
      <c r="G74" s="1291"/>
      <c r="H74" s="1291"/>
      <c r="I74" s="1291"/>
      <c r="J74" s="1291"/>
      <c r="K74" s="1291"/>
      <c r="L74" s="1288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  <c r="X74" s="754"/>
      <c r="Y74" s="754"/>
    </row>
    <row r="75">
      <c r="A75" s="126"/>
      <c r="B75" s="1290">
        <v>10.0</v>
      </c>
      <c r="C75" s="329" t="s">
        <v>38</v>
      </c>
      <c r="D75" s="330"/>
      <c r="E75" s="1302"/>
      <c r="F75" s="1291"/>
      <c r="G75" s="1291"/>
      <c r="H75" s="1291"/>
      <c r="I75" s="1291"/>
      <c r="J75" s="1291"/>
      <c r="K75" s="1291"/>
      <c r="L75" s="1292" t="s">
        <v>606</v>
      </c>
      <c r="M75" s="1289">
        <f t="shared" ref="M75:Y75" si="11">SUM(M76:M81)</f>
        <v>1465355157</v>
      </c>
      <c r="N75" s="1289">
        <f t="shared" si="11"/>
        <v>1465355157</v>
      </c>
      <c r="O75" s="1289">
        <f t="shared" si="11"/>
        <v>1465355157</v>
      </c>
      <c r="P75" s="1289">
        <f t="shared" si="11"/>
        <v>1465355157</v>
      </c>
      <c r="Q75" s="1289">
        <f t="shared" si="11"/>
        <v>1465355157</v>
      </c>
      <c r="R75" s="1289">
        <f t="shared" si="11"/>
        <v>1465355157</v>
      </c>
      <c r="S75" s="1289">
        <f t="shared" si="11"/>
        <v>1465355157</v>
      </c>
      <c r="T75" s="1289">
        <f t="shared" si="11"/>
        <v>1465355157</v>
      </c>
      <c r="U75" s="1289">
        <f t="shared" si="11"/>
        <v>1465355157</v>
      </c>
      <c r="V75" s="1289">
        <f t="shared" si="11"/>
        <v>1465355157</v>
      </c>
      <c r="W75" s="1289">
        <f t="shared" si="11"/>
        <v>1465355157</v>
      </c>
      <c r="X75" s="1289">
        <f t="shared" si="11"/>
        <v>1465355157</v>
      </c>
      <c r="Y75" s="1289">
        <f t="shared" si="11"/>
        <v>17584261884</v>
      </c>
    </row>
    <row r="76">
      <c r="A76" s="126"/>
      <c r="B76" s="185"/>
      <c r="C76" s="196">
        <v>1.0</v>
      </c>
      <c r="D76" s="354" t="s">
        <v>607</v>
      </c>
      <c r="E76" s="198" t="s">
        <v>1770</v>
      </c>
      <c r="F76" s="1293" t="s">
        <v>186</v>
      </c>
      <c r="G76" s="1293" t="s">
        <v>103</v>
      </c>
      <c r="H76" s="1293" t="s">
        <v>86</v>
      </c>
      <c r="I76" s="1293" t="s">
        <v>86</v>
      </c>
      <c r="J76" s="1293" t="s">
        <v>187</v>
      </c>
      <c r="K76" s="1293" t="s">
        <v>1736</v>
      </c>
      <c r="L76" s="1292" t="s">
        <v>606</v>
      </c>
      <c r="M76" s="1294">
        <v>1.61850664E8</v>
      </c>
      <c r="N76" s="1294">
        <v>1.61850664E8</v>
      </c>
      <c r="O76" s="1294">
        <v>1.61850664E8</v>
      </c>
      <c r="P76" s="1294">
        <v>1.61850664E8</v>
      </c>
      <c r="Q76" s="1294">
        <v>1.61850664E8</v>
      </c>
      <c r="R76" s="1294">
        <v>1.61850664E8</v>
      </c>
      <c r="S76" s="1294">
        <v>1.61850664E8</v>
      </c>
      <c r="T76" s="1294">
        <v>1.61850664E8</v>
      </c>
      <c r="U76" s="1294">
        <v>1.61850664E8</v>
      </c>
      <c r="V76" s="1294">
        <v>1.61850664E8</v>
      </c>
      <c r="W76" s="1294">
        <v>1.61850664E8</v>
      </c>
      <c r="X76" s="1294">
        <v>1.61850664E8</v>
      </c>
      <c r="Y76" s="725">
        <v>1.942207968E9</v>
      </c>
    </row>
    <row r="77">
      <c r="A77" s="126"/>
      <c r="B77" s="185"/>
      <c r="C77" s="196">
        <v>2.0</v>
      </c>
      <c r="D77" s="354" t="s">
        <v>614</v>
      </c>
      <c r="E77" s="198" t="s">
        <v>1771</v>
      </c>
      <c r="F77" s="1293" t="s">
        <v>186</v>
      </c>
      <c r="G77" s="1293" t="s">
        <v>88</v>
      </c>
      <c r="H77" s="1293" t="s">
        <v>88</v>
      </c>
      <c r="I77" s="1293" t="s">
        <v>218</v>
      </c>
      <c r="J77" s="1293" t="s">
        <v>187</v>
      </c>
      <c r="K77" s="1293" t="s">
        <v>1736</v>
      </c>
      <c r="L77" s="1292" t="s">
        <v>606</v>
      </c>
      <c r="M77" s="1294">
        <v>1.216904285E9</v>
      </c>
      <c r="N77" s="1294">
        <v>1.216904285E9</v>
      </c>
      <c r="O77" s="1294">
        <v>1.216904285E9</v>
      </c>
      <c r="P77" s="1294">
        <v>1.216904285E9</v>
      </c>
      <c r="Q77" s="1294">
        <v>1.216904285E9</v>
      </c>
      <c r="R77" s="1294">
        <v>1.216904285E9</v>
      </c>
      <c r="S77" s="1294">
        <v>1.216904285E9</v>
      </c>
      <c r="T77" s="1294">
        <v>1.216904285E9</v>
      </c>
      <c r="U77" s="1294">
        <v>1.216904285E9</v>
      </c>
      <c r="V77" s="1294">
        <v>1.216904285E9</v>
      </c>
      <c r="W77" s="1294">
        <v>1.216904285E9</v>
      </c>
      <c r="X77" s="1294">
        <v>1.216904285E9</v>
      </c>
      <c r="Y77" s="725">
        <v>1.460285142E10</v>
      </c>
    </row>
    <row r="78">
      <c r="A78" s="126"/>
      <c r="B78" s="185"/>
      <c r="C78" s="196">
        <v>3.0</v>
      </c>
      <c r="D78" s="354" t="s">
        <v>622</v>
      </c>
      <c r="E78" s="198" t="s">
        <v>1772</v>
      </c>
      <c r="F78" s="1293" t="s">
        <v>186</v>
      </c>
      <c r="G78" s="1293" t="s">
        <v>135</v>
      </c>
      <c r="H78" s="1293" t="s">
        <v>135</v>
      </c>
      <c r="I78" s="1293" t="s">
        <v>203</v>
      </c>
      <c r="J78" s="1293" t="s">
        <v>187</v>
      </c>
      <c r="K78" s="1293" t="s">
        <v>1736</v>
      </c>
      <c r="L78" s="1292" t="s">
        <v>606</v>
      </c>
      <c r="M78" s="1294">
        <v>5.4681763E7</v>
      </c>
      <c r="N78" s="1294">
        <v>5.4681763E7</v>
      </c>
      <c r="O78" s="1294">
        <v>5.4681763E7</v>
      </c>
      <c r="P78" s="1294">
        <v>5.4681763E7</v>
      </c>
      <c r="Q78" s="1294">
        <v>5.4681763E7</v>
      </c>
      <c r="R78" s="1294">
        <v>5.4681763E7</v>
      </c>
      <c r="S78" s="1294">
        <v>5.4681763E7</v>
      </c>
      <c r="T78" s="1294">
        <v>5.4681763E7</v>
      </c>
      <c r="U78" s="1294">
        <v>5.4681763E7</v>
      </c>
      <c r="V78" s="1294">
        <v>5.4681763E7</v>
      </c>
      <c r="W78" s="1294">
        <v>5.4681763E7</v>
      </c>
      <c r="X78" s="1294">
        <v>5.4681763E7</v>
      </c>
      <c r="Y78" s="725">
        <v>6.56181156E8</v>
      </c>
    </row>
    <row r="79">
      <c r="A79" s="126"/>
      <c r="B79" s="185"/>
      <c r="C79" s="196">
        <v>4.0</v>
      </c>
      <c r="D79" s="634" t="s">
        <v>630</v>
      </c>
      <c r="E79" s="198" t="s">
        <v>1773</v>
      </c>
      <c r="F79" s="1293" t="s">
        <v>186</v>
      </c>
      <c r="G79" s="1293" t="s">
        <v>103</v>
      </c>
      <c r="H79" s="1293" t="s">
        <v>86</v>
      </c>
      <c r="I79" s="1293" t="s">
        <v>86</v>
      </c>
      <c r="J79" s="1293" t="s">
        <v>187</v>
      </c>
      <c r="K79" s="1293" t="s">
        <v>1736</v>
      </c>
      <c r="L79" s="1292" t="s">
        <v>606</v>
      </c>
      <c r="M79" s="1294">
        <v>3.1918445E7</v>
      </c>
      <c r="N79" s="1294">
        <v>3.1918445E7</v>
      </c>
      <c r="O79" s="1294">
        <v>3.1918445E7</v>
      </c>
      <c r="P79" s="1294">
        <v>3.1918445E7</v>
      </c>
      <c r="Q79" s="1294">
        <v>3.1918445E7</v>
      </c>
      <c r="R79" s="1294">
        <v>3.1918445E7</v>
      </c>
      <c r="S79" s="1294">
        <v>3.1918445E7</v>
      </c>
      <c r="T79" s="1294">
        <v>3.1918445E7</v>
      </c>
      <c r="U79" s="1294">
        <v>3.1918445E7</v>
      </c>
      <c r="V79" s="1294">
        <v>3.1918445E7</v>
      </c>
      <c r="W79" s="1294">
        <v>3.1918445E7</v>
      </c>
      <c r="X79" s="1294">
        <v>3.1918445E7</v>
      </c>
      <c r="Y79" s="725">
        <v>3.8302134E8</v>
      </c>
    </row>
    <row r="80">
      <c r="A80" s="126"/>
      <c r="B80" s="1312"/>
      <c r="C80" s="433">
        <v>5.0</v>
      </c>
      <c r="D80" s="646" t="s">
        <v>636</v>
      </c>
      <c r="E80" s="1310"/>
      <c r="F80" s="1291"/>
      <c r="G80" s="1291"/>
      <c r="H80" s="1291"/>
      <c r="I80" s="1291"/>
      <c r="J80" s="1291"/>
      <c r="K80" s="1291"/>
      <c r="L80" s="1292" t="s">
        <v>606</v>
      </c>
      <c r="M80" s="754"/>
      <c r="N80" s="754"/>
      <c r="O80" s="754"/>
      <c r="P80" s="754"/>
      <c r="Q80" s="754"/>
      <c r="R80" s="754"/>
      <c r="S80" s="754"/>
      <c r="T80" s="754"/>
      <c r="U80" s="754"/>
      <c r="V80" s="754"/>
      <c r="W80" s="754"/>
      <c r="X80" s="754"/>
      <c r="Y80" s="754"/>
    </row>
    <row r="81">
      <c r="A81" s="126"/>
      <c r="B81" s="1306"/>
      <c r="C81" s="196">
        <v>6.0</v>
      </c>
      <c r="D81" s="650" t="s">
        <v>640</v>
      </c>
      <c r="E81" s="1310"/>
      <c r="F81" s="1291"/>
      <c r="G81" s="1291"/>
      <c r="H81" s="1291"/>
      <c r="I81" s="1291"/>
      <c r="J81" s="1291"/>
      <c r="K81" s="1291"/>
      <c r="L81" s="1292" t="s">
        <v>606</v>
      </c>
      <c r="M81" s="754"/>
      <c r="N81" s="754"/>
      <c r="O81" s="754"/>
      <c r="P81" s="754"/>
      <c r="Q81" s="754"/>
      <c r="R81" s="754"/>
      <c r="S81" s="754"/>
      <c r="T81" s="754"/>
      <c r="U81" s="754"/>
      <c r="V81" s="754"/>
      <c r="W81" s="754"/>
      <c r="X81" s="754"/>
      <c r="Y81" s="754"/>
    </row>
    <row r="82">
      <c r="A82" s="126"/>
      <c r="B82" s="1313">
        <v>11.0</v>
      </c>
      <c r="C82" s="656" t="s">
        <v>153</v>
      </c>
      <c r="D82" s="330"/>
      <c r="E82" s="1302"/>
      <c r="F82" s="1291"/>
      <c r="G82" s="1291"/>
      <c r="H82" s="1291"/>
      <c r="I82" s="1291"/>
      <c r="J82" s="1291"/>
      <c r="K82" s="1291"/>
      <c r="L82" s="1292" t="s">
        <v>649</v>
      </c>
      <c r="M82" s="1289">
        <f t="shared" ref="M82:Y82" si="12">SUM(M83:M85)</f>
        <v>639858228</v>
      </c>
      <c r="N82" s="1289">
        <f t="shared" si="12"/>
        <v>639858228</v>
      </c>
      <c r="O82" s="1289">
        <f t="shared" si="12"/>
        <v>639858228</v>
      </c>
      <c r="P82" s="1289">
        <f t="shared" si="12"/>
        <v>1294758228</v>
      </c>
      <c r="Q82" s="1289">
        <f t="shared" si="12"/>
        <v>639858228</v>
      </c>
      <c r="R82" s="1289">
        <f t="shared" si="12"/>
        <v>639858228</v>
      </c>
      <c r="S82" s="1289">
        <f t="shared" si="12"/>
        <v>639858228</v>
      </c>
      <c r="T82" s="1289">
        <f t="shared" si="12"/>
        <v>639858228</v>
      </c>
      <c r="U82" s="1289">
        <f t="shared" si="12"/>
        <v>639858228</v>
      </c>
      <c r="V82" s="1289">
        <f t="shared" si="12"/>
        <v>639858228</v>
      </c>
      <c r="W82" s="1289">
        <f t="shared" si="12"/>
        <v>639858228</v>
      </c>
      <c r="X82" s="1289">
        <f t="shared" si="12"/>
        <v>639858228</v>
      </c>
      <c r="Y82" s="1289">
        <f t="shared" si="12"/>
        <v>8333198736</v>
      </c>
    </row>
    <row r="83">
      <c r="A83" s="126"/>
      <c r="B83" s="185"/>
      <c r="C83" s="196">
        <v>1.0</v>
      </c>
      <c r="D83" s="197" t="s">
        <v>650</v>
      </c>
      <c r="E83" s="198" t="s">
        <v>650</v>
      </c>
      <c r="F83" s="1293" t="s">
        <v>186</v>
      </c>
      <c r="G83" s="1293" t="s">
        <v>103</v>
      </c>
      <c r="H83" s="1293" t="s">
        <v>86</v>
      </c>
      <c r="I83" s="1293" t="s">
        <v>86</v>
      </c>
      <c r="J83" s="1293" t="s">
        <v>187</v>
      </c>
      <c r="K83" s="1293" t="s">
        <v>1736</v>
      </c>
      <c r="L83" s="1292" t="s">
        <v>649</v>
      </c>
      <c r="M83" s="1294">
        <v>8.1766667E7</v>
      </c>
      <c r="N83" s="1294">
        <v>8.1766667E7</v>
      </c>
      <c r="O83" s="1294">
        <v>8.1766667E7</v>
      </c>
      <c r="P83" s="1294">
        <v>8.1766667E7</v>
      </c>
      <c r="Q83" s="1294">
        <v>8.1766667E7</v>
      </c>
      <c r="R83" s="1294">
        <v>8.1766667E7</v>
      </c>
      <c r="S83" s="1294">
        <v>8.1766667E7</v>
      </c>
      <c r="T83" s="1294">
        <v>8.1766667E7</v>
      </c>
      <c r="U83" s="1294">
        <v>8.1766667E7</v>
      </c>
      <c r="V83" s="1294">
        <v>8.1766667E7</v>
      </c>
      <c r="W83" s="1294">
        <v>8.1766667E7</v>
      </c>
      <c r="X83" s="1294">
        <v>8.1766667E7</v>
      </c>
      <c r="Y83" s="725">
        <v>9.81200004E8</v>
      </c>
    </row>
    <row r="84">
      <c r="A84" s="126"/>
      <c r="B84" s="185"/>
      <c r="C84" s="196">
        <v>2.0</v>
      </c>
      <c r="D84" s="197" t="s">
        <v>656</v>
      </c>
      <c r="E84" s="198" t="s">
        <v>656</v>
      </c>
      <c r="F84" s="1293" t="s">
        <v>186</v>
      </c>
      <c r="G84" s="1293" t="s">
        <v>88</v>
      </c>
      <c r="H84" s="1293" t="s">
        <v>88</v>
      </c>
      <c r="I84" s="1293" t="s">
        <v>218</v>
      </c>
      <c r="J84" s="1293" t="s">
        <v>187</v>
      </c>
      <c r="K84" s="1293" t="s">
        <v>1736</v>
      </c>
      <c r="L84" s="1292" t="s">
        <v>649</v>
      </c>
      <c r="M84" s="1294">
        <v>5.58091561E8</v>
      </c>
      <c r="N84" s="1294">
        <v>5.58091561E8</v>
      </c>
      <c r="O84" s="1294">
        <v>5.58091561E8</v>
      </c>
      <c r="P84" s="1294">
        <v>5.58091561E8</v>
      </c>
      <c r="Q84" s="1294">
        <v>5.58091561E8</v>
      </c>
      <c r="R84" s="1294">
        <v>5.58091561E8</v>
      </c>
      <c r="S84" s="1294">
        <v>5.58091561E8</v>
      </c>
      <c r="T84" s="1294">
        <v>5.58091561E8</v>
      </c>
      <c r="U84" s="1294">
        <v>5.58091561E8</v>
      </c>
      <c r="V84" s="1294">
        <v>5.58091561E8</v>
      </c>
      <c r="W84" s="1294">
        <v>5.58091561E8</v>
      </c>
      <c r="X84" s="1294">
        <v>5.58091561E8</v>
      </c>
      <c r="Y84" s="725">
        <v>6.697098732E9</v>
      </c>
    </row>
    <row r="85">
      <c r="A85" s="391"/>
      <c r="B85" s="1303"/>
      <c r="C85" s="661">
        <v>3.0</v>
      </c>
      <c r="D85" s="516" t="s">
        <v>662</v>
      </c>
      <c r="E85" s="1310"/>
      <c r="F85" s="1293" t="s">
        <v>326</v>
      </c>
      <c r="G85" s="1293" t="s">
        <v>305</v>
      </c>
      <c r="H85" s="1293" t="s">
        <v>327</v>
      </c>
      <c r="I85" s="1293" t="s">
        <v>328</v>
      </c>
      <c r="J85" s="1293" t="s">
        <v>187</v>
      </c>
      <c r="K85" s="1293" t="s">
        <v>1736</v>
      </c>
      <c r="L85" s="1292" t="s">
        <v>649</v>
      </c>
      <c r="M85" s="754"/>
      <c r="N85" s="754"/>
      <c r="O85" s="754"/>
      <c r="P85" s="1314">
        <v>6.549E8</v>
      </c>
      <c r="Q85" s="754"/>
      <c r="R85" s="754"/>
      <c r="S85" s="754"/>
      <c r="T85" s="754"/>
      <c r="U85" s="754"/>
      <c r="V85" s="754"/>
      <c r="W85" s="754"/>
      <c r="X85" s="754"/>
      <c r="Y85" s="1315">
        <v>6.549E8</v>
      </c>
    </row>
    <row r="86">
      <c r="A86" s="126"/>
      <c r="B86" s="1286" t="s">
        <v>39</v>
      </c>
      <c r="C86" s="678" t="s">
        <v>40</v>
      </c>
      <c r="D86" s="679"/>
      <c r="E86" s="1302"/>
      <c r="F86" s="1291"/>
      <c r="G86" s="1291"/>
      <c r="H86" s="1291"/>
      <c r="I86" s="1291"/>
      <c r="J86" s="1291"/>
      <c r="K86" s="1291"/>
      <c r="L86" s="1288"/>
      <c r="M86" s="1289">
        <f t="shared" ref="M86:Y86" si="13">M87+M99+M200+M207+M215+M219</f>
        <v>76405836537</v>
      </c>
      <c r="N86" s="1289">
        <f t="shared" si="13"/>
        <v>75833117186</v>
      </c>
      <c r="O86" s="1289">
        <f t="shared" si="13"/>
        <v>77174075076</v>
      </c>
      <c r="P86" s="1289">
        <f t="shared" si="13"/>
        <v>69476024562</v>
      </c>
      <c r="Q86" s="1289">
        <f t="shared" si="13"/>
        <v>70020171724</v>
      </c>
      <c r="R86" s="1289">
        <f t="shared" si="13"/>
        <v>74940839387</v>
      </c>
      <c r="S86" s="1289">
        <f t="shared" si="13"/>
        <v>74721313950</v>
      </c>
      <c r="T86" s="1289">
        <f t="shared" si="13"/>
        <v>75556067785</v>
      </c>
      <c r="U86" s="1289">
        <f t="shared" si="13"/>
        <v>69984393865</v>
      </c>
      <c r="V86" s="1289">
        <f t="shared" si="13"/>
        <v>69694258362</v>
      </c>
      <c r="W86" s="1289">
        <f t="shared" si="13"/>
        <v>69944893866</v>
      </c>
      <c r="X86" s="1289">
        <f t="shared" si="13"/>
        <v>76021425030</v>
      </c>
      <c r="Y86" s="1289">
        <f t="shared" si="13"/>
        <v>879772417325</v>
      </c>
    </row>
    <row r="87">
      <c r="A87" s="126"/>
      <c r="B87" s="1313">
        <v>12.0</v>
      </c>
      <c r="C87" s="182" t="s">
        <v>41</v>
      </c>
      <c r="D87" s="684"/>
      <c r="E87" s="1302"/>
      <c r="F87" s="1291"/>
      <c r="G87" s="1291"/>
      <c r="H87" s="1291"/>
      <c r="I87" s="1291"/>
      <c r="J87" s="1291"/>
      <c r="K87" s="1291"/>
      <c r="L87" s="1292" t="s">
        <v>1774</v>
      </c>
      <c r="M87" s="1289">
        <f t="shared" ref="M87:Y87" si="14">SUM(M88:M98)</f>
        <v>2216144417</v>
      </c>
      <c r="N87" s="1289">
        <f t="shared" si="14"/>
        <v>2216144417</v>
      </c>
      <c r="O87" s="1289">
        <f t="shared" si="14"/>
        <v>2216144417</v>
      </c>
      <c r="P87" s="1289">
        <f t="shared" si="14"/>
        <v>2216144417</v>
      </c>
      <c r="Q87" s="1289">
        <f t="shared" si="14"/>
        <v>2216144417</v>
      </c>
      <c r="R87" s="1289">
        <f t="shared" si="14"/>
        <v>2216144417</v>
      </c>
      <c r="S87" s="1289">
        <f t="shared" si="14"/>
        <v>2216144417</v>
      </c>
      <c r="T87" s="1289">
        <f t="shared" si="14"/>
        <v>2216144417</v>
      </c>
      <c r="U87" s="1289">
        <f t="shared" si="14"/>
        <v>2216144417</v>
      </c>
      <c r="V87" s="1289">
        <f t="shared" si="14"/>
        <v>2216144417</v>
      </c>
      <c r="W87" s="1289">
        <f t="shared" si="14"/>
        <v>2216144417</v>
      </c>
      <c r="X87" s="1289">
        <f t="shared" si="14"/>
        <v>2216144417</v>
      </c>
      <c r="Y87" s="1289">
        <f t="shared" si="14"/>
        <v>26593733006</v>
      </c>
    </row>
    <row r="88">
      <c r="A88" s="126"/>
      <c r="B88" s="185"/>
      <c r="C88" s="196">
        <v>1.0</v>
      </c>
      <c r="D88" s="197" t="s">
        <v>673</v>
      </c>
      <c r="E88" s="198" t="s">
        <v>673</v>
      </c>
      <c r="F88" s="1293" t="s">
        <v>186</v>
      </c>
      <c r="G88" s="1293" t="s">
        <v>103</v>
      </c>
      <c r="H88" s="1293" t="s">
        <v>86</v>
      </c>
      <c r="I88" s="1293" t="s">
        <v>86</v>
      </c>
      <c r="J88" s="1293" t="s">
        <v>187</v>
      </c>
      <c r="K88" s="1293" t="s">
        <v>1736</v>
      </c>
      <c r="L88" s="1292" t="s">
        <v>672</v>
      </c>
      <c r="M88" s="1294">
        <v>4.27929562E8</v>
      </c>
      <c r="N88" s="1294">
        <v>4.27929562E8</v>
      </c>
      <c r="O88" s="1294">
        <v>4.27929562E8</v>
      </c>
      <c r="P88" s="1294">
        <v>4.27929562E8</v>
      </c>
      <c r="Q88" s="1294">
        <v>4.27929562E8</v>
      </c>
      <c r="R88" s="1294">
        <v>4.27929562E8</v>
      </c>
      <c r="S88" s="1294">
        <v>4.27929562E8</v>
      </c>
      <c r="T88" s="1294">
        <v>4.27929562E8</v>
      </c>
      <c r="U88" s="1294">
        <v>4.27929562E8</v>
      </c>
      <c r="V88" s="1294">
        <v>4.27929562E8</v>
      </c>
      <c r="W88" s="1294">
        <v>4.27929562E8</v>
      </c>
      <c r="X88" s="1294">
        <v>4.27929562E8</v>
      </c>
      <c r="Y88" s="725">
        <v>5.135154744E9</v>
      </c>
    </row>
    <row r="89">
      <c r="A89" s="126"/>
      <c r="B89" s="185"/>
      <c r="C89" s="196">
        <v>2.0</v>
      </c>
      <c r="D89" s="197" t="s">
        <v>679</v>
      </c>
      <c r="E89" s="198" t="s">
        <v>679</v>
      </c>
      <c r="F89" s="1293" t="s">
        <v>186</v>
      </c>
      <c r="G89" s="1293" t="s">
        <v>103</v>
      </c>
      <c r="H89" s="1293" t="s">
        <v>86</v>
      </c>
      <c r="I89" s="1293" t="s">
        <v>86</v>
      </c>
      <c r="J89" s="1293" t="s">
        <v>187</v>
      </c>
      <c r="K89" s="1293" t="s">
        <v>1736</v>
      </c>
      <c r="L89" s="1292" t="s">
        <v>672</v>
      </c>
      <c r="M89" s="1294">
        <v>9.2067557E7</v>
      </c>
      <c r="N89" s="1294">
        <v>9.2067557E7</v>
      </c>
      <c r="O89" s="1294">
        <v>9.2067557E7</v>
      </c>
      <c r="P89" s="1294">
        <v>9.2067557E7</v>
      </c>
      <c r="Q89" s="1294">
        <v>9.2067557E7</v>
      </c>
      <c r="R89" s="1294">
        <v>9.2067557E7</v>
      </c>
      <c r="S89" s="1294">
        <v>9.2067557E7</v>
      </c>
      <c r="T89" s="1294">
        <v>9.2067557E7</v>
      </c>
      <c r="U89" s="1294">
        <v>9.2067557E7</v>
      </c>
      <c r="V89" s="1294">
        <v>9.2067557E7</v>
      </c>
      <c r="W89" s="1294">
        <v>9.2067557E7</v>
      </c>
      <c r="X89" s="1294">
        <v>9.2067557E7</v>
      </c>
      <c r="Y89" s="725">
        <v>1.104810684E9</v>
      </c>
    </row>
    <row r="90">
      <c r="A90" s="126"/>
      <c r="B90" s="185"/>
      <c r="C90" s="196">
        <v>3.0</v>
      </c>
      <c r="D90" s="197" t="s">
        <v>684</v>
      </c>
      <c r="E90" s="198" t="s">
        <v>684</v>
      </c>
      <c r="F90" s="1293" t="s">
        <v>186</v>
      </c>
      <c r="G90" s="1293" t="s">
        <v>135</v>
      </c>
      <c r="H90" s="1293" t="s">
        <v>135</v>
      </c>
      <c r="I90" s="1293" t="s">
        <v>203</v>
      </c>
      <c r="J90" s="1293" t="s">
        <v>187</v>
      </c>
      <c r="K90" s="1293" t="s">
        <v>1736</v>
      </c>
      <c r="L90" s="1292" t="s">
        <v>672</v>
      </c>
      <c r="M90" s="1294">
        <v>3.25671389E8</v>
      </c>
      <c r="N90" s="1294">
        <v>3.25671389E8</v>
      </c>
      <c r="O90" s="1294">
        <v>3.25671389E8</v>
      </c>
      <c r="P90" s="1294">
        <v>3.25671389E8</v>
      </c>
      <c r="Q90" s="1294">
        <v>3.25671389E8</v>
      </c>
      <c r="R90" s="1294">
        <v>3.25671389E8</v>
      </c>
      <c r="S90" s="1294">
        <v>3.25671389E8</v>
      </c>
      <c r="T90" s="1294">
        <v>3.25671389E8</v>
      </c>
      <c r="U90" s="1294">
        <v>3.25671389E8</v>
      </c>
      <c r="V90" s="1294">
        <v>3.25671389E8</v>
      </c>
      <c r="W90" s="1294">
        <v>3.25671389E8</v>
      </c>
      <c r="X90" s="1294">
        <v>3.25671389E8</v>
      </c>
      <c r="Y90" s="725">
        <v>3.908056668E9</v>
      </c>
    </row>
    <row r="91">
      <c r="A91" s="126"/>
      <c r="B91" s="185"/>
      <c r="C91" s="196">
        <v>4.0</v>
      </c>
      <c r="D91" s="197" t="s">
        <v>688</v>
      </c>
      <c r="E91" s="198" t="s">
        <v>688</v>
      </c>
      <c r="F91" s="1293" t="s">
        <v>186</v>
      </c>
      <c r="G91" s="1293" t="s">
        <v>135</v>
      </c>
      <c r="H91" s="1293" t="s">
        <v>135</v>
      </c>
      <c r="I91" s="1293" t="s">
        <v>203</v>
      </c>
      <c r="J91" s="1293" t="s">
        <v>187</v>
      </c>
      <c r="K91" s="1293" t="s">
        <v>1736</v>
      </c>
      <c r="L91" s="1292" t="s">
        <v>672</v>
      </c>
      <c r="M91" s="1294">
        <v>2.8811931E7</v>
      </c>
      <c r="N91" s="1294">
        <v>2.8811931E7</v>
      </c>
      <c r="O91" s="1294">
        <v>2.8811931E7</v>
      </c>
      <c r="P91" s="1294">
        <v>2.8811931E7</v>
      </c>
      <c r="Q91" s="1294">
        <v>2.8811931E7</v>
      </c>
      <c r="R91" s="1294">
        <v>2.8811931E7</v>
      </c>
      <c r="S91" s="1294">
        <v>2.8811931E7</v>
      </c>
      <c r="T91" s="1294">
        <v>2.8811931E7</v>
      </c>
      <c r="U91" s="1294">
        <v>2.8811931E7</v>
      </c>
      <c r="V91" s="1294">
        <v>2.8811931E7</v>
      </c>
      <c r="W91" s="1294">
        <v>2.8811931E7</v>
      </c>
      <c r="X91" s="1294">
        <v>2.8811931E7</v>
      </c>
      <c r="Y91" s="725">
        <v>3.45743172E8</v>
      </c>
    </row>
    <row r="92">
      <c r="A92" s="126"/>
      <c r="B92" s="185"/>
      <c r="C92" s="196">
        <v>5.0</v>
      </c>
      <c r="D92" s="354" t="s">
        <v>694</v>
      </c>
      <c r="E92" s="198" t="s">
        <v>1775</v>
      </c>
      <c r="F92" s="1293" t="s">
        <v>186</v>
      </c>
      <c r="G92" s="1293" t="s">
        <v>88</v>
      </c>
      <c r="H92" s="1293" t="s">
        <v>88</v>
      </c>
      <c r="I92" s="1293" t="s">
        <v>218</v>
      </c>
      <c r="J92" s="1293" t="s">
        <v>187</v>
      </c>
      <c r="K92" s="1293" t="s">
        <v>1736</v>
      </c>
      <c r="L92" s="1292" t="s">
        <v>672</v>
      </c>
      <c r="M92" s="1294">
        <v>8.76106996E8</v>
      </c>
      <c r="N92" s="1294">
        <v>8.76106996E8</v>
      </c>
      <c r="O92" s="1294">
        <v>8.76106996E8</v>
      </c>
      <c r="P92" s="1294">
        <v>8.76106996E8</v>
      </c>
      <c r="Q92" s="1294">
        <v>8.76106996E8</v>
      </c>
      <c r="R92" s="1294">
        <v>8.76106996E8</v>
      </c>
      <c r="S92" s="1294">
        <v>8.76106996E8</v>
      </c>
      <c r="T92" s="1294">
        <v>8.76106996E8</v>
      </c>
      <c r="U92" s="1294">
        <v>8.76106996E8</v>
      </c>
      <c r="V92" s="1294">
        <v>8.76106996E8</v>
      </c>
      <c r="W92" s="1294">
        <v>8.76106996E8</v>
      </c>
      <c r="X92" s="1294">
        <v>8.76106996E8</v>
      </c>
      <c r="Y92" s="725">
        <v>1.0513283952E10</v>
      </c>
    </row>
    <row r="93">
      <c r="A93" s="126"/>
      <c r="B93" s="185"/>
      <c r="C93" s="196">
        <v>6.0</v>
      </c>
      <c r="D93" s="354" t="s">
        <v>698</v>
      </c>
      <c r="E93" s="198" t="s">
        <v>1776</v>
      </c>
      <c r="F93" s="1293" t="s">
        <v>186</v>
      </c>
      <c r="G93" s="1293" t="s">
        <v>305</v>
      </c>
      <c r="H93" s="1293" t="s">
        <v>92</v>
      </c>
      <c r="I93" s="1293" t="s">
        <v>306</v>
      </c>
      <c r="J93" s="1293" t="s">
        <v>187</v>
      </c>
      <c r="K93" s="1293" t="s">
        <v>1736</v>
      </c>
      <c r="L93" s="1292" t="s">
        <v>672</v>
      </c>
      <c r="M93" s="1294">
        <v>1.23041518E8</v>
      </c>
      <c r="N93" s="1294">
        <v>1.23041518E8</v>
      </c>
      <c r="O93" s="1294">
        <v>1.23041518E8</v>
      </c>
      <c r="P93" s="1294">
        <v>1.23041518E8</v>
      </c>
      <c r="Q93" s="1294">
        <v>1.23041518E8</v>
      </c>
      <c r="R93" s="1294">
        <v>1.23041518E8</v>
      </c>
      <c r="S93" s="1294">
        <v>1.23041518E8</v>
      </c>
      <c r="T93" s="1294">
        <v>1.23041518E8</v>
      </c>
      <c r="U93" s="1294">
        <v>1.23041518E8</v>
      </c>
      <c r="V93" s="1294">
        <v>1.23041518E8</v>
      </c>
      <c r="W93" s="1294">
        <v>1.23041518E8</v>
      </c>
      <c r="X93" s="1294">
        <v>1.23041518E8</v>
      </c>
      <c r="Y93" s="725">
        <v>1.476498218E9</v>
      </c>
    </row>
    <row r="94">
      <c r="A94" s="126"/>
      <c r="B94" s="185"/>
      <c r="C94" s="196">
        <v>7.0</v>
      </c>
      <c r="D94" s="354" t="s">
        <v>703</v>
      </c>
      <c r="E94" s="198" t="s">
        <v>1777</v>
      </c>
      <c r="F94" s="1293" t="s">
        <v>186</v>
      </c>
      <c r="G94" s="1293" t="s">
        <v>305</v>
      </c>
      <c r="H94" s="1293" t="s">
        <v>92</v>
      </c>
      <c r="I94" s="1293" t="s">
        <v>306</v>
      </c>
      <c r="J94" s="1293" t="s">
        <v>187</v>
      </c>
      <c r="K94" s="1293" t="s">
        <v>1736</v>
      </c>
      <c r="L94" s="1292" t="s">
        <v>672</v>
      </c>
      <c r="M94" s="1294">
        <v>1.53786071E8</v>
      </c>
      <c r="N94" s="1294">
        <v>1.53786071E8</v>
      </c>
      <c r="O94" s="1294">
        <v>1.53786071E8</v>
      </c>
      <c r="P94" s="1294">
        <v>1.53786071E8</v>
      </c>
      <c r="Q94" s="1294">
        <v>1.53786071E8</v>
      </c>
      <c r="R94" s="1294">
        <v>1.53786071E8</v>
      </c>
      <c r="S94" s="1294">
        <v>1.53786071E8</v>
      </c>
      <c r="T94" s="1294">
        <v>1.53786071E8</v>
      </c>
      <c r="U94" s="1294">
        <v>1.53786071E8</v>
      </c>
      <c r="V94" s="1294">
        <v>1.53786071E8</v>
      </c>
      <c r="W94" s="1294">
        <v>1.53786071E8</v>
      </c>
      <c r="X94" s="1294">
        <v>1.53786071E8</v>
      </c>
      <c r="Y94" s="725">
        <v>1.845432852E9</v>
      </c>
    </row>
    <row r="95">
      <c r="A95" s="126"/>
      <c r="B95" s="185"/>
      <c r="C95" s="196">
        <v>8.0</v>
      </c>
      <c r="D95" s="354" t="s">
        <v>707</v>
      </c>
      <c r="E95" s="198" t="s">
        <v>1778</v>
      </c>
      <c r="F95" s="1293" t="s">
        <v>186</v>
      </c>
      <c r="G95" s="1293" t="s">
        <v>103</v>
      </c>
      <c r="H95" s="1293" t="s">
        <v>86</v>
      </c>
      <c r="I95" s="1293" t="s">
        <v>86</v>
      </c>
      <c r="J95" s="1293" t="s">
        <v>187</v>
      </c>
      <c r="K95" s="1293" t="s">
        <v>1736</v>
      </c>
      <c r="L95" s="1292" t="s">
        <v>672</v>
      </c>
      <c r="M95" s="1294">
        <v>7.5833333E7</v>
      </c>
      <c r="N95" s="1294">
        <v>7.5833333E7</v>
      </c>
      <c r="O95" s="1294">
        <v>7.5833333E7</v>
      </c>
      <c r="P95" s="1294">
        <v>7.5833333E7</v>
      </c>
      <c r="Q95" s="1294">
        <v>7.5833333E7</v>
      </c>
      <c r="R95" s="1294">
        <v>7.5833333E7</v>
      </c>
      <c r="S95" s="1294">
        <v>7.5833333E7</v>
      </c>
      <c r="T95" s="1294">
        <v>7.5833333E7</v>
      </c>
      <c r="U95" s="1294">
        <v>7.5833333E7</v>
      </c>
      <c r="V95" s="1294">
        <v>7.5833333E7</v>
      </c>
      <c r="W95" s="1294">
        <v>7.5833333E7</v>
      </c>
      <c r="X95" s="1294">
        <v>7.5833333E7</v>
      </c>
      <c r="Y95" s="725">
        <v>9.09999996E8</v>
      </c>
    </row>
    <row r="96">
      <c r="A96" s="126"/>
      <c r="B96" s="1096"/>
      <c r="C96" s="694">
        <v>9.0</v>
      </c>
      <c r="D96" s="695" t="s">
        <v>712</v>
      </c>
      <c r="E96" s="198" t="s">
        <v>1779</v>
      </c>
      <c r="F96" s="1293" t="s">
        <v>326</v>
      </c>
      <c r="G96" s="1293" t="s">
        <v>103</v>
      </c>
      <c r="H96" s="1293" t="s">
        <v>84</v>
      </c>
      <c r="I96" s="1293" t="s">
        <v>84</v>
      </c>
      <c r="J96" s="1293" t="s">
        <v>187</v>
      </c>
      <c r="K96" s="1293" t="s">
        <v>1736</v>
      </c>
      <c r="L96" s="1292" t="s">
        <v>672</v>
      </c>
      <c r="M96" s="1294">
        <v>1.1289606E8</v>
      </c>
      <c r="N96" s="1294">
        <v>1.1289606E8</v>
      </c>
      <c r="O96" s="1294">
        <v>1.1289606E8</v>
      </c>
      <c r="P96" s="1294">
        <v>1.1289606E8</v>
      </c>
      <c r="Q96" s="1294">
        <v>1.1289606E8</v>
      </c>
      <c r="R96" s="1294">
        <v>1.1289606E8</v>
      </c>
      <c r="S96" s="1294">
        <v>1.1289606E8</v>
      </c>
      <c r="T96" s="1294">
        <v>1.1289606E8</v>
      </c>
      <c r="U96" s="1294">
        <v>1.1289606E8</v>
      </c>
      <c r="V96" s="1294">
        <v>1.1289606E8</v>
      </c>
      <c r="W96" s="1294">
        <v>1.1289606E8</v>
      </c>
      <c r="X96" s="1294">
        <v>1.1289606E8</v>
      </c>
      <c r="Y96" s="725">
        <v>1.35475272E9</v>
      </c>
    </row>
    <row r="97">
      <c r="A97" s="126"/>
      <c r="B97" s="1316"/>
      <c r="C97" s="433">
        <v>10.0</v>
      </c>
      <c r="D97" s="704" t="s">
        <v>716</v>
      </c>
      <c r="E97" s="1310"/>
      <c r="F97" s="1291"/>
      <c r="G97" s="1291"/>
      <c r="H97" s="1291"/>
      <c r="I97" s="1291"/>
      <c r="J97" s="1291"/>
      <c r="K97" s="1291"/>
      <c r="L97" s="1288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  <c r="X97" s="754"/>
      <c r="Y97" s="754"/>
    </row>
    <row r="98">
      <c r="B98" s="1306"/>
      <c r="C98" s="433">
        <v>11.0</v>
      </c>
      <c r="D98" s="603" t="s">
        <v>722</v>
      </c>
      <c r="E98" s="1317"/>
      <c r="F98" s="1293"/>
      <c r="G98" s="1293"/>
      <c r="H98" s="1293"/>
      <c r="I98" s="1293"/>
      <c r="J98" s="1293"/>
      <c r="K98" s="1293"/>
      <c r="L98" s="1292" t="s">
        <v>730</v>
      </c>
      <c r="M98" s="1300"/>
      <c r="N98" s="1300"/>
      <c r="O98" s="1300"/>
      <c r="P98" s="1300"/>
      <c r="Q98" s="1300"/>
      <c r="R98" s="1300"/>
      <c r="S98" s="1294"/>
      <c r="T98" s="1294"/>
      <c r="U98" s="1294"/>
      <c r="V98" s="1294"/>
      <c r="W98" s="1294"/>
      <c r="X98" s="1294"/>
      <c r="Y98" s="725"/>
    </row>
    <row r="99">
      <c r="A99" s="126"/>
      <c r="B99" s="1313">
        <v>13.0</v>
      </c>
      <c r="C99" s="329" t="s">
        <v>42</v>
      </c>
      <c r="D99" s="724"/>
      <c r="E99" s="1302"/>
      <c r="F99" s="1291"/>
      <c r="G99" s="1291"/>
      <c r="H99" s="1291"/>
      <c r="I99" s="1291"/>
      <c r="J99" s="1291"/>
      <c r="K99" s="1291"/>
      <c r="L99" s="1292" t="s">
        <v>735</v>
      </c>
      <c r="M99" s="1289">
        <f t="shared" ref="M99:Y99" si="15">SUM(M100:M199)</f>
        <v>73061456572</v>
      </c>
      <c r="N99" s="1289">
        <f t="shared" si="15"/>
        <v>72488737221</v>
      </c>
      <c r="O99" s="1289">
        <f t="shared" si="15"/>
        <v>73829695111</v>
      </c>
      <c r="P99" s="1289">
        <f t="shared" si="15"/>
        <v>66099229180</v>
      </c>
      <c r="Q99" s="1289">
        <f t="shared" si="15"/>
        <v>66488541092</v>
      </c>
      <c r="R99" s="1289">
        <f t="shared" si="15"/>
        <v>71391659174</v>
      </c>
      <c r="S99" s="1289">
        <f t="shared" si="15"/>
        <v>71172133737</v>
      </c>
      <c r="T99" s="1289">
        <f t="shared" si="15"/>
        <v>72006887572</v>
      </c>
      <c r="U99" s="1289">
        <f t="shared" si="15"/>
        <v>66192856409</v>
      </c>
      <c r="V99" s="1289">
        <f t="shared" si="15"/>
        <v>65902720906</v>
      </c>
      <c r="W99" s="1289">
        <f t="shared" si="15"/>
        <v>66142856410</v>
      </c>
      <c r="X99" s="1289">
        <f t="shared" si="15"/>
        <v>72219387574</v>
      </c>
      <c r="Y99" s="1289">
        <f t="shared" si="15"/>
        <v>836996160944</v>
      </c>
    </row>
    <row r="100">
      <c r="A100" s="126"/>
      <c r="B100" s="185"/>
      <c r="C100" s="196">
        <v>1.0</v>
      </c>
      <c r="D100" s="354" t="s">
        <v>736</v>
      </c>
      <c r="E100" s="198" t="s">
        <v>1780</v>
      </c>
      <c r="F100" s="1293" t="s">
        <v>186</v>
      </c>
      <c r="G100" s="1293" t="s">
        <v>103</v>
      </c>
      <c r="H100" s="1293" t="s">
        <v>86</v>
      </c>
      <c r="I100" s="1293" t="s">
        <v>86</v>
      </c>
      <c r="J100" s="1293" t="s">
        <v>187</v>
      </c>
      <c r="K100" s="1293" t="s">
        <v>1736</v>
      </c>
      <c r="L100" s="1292" t="s">
        <v>735</v>
      </c>
      <c r="M100" s="1294">
        <v>1.3727795797E10</v>
      </c>
      <c r="N100" s="1294">
        <v>1.3727795797E10</v>
      </c>
      <c r="O100" s="1294">
        <v>1.3727795797E10</v>
      </c>
      <c r="P100" s="1294">
        <v>1.3727795797E10</v>
      </c>
      <c r="Q100" s="1294">
        <v>1.3727795797E10</v>
      </c>
      <c r="R100" s="1294">
        <v>1.3727795797E10</v>
      </c>
      <c r="S100" s="1294">
        <v>1.3727795797E10</v>
      </c>
      <c r="T100" s="1294">
        <v>1.3727795797E10</v>
      </c>
      <c r="U100" s="1294">
        <v>1.3727795797E10</v>
      </c>
      <c r="V100" s="1294">
        <v>1.3727795797E10</v>
      </c>
      <c r="W100" s="1294">
        <v>1.3727795797E10</v>
      </c>
      <c r="X100" s="1294">
        <v>1.3727795797E10</v>
      </c>
      <c r="Y100" s="725">
        <v>1.64733549564E11</v>
      </c>
    </row>
    <row r="101">
      <c r="A101" s="126"/>
      <c r="B101" s="185"/>
      <c r="C101" s="196">
        <v>2.0</v>
      </c>
      <c r="D101" s="197" t="s">
        <v>745</v>
      </c>
      <c r="E101" s="198" t="s">
        <v>745</v>
      </c>
      <c r="F101" s="1293" t="s">
        <v>186</v>
      </c>
      <c r="G101" s="1293" t="s">
        <v>103</v>
      </c>
      <c r="H101" s="1293" t="s">
        <v>86</v>
      </c>
      <c r="I101" s="1293" t="s">
        <v>86</v>
      </c>
      <c r="J101" s="1293" t="s">
        <v>366</v>
      </c>
      <c r="K101" s="1293" t="s">
        <v>1747</v>
      </c>
      <c r="L101" s="1292" t="s">
        <v>735</v>
      </c>
      <c r="M101" s="1294">
        <v>1.80581803E8</v>
      </c>
      <c r="N101" s="1294">
        <v>1.80581803E8</v>
      </c>
      <c r="O101" s="1294">
        <v>1.80581803E8</v>
      </c>
      <c r="P101" s="1294">
        <v>1.80581803E8</v>
      </c>
      <c r="Q101" s="1294">
        <v>1.80581803E8</v>
      </c>
      <c r="R101" s="1294">
        <v>1.80581803E8</v>
      </c>
      <c r="S101" s="1294">
        <v>1.80581803E8</v>
      </c>
      <c r="T101" s="1294">
        <v>1.80581803E8</v>
      </c>
      <c r="U101" s="1294">
        <v>1.80581803E8</v>
      </c>
      <c r="V101" s="1294">
        <v>1.80581803E8</v>
      </c>
      <c r="W101" s="1294">
        <v>1.80581803E8</v>
      </c>
      <c r="X101" s="1294">
        <v>1.80581803E8</v>
      </c>
      <c r="Y101" s="725">
        <v>2.166981632E9</v>
      </c>
    </row>
    <row r="102">
      <c r="A102" s="126"/>
      <c r="B102" s="185"/>
      <c r="C102" s="196">
        <v>3.0</v>
      </c>
      <c r="D102" s="197" t="s">
        <v>751</v>
      </c>
      <c r="E102" s="198" t="s">
        <v>751</v>
      </c>
      <c r="F102" s="1293" t="s">
        <v>186</v>
      </c>
      <c r="G102" s="1293" t="s">
        <v>103</v>
      </c>
      <c r="H102" s="1293" t="s">
        <v>86</v>
      </c>
      <c r="I102" s="1293" t="s">
        <v>86</v>
      </c>
      <c r="J102" s="1293" t="s">
        <v>752</v>
      </c>
      <c r="K102" s="1293" t="s">
        <v>1747</v>
      </c>
      <c r="L102" s="1292" t="s">
        <v>735</v>
      </c>
      <c r="M102" s="1294">
        <v>1.68918778E8</v>
      </c>
      <c r="N102" s="1294">
        <v>1.68918778E8</v>
      </c>
      <c r="O102" s="1294">
        <v>1.68918778E8</v>
      </c>
      <c r="P102" s="1294">
        <v>1.68918778E8</v>
      </c>
      <c r="Q102" s="1294">
        <v>1.68918778E8</v>
      </c>
      <c r="R102" s="1294">
        <v>1.68918778E8</v>
      </c>
      <c r="S102" s="1294">
        <v>1.68918778E8</v>
      </c>
      <c r="T102" s="1294">
        <v>1.68918778E8</v>
      </c>
      <c r="U102" s="1294">
        <v>1.68918778E8</v>
      </c>
      <c r="V102" s="1294">
        <v>1.68918778E8</v>
      </c>
      <c r="W102" s="1294">
        <v>1.68918778E8</v>
      </c>
      <c r="X102" s="1294">
        <v>1.68918778E8</v>
      </c>
      <c r="Y102" s="725">
        <v>2.027025336E9</v>
      </c>
    </row>
    <row r="103">
      <c r="A103" s="126" t="s">
        <v>756</v>
      </c>
      <c r="B103" s="1318"/>
      <c r="C103" s="196">
        <v>4.0</v>
      </c>
      <c r="D103" s="354" t="s">
        <v>757</v>
      </c>
      <c r="E103" s="198" t="s">
        <v>1781</v>
      </c>
      <c r="F103" s="1293" t="s">
        <v>186</v>
      </c>
      <c r="G103" s="1293" t="s">
        <v>103</v>
      </c>
      <c r="H103" s="1293" t="s">
        <v>86</v>
      </c>
      <c r="I103" s="1293" t="s">
        <v>86</v>
      </c>
      <c r="J103" s="1293" t="s">
        <v>253</v>
      </c>
      <c r="K103" s="1293" t="s">
        <v>1739</v>
      </c>
      <c r="L103" s="1292" t="s">
        <v>735</v>
      </c>
      <c r="M103" s="1294">
        <v>5.67980744E8</v>
      </c>
      <c r="N103" s="1294">
        <v>5.67980744E8</v>
      </c>
      <c r="O103" s="1294">
        <v>5.67980744E8</v>
      </c>
      <c r="P103" s="1294">
        <v>5.67980744E8</v>
      </c>
      <c r="Q103" s="1294">
        <v>5.67980744E8</v>
      </c>
      <c r="R103" s="1294">
        <v>5.67980744E8</v>
      </c>
      <c r="S103" s="1294">
        <v>5.67980744E8</v>
      </c>
      <c r="T103" s="1294">
        <v>5.67980744E8</v>
      </c>
      <c r="U103" s="1294">
        <v>5.67980744E8</v>
      </c>
      <c r="V103" s="1294">
        <v>5.67980744E8</v>
      </c>
      <c r="W103" s="1294">
        <v>5.67980744E8</v>
      </c>
      <c r="X103" s="1294">
        <v>5.67980744E8</v>
      </c>
      <c r="Y103" s="725">
        <v>6.815768932E9</v>
      </c>
    </row>
    <row r="104">
      <c r="A104" s="126"/>
      <c r="B104" s="185"/>
      <c r="C104" s="196">
        <v>5.0</v>
      </c>
      <c r="D104" s="730" t="s">
        <v>763</v>
      </c>
      <c r="E104" s="198" t="s">
        <v>1782</v>
      </c>
      <c r="F104" s="1293" t="s">
        <v>186</v>
      </c>
      <c r="G104" s="1293" t="s">
        <v>103</v>
      </c>
      <c r="H104" s="1293" t="s">
        <v>132</v>
      </c>
      <c r="I104" s="1293" t="s">
        <v>132</v>
      </c>
      <c r="J104" s="1293" t="s">
        <v>253</v>
      </c>
      <c r="K104" s="1293" t="s">
        <v>1739</v>
      </c>
      <c r="L104" s="1292" t="s">
        <v>735</v>
      </c>
      <c r="M104" s="1294">
        <v>3.1438889E8</v>
      </c>
      <c r="N104" s="1294">
        <v>2.94105736E8</v>
      </c>
      <c r="O104" s="1294">
        <v>3.1438889E8</v>
      </c>
      <c r="P104" s="1294">
        <v>3.04247313E8</v>
      </c>
      <c r="Q104" s="1294">
        <v>3.1438889E8</v>
      </c>
      <c r="R104" s="1294">
        <v>3.1438889E8</v>
      </c>
      <c r="S104" s="1294">
        <v>3.1438889E8</v>
      </c>
      <c r="T104" s="1294">
        <v>3.1438889E8</v>
      </c>
      <c r="U104" s="1294">
        <v>3.04247313E8</v>
      </c>
      <c r="V104" s="1294">
        <v>3.1438889E8</v>
      </c>
      <c r="W104" s="1294">
        <v>3.04247313E8</v>
      </c>
      <c r="X104" s="1294">
        <v>3.1438889E8</v>
      </c>
      <c r="Y104" s="725">
        <v>3.721958796E9</v>
      </c>
    </row>
    <row r="105">
      <c r="A105" s="126"/>
      <c r="B105" s="185"/>
      <c r="C105" s="196">
        <v>6.0</v>
      </c>
      <c r="D105" s="184" t="s">
        <v>770</v>
      </c>
      <c r="E105" s="198" t="s">
        <v>1783</v>
      </c>
      <c r="F105" s="1293" t="s">
        <v>186</v>
      </c>
      <c r="G105" s="1293" t="s">
        <v>98</v>
      </c>
      <c r="H105" s="1293" t="s">
        <v>98</v>
      </c>
      <c r="I105" s="1293" t="s">
        <v>771</v>
      </c>
      <c r="J105" s="1293" t="s">
        <v>253</v>
      </c>
      <c r="K105" s="1293" t="s">
        <v>1739</v>
      </c>
      <c r="L105" s="1292" t="s">
        <v>735</v>
      </c>
      <c r="M105" s="1294">
        <v>3.6382455E7</v>
      </c>
      <c r="N105" s="1294">
        <v>3.6382455E7</v>
      </c>
      <c r="O105" s="1294">
        <v>3.6382455E7</v>
      </c>
      <c r="P105" s="1294">
        <v>3.6382455E7</v>
      </c>
      <c r="Q105" s="1294">
        <v>3.6382455E7</v>
      </c>
      <c r="R105" s="1294">
        <v>3.6382455E7</v>
      </c>
      <c r="S105" s="1294">
        <v>3.6382455E7</v>
      </c>
      <c r="T105" s="1294">
        <v>3.6382455E7</v>
      </c>
      <c r="U105" s="1294">
        <v>3.6382455E7</v>
      </c>
      <c r="V105" s="1294">
        <v>3.6382455E7</v>
      </c>
      <c r="W105" s="1294">
        <v>3.6382455E7</v>
      </c>
      <c r="X105" s="1294">
        <v>3.6382455E7</v>
      </c>
      <c r="Y105" s="725">
        <v>4.36589462E8</v>
      </c>
    </row>
    <row r="106">
      <c r="A106" s="126"/>
      <c r="B106" s="185"/>
      <c r="C106" s="196">
        <v>7.0</v>
      </c>
      <c r="D106" s="184" t="s">
        <v>770</v>
      </c>
      <c r="E106" s="198" t="s">
        <v>1783</v>
      </c>
      <c r="F106" s="1293" t="s">
        <v>186</v>
      </c>
      <c r="G106" s="1293" t="s">
        <v>98</v>
      </c>
      <c r="H106" s="1293" t="s">
        <v>98</v>
      </c>
      <c r="I106" s="1293" t="s">
        <v>771</v>
      </c>
      <c r="J106" s="1293" t="s">
        <v>187</v>
      </c>
      <c r="K106" s="1293" t="s">
        <v>1736</v>
      </c>
      <c r="L106" s="1292" t="s">
        <v>735</v>
      </c>
      <c r="M106" s="1294">
        <v>3.2340778E7</v>
      </c>
      <c r="N106" s="1294">
        <v>3.2340778E7</v>
      </c>
      <c r="O106" s="1294">
        <v>3.2340778E7</v>
      </c>
      <c r="P106" s="1294">
        <v>3.2340778E7</v>
      </c>
      <c r="Q106" s="1294">
        <v>3.2340778E7</v>
      </c>
      <c r="R106" s="1294">
        <v>3.2340778E7</v>
      </c>
      <c r="S106" s="1294">
        <v>3.2340778E7</v>
      </c>
      <c r="T106" s="1294">
        <v>3.2340778E7</v>
      </c>
      <c r="U106" s="1294">
        <v>3.2340778E7</v>
      </c>
      <c r="V106" s="1294">
        <v>3.2340778E7</v>
      </c>
      <c r="W106" s="1294">
        <v>3.2340778E7</v>
      </c>
      <c r="X106" s="1294">
        <v>3.2340778E7</v>
      </c>
      <c r="Y106" s="725">
        <v>3.88089331E8</v>
      </c>
    </row>
    <row r="107">
      <c r="A107" s="126" t="s">
        <v>756</v>
      </c>
      <c r="B107" s="185"/>
      <c r="C107" s="196">
        <v>8.0</v>
      </c>
      <c r="D107" s="354" t="s">
        <v>777</v>
      </c>
      <c r="E107" s="198" t="s">
        <v>1784</v>
      </c>
      <c r="F107" s="1293" t="s">
        <v>186</v>
      </c>
      <c r="G107" s="1293" t="s">
        <v>135</v>
      </c>
      <c r="H107" s="1293" t="s">
        <v>135</v>
      </c>
      <c r="I107" s="1293" t="s">
        <v>203</v>
      </c>
      <c r="J107" s="1293" t="s">
        <v>366</v>
      </c>
      <c r="K107" s="1293" t="s">
        <v>1747</v>
      </c>
      <c r="L107" s="1292" t="s">
        <v>735</v>
      </c>
      <c r="M107" s="1294">
        <v>4.201633098E9</v>
      </c>
      <c r="N107" s="1294">
        <v>4.201633098E9</v>
      </c>
      <c r="O107" s="1294">
        <v>4.201633098E9</v>
      </c>
      <c r="P107" s="1294">
        <v>4.201633098E9</v>
      </c>
      <c r="Q107" s="1294">
        <v>4.201633098E9</v>
      </c>
      <c r="R107" s="1294">
        <v>4.201633098E9</v>
      </c>
      <c r="S107" s="1294">
        <v>4.201633098E9</v>
      </c>
      <c r="T107" s="1294">
        <v>4.201633098E9</v>
      </c>
      <c r="U107" s="1294">
        <v>4.201633098E9</v>
      </c>
      <c r="V107" s="1294">
        <v>4.201633098E9</v>
      </c>
      <c r="W107" s="1294">
        <v>4.201633098E9</v>
      </c>
      <c r="X107" s="1294">
        <v>4.201633098E9</v>
      </c>
      <c r="Y107" s="725">
        <v>5.0419597176E10</v>
      </c>
    </row>
    <row r="108">
      <c r="A108" s="126"/>
      <c r="B108" s="185"/>
      <c r="C108" s="196">
        <v>9.0</v>
      </c>
      <c r="D108" s="354" t="s">
        <v>801</v>
      </c>
      <c r="E108" s="198" t="s">
        <v>1785</v>
      </c>
      <c r="F108" s="1293" t="s">
        <v>186</v>
      </c>
      <c r="G108" s="1293" t="s">
        <v>88</v>
      </c>
      <c r="H108" s="1293" t="s">
        <v>88</v>
      </c>
      <c r="I108" s="1293" t="s">
        <v>218</v>
      </c>
      <c r="J108" s="1293" t="s">
        <v>187</v>
      </c>
      <c r="K108" s="1293" t="s">
        <v>1736</v>
      </c>
      <c r="L108" s="1292" t="s">
        <v>735</v>
      </c>
      <c r="M108" s="1294">
        <v>1.1910380209E10</v>
      </c>
      <c r="N108" s="1294">
        <v>1.1910380209E10</v>
      </c>
      <c r="O108" s="1294">
        <v>1.1910380209E10</v>
      </c>
      <c r="P108" s="1294">
        <v>1.1910380209E10</v>
      </c>
      <c r="Q108" s="1294">
        <v>1.1910380209E10</v>
      </c>
      <c r="R108" s="1294">
        <v>1.1910380209E10</v>
      </c>
      <c r="S108" s="1294">
        <v>1.1910380209E10</v>
      </c>
      <c r="T108" s="1294">
        <v>1.1910380209E10</v>
      </c>
      <c r="U108" s="1294">
        <v>1.1910380209E10</v>
      </c>
      <c r="V108" s="1294">
        <v>1.1910380209E10</v>
      </c>
      <c r="W108" s="1294">
        <v>1.1910380209E10</v>
      </c>
      <c r="X108" s="1294">
        <v>1.1910380209E10</v>
      </c>
      <c r="Y108" s="725">
        <v>1.42924562508E11</v>
      </c>
    </row>
    <row r="109">
      <c r="A109" s="126" t="s">
        <v>756</v>
      </c>
      <c r="B109" s="185"/>
      <c r="C109" s="196">
        <v>10.0</v>
      </c>
      <c r="D109" s="197" t="s">
        <v>794</v>
      </c>
      <c r="E109" s="198" t="s">
        <v>794</v>
      </c>
      <c r="F109" s="1293" t="s">
        <v>186</v>
      </c>
      <c r="G109" s="1293" t="s">
        <v>88</v>
      </c>
      <c r="H109" s="1293" t="s">
        <v>88</v>
      </c>
      <c r="I109" s="1293" t="s">
        <v>218</v>
      </c>
      <c r="J109" s="1293" t="s">
        <v>253</v>
      </c>
      <c r="K109" s="1293" t="s">
        <v>1739</v>
      </c>
      <c r="L109" s="1292" t="s">
        <v>735</v>
      </c>
      <c r="M109" s="1294">
        <v>8.48209282E8</v>
      </c>
      <c r="N109" s="1294">
        <v>8.48209282E8</v>
      </c>
      <c r="O109" s="1294">
        <v>8.48209282E8</v>
      </c>
      <c r="P109" s="1294">
        <v>8.48209282E8</v>
      </c>
      <c r="Q109" s="1294">
        <v>8.48209282E8</v>
      </c>
      <c r="R109" s="1294">
        <v>8.48209282E8</v>
      </c>
      <c r="S109" s="1294">
        <v>8.48209282E8</v>
      </c>
      <c r="T109" s="1294">
        <v>8.48209282E8</v>
      </c>
      <c r="U109" s="1294">
        <v>8.48209282E8</v>
      </c>
      <c r="V109" s="1294">
        <v>8.48209282E8</v>
      </c>
      <c r="W109" s="1294">
        <v>8.48209282E8</v>
      </c>
      <c r="X109" s="1294">
        <v>8.48209282E8</v>
      </c>
      <c r="Y109" s="725">
        <v>1.0178511384E10</v>
      </c>
    </row>
    <row r="110">
      <c r="A110" s="126"/>
      <c r="B110" s="185"/>
      <c r="C110" s="196">
        <v>11.0</v>
      </c>
      <c r="D110" s="197" t="s">
        <v>808</v>
      </c>
      <c r="E110" s="198" t="s">
        <v>1786</v>
      </c>
      <c r="F110" s="1293" t="s">
        <v>186</v>
      </c>
      <c r="G110" s="1293" t="s">
        <v>88</v>
      </c>
      <c r="H110" s="1293" t="s">
        <v>88</v>
      </c>
      <c r="I110" s="1293" t="s">
        <v>218</v>
      </c>
      <c r="J110" s="1293" t="s">
        <v>253</v>
      </c>
      <c r="K110" s="1293" t="s">
        <v>1739</v>
      </c>
      <c r="L110" s="1292" t="s">
        <v>735</v>
      </c>
      <c r="M110" s="1294">
        <v>8.83370513E8</v>
      </c>
      <c r="N110" s="1294">
        <v>8.83370513E8</v>
      </c>
      <c r="O110" s="1294">
        <v>8.83370513E8</v>
      </c>
      <c r="P110" s="1294">
        <v>8.83370513E8</v>
      </c>
      <c r="Q110" s="1294">
        <v>8.83370513E8</v>
      </c>
      <c r="R110" s="1294">
        <v>8.83370513E8</v>
      </c>
      <c r="S110" s="1294">
        <v>8.83370513E8</v>
      </c>
      <c r="T110" s="1294">
        <v>8.83370513E8</v>
      </c>
      <c r="U110" s="1294">
        <v>8.83370513E8</v>
      </c>
      <c r="V110" s="1294">
        <v>8.83370513E8</v>
      </c>
      <c r="W110" s="1294">
        <v>8.83370513E8</v>
      </c>
      <c r="X110" s="1294">
        <v>8.83370513E8</v>
      </c>
      <c r="Y110" s="725">
        <v>1.0600446156E10</v>
      </c>
    </row>
    <row r="111">
      <c r="A111" s="126"/>
      <c r="B111" s="185"/>
      <c r="C111" s="196">
        <v>12.0</v>
      </c>
      <c r="D111" s="197" t="s">
        <v>813</v>
      </c>
      <c r="E111" s="198" t="s">
        <v>813</v>
      </c>
      <c r="F111" s="1293" t="s">
        <v>186</v>
      </c>
      <c r="G111" s="1293" t="s">
        <v>88</v>
      </c>
      <c r="H111" s="1293" t="s">
        <v>88</v>
      </c>
      <c r="I111" s="1293" t="s">
        <v>218</v>
      </c>
      <c r="J111" s="1293" t="s">
        <v>253</v>
      </c>
      <c r="K111" s="1293" t="s">
        <v>1739</v>
      </c>
      <c r="L111" s="1292" t="s">
        <v>735</v>
      </c>
      <c r="M111" s="1294">
        <v>1.55584013E8</v>
      </c>
      <c r="N111" s="1294">
        <v>1.55584013E8</v>
      </c>
      <c r="O111" s="1294">
        <v>1.55584013E8</v>
      </c>
      <c r="P111" s="1294">
        <v>1.55584013E8</v>
      </c>
      <c r="Q111" s="1294">
        <v>1.55584013E8</v>
      </c>
      <c r="R111" s="1294">
        <v>1.55584013E8</v>
      </c>
      <c r="S111" s="1294">
        <v>1.55584013E8</v>
      </c>
      <c r="T111" s="1294">
        <v>1.55584013E8</v>
      </c>
      <c r="U111" s="1294">
        <v>1.55584013E8</v>
      </c>
      <c r="V111" s="1294">
        <v>1.55584013E8</v>
      </c>
      <c r="W111" s="1294">
        <v>1.55584013E8</v>
      </c>
      <c r="X111" s="1294">
        <v>1.55584013E8</v>
      </c>
      <c r="Y111" s="725">
        <v>1.867008156E9</v>
      </c>
    </row>
    <row r="112">
      <c r="A112" s="126"/>
      <c r="B112" s="185"/>
      <c r="C112" s="196">
        <v>13.0</v>
      </c>
      <c r="D112" s="354" t="s">
        <v>817</v>
      </c>
      <c r="E112" s="198" t="s">
        <v>1787</v>
      </c>
      <c r="F112" s="1293" t="s">
        <v>186</v>
      </c>
      <c r="G112" s="1293" t="s">
        <v>135</v>
      </c>
      <c r="H112" s="1293" t="s">
        <v>135</v>
      </c>
      <c r="I112" s="1293" t="s">
        <v>203</v>
      </c>
      <c r="J112" s="1293" t="s">
        <v>187</v>
      </c>
      <c r="K112" s="1293" t="s">
        <v>1736</v>
      </c>
      <c r="L112" s="1292" t="s">
        <v>735</v>
      </c>
      <c r="M112" s="1294">
        <v>1.91649388E8</v>
      </c>
      <c r="N112" s="1294">
        <v>1.91649388E8</v>
      </c>
      <c r="O112" s="1294">
        <v>1.91649388E8</v>
      </c>
      <c r="P112" s="1294">
        <v>1.91649388E8</v>
      </c>
      <c r="Q112" s="1294">
        <v>1.91649388E8</v>
      </c>
      <c r="R112" s="1294">
        <v>1.91649388E8</v>
      </c>
      <c r="S112" s="1294">
        <v>1.91649388E8</v>
      </c>
      <c r="T112" s="1294">
        <v>1.91649388E8</v>
      </c>
      <c r="U112" s="1294">
        <v>1.91649388E8</v>
      </c>
      <c r="V112" s="1294">
        <v>1.91649388E8</v>
      </c>
      <c r="W112" s="1294">
        <v>1.91649388E8</v>
      </c>
      <c r="X112" s="1294">
        <v>1.91649388E8</v>
      </c>
      <c r="Y112" s="725">
        <v>2.299792652E9</v>
      </c>
    </row>
    <row r="113">
      <c r="A113" s="126"/>
      <c r="B113" s="185"/>
      <c r="C113" s="196">
        <v>14.0</v>
      </c>
      <c r="D113" s="354" t="s">
        <v>824</v>
      </c>
      <c r="E113" s="198" t="s">
        <v>1788</v>
      </c>
      <c r="F113" s="1293" t="s">
        <v>186</v>
      </c>
      <c r="G113" s="1293" t="s">
        <v>135</v>
      </c>
      <c r="H113" s="1293" t="s">
        <v>135</v>
      </c>
      <c r="I113" s="1293" t="s">
        <v>203</v>
      </c>
      <c r="J113" s="1293" t="s">
        <v>187</v>
      </c>
      <c r="K113" s="1293" t="s">
        <v>1736</v>
      </c>
      <c r="L113" s="1292" t="s">
        <v>735</v>
      </c>
      <c r="M113" s="1294">
        <v>1.84002593E8</v>
      </c>
      <c r="N113" s="1294">
        <v>1.84002593E8</v>
      </c>
      <c r="O113" s="1294">
        <v>1.84002593E8</v>
      </c>
      <c r="P113" s="1294">
        <v>1.84002593E8</v>
      </c>
      <c r="Q113" s="1294">
        <v>1.84002593E8</v>
      </c>
      <c r="R113" s="1294">
        <v>1.84002593E8</v>
      </c>
      <c r="S113" s="1294">
        <v>1.84002593E8</v>
      </c>
      <c r="T113" s="1294">
        <v>1.84002593E8</v>
      </c>
      <c r="U113" s="1294">
        <v>1.84002593E8</v>
      </c>
      <c r="V113" s="1294">
        <v>1.84002593E8</v>
      </c>
      <c r="W113" s="1294">
        <v>1.84002593E8</v>
      </c>
      <c r="X113" s="1294">
        <v>1.84002593E8</v>
      </c>
      <c r="Y113" s="725">
        <v>2.208031117E9</v>
      </c>
    </row>
    <row r="114">
      <c r="A114" s="126"/>
      <c r="B114" s="185"/>
      <c r="C114" s="196">
        <v>15.0</v>
      </c>
      <c r="D114" s="354" t="s">
        <v>830</v>
      </c>
      <c r="E114" s="198" t="s">
        <v>1789</v>
      </c>
      <c r="F114" s="1293" t="s">
        <v>186</v>
      </c>
      <c r="G114" s="1293" t="s">
        <v>135</v>
      </c>
      <c r="H114" s="1293" t="s">
        <v>135</v>
      </c>
      <c r="I114" s="1293" t="s">
        <v>203</v>
      </c>
      <c r="J114" s="1293" t="s">
        <v>187</v>
      </c>
      <c r="K114" s="1293" t="s">
        <v>1736</v>
      </c>
      <c r="L114" s="1292" t="s">
        <v>735</v>
      </c>
      <c r="M114" s="1294">
        <v>3.02001732E8</v>
      </c>
      <c r="N114" s="1294">
        <v>3.02001732E8</v>
      </c>
      <c r="O114" s="1294">
        <v>3.02001732E8</v>
      </c>
      <c r="P114" s="1294">
        <v>3.02001732E8</v>
      </c>
      <c r="Q114" s="1294">
        <v>3.02001732E8</v>
      </c>
      <c r="R114" s="1294">
        <v>3.02001732E8</v>
      </c>
      <c r="S114" s="1294">
        <v>3.02001732E8</v>
      </c>
      <c r="T114" s="1294">
        <v>3.02001732E8</v>
      </c>
      <c r="U114" s="1294">
        <v>3.02001732E8</v>
      </c>
      <c r="V114" s="1294">
        <v>3.02001732E8</v>
      </c>
      <c r="W114" s="1294">
        <v>3.02001732E8</v>
      </c>
      <c r="X114" s="1294">
        <v>3.02001732E8</v>
      </c>
      <c r="Y114" s="725">
        <v>3.624020786E9</v>
      </c>
    </row>
    <row r="115">
      <c r="A115" s="126"/>
      <c r="B115" s="185"/>
      <c r="C115" s="196">
        <v>16.0</v>
      </c>
      <c r="D115" s="354" t="s">
        <v>837</v>
      </c>
      <c r="E115" s="198" t="s">
        <v>1790</v>
      </c>
      <c r="F115" s="1293" t="s">
        <v>186</v>
      </c>
      <c r="G115" s="1293" t="s">
        <v>135</v>
      </c>
      <c r="H115" s="1293" t="s">
        <v>135</v>
      </c>
      <c r="I115" s="1293" t="s">
        <v>203</v>
      </c>
      <c r="J115" s="1293" t="s">
        <v>187</v>
      </c>
      <c r="K115" s="1293" t="s">
        <v>1736</v>
      </c>
      <c r="L115" s="1292" t="s">
        <v>735</v>
      </c>
      <c r="M115" s="1294">
        <v>2.843923948E9</v>
      </c>
      <c r="N115" s="1294">
        <v>2.843923948E9</v>
      </c>
      <c r="O115" s="1294">
        <v>2.843923948E9</v>
      </c>
      <c r="P115" s="1294">
        <v>2.843923948E9</v>
      </c>
      <c r="Q115" s="1294">
        <v>2.843923948E9</v>
      </c>
      <c r="R115" s="1294">
        <v>2.843923948E9</v>
      </c>
      <c r="S115" s="1294">
        <v>2.843923948E9</v>
      </c>
      <c r="T115" s="1294">
        <v>2.843923948E9</v>
      </c>
      <c r="U115" s="1294">
        <v>2.843923948E9</v>
      </c>
      <c r="V115" s="1294">
        <v>2.843923948E9</v>
      </c>
      <c r="W115" s="1294">
        <v>2.843923948E9</v>
      </c>
      <c r="X115" s="1294">
        <v>2.843923948E9</v>
      </c>
      <c r="Y115" s="725">
        <v>3.4127087379E10</v>
      </c>
    </row>
    <row r="116">
      <c r="A116" s="126"/>
      <c r="B116" s="185"/>
      <c r="C116" s="196">
        <v>17.0</v>
      </c>
      <c r="D116" s="354" t="s">
        <v>844</v>
      </c>
      <c r="E116" s="198" t="s">
        <v>1791</v>
      </c>
      <c r="F116" s="1293" t="s">
        <v>186</v>
      </c>
      <c r="G116" s="1293" t="s">
        <v>305</v>
      </c>
      <c r="H116" s="1293" t="s">
        <v>92</v>
      </c>
      <c r="I116" s="1293" t="s">
        <v>306</v>
      </c>
      <c r="J116" s="1293" t="s">
        <v>187</v>
      </c>
      <c r="K116" s="1293" t="s">
        <v>1736</v>
      </c>
      <c r="L116" s="1292" t="s">
        <v>735</v>
      </c>
      <c r="M116" s="1294">
        <v>1.28854546E8</v>
      </c>
      <c r="N116" s="1294">
        <v>1.28854546E8</v>
      </c>
      <c r="O116" s="1294">
        <v>1.28854546E8</v>
      </c>
      <c r="P116" s="1294">
        <v>1.28854546E8</v>
      </c>
      <c r="Q116" s="1294">
        <v>1.28854546E8</v>
      </c>
      <c r="R116" s="1294">
        <v>1.28854546E8</v>
      </c>
      <c r="S116" s="1294">
        <v>1.28854546E8</v>
      </c>
      <c r="T116" s="1294">
        <v>1.28854546E8</v>
      </c>
      <c r="U116" s="1294">
        <v>1.28854546E8</v>
      </c>
      <c r="V116" s="1294">
        <v>1.28854546E8</v>
      </c>
      <c r="W116" s="1294">
        <v>1.28854546E8</v>
      </c>
      <c r="X116" s="1294">
        <v>1.28854546E8</v>
      </c>
      <c r="Y116" s="725">
        <v>1.546254552E9</v>
      </c>
    </row>
    <row r="117">
      <c r="A117" s="126"/>
      <c r="B117" s="185"/>
      <c r="C117" s="196">
        <v>18.0</v>
      </c>
      <c r="D117" s="354" t="s">
        <v>848</v>
      </c>
      <c r="E117" s="198" t="s">
        <v>1792</v>
      </c>
      <c r="F117" s="1293" t="s">
        <v>186</v>
      </c>
      <c r="G117" s="1293" t="s">
        <v>305</v>
      </c>
      <c r="H117" s="1293" t="s">
        <v>92</v>
      </c>
      <c r="I117" s="1293" t="s">
        <v>306</v>
      </c>
      <c r="J117" s="1293" t="s">
        <v>187</v>
      </c>
      <c r="K117" s="1293" t="s">
        <v>1736</v>
      </c>
      <c r="L117" s="1292" t="s">
        <v>735</v>
      </c>
      <c r="M117" s="1294">
        <v>1.72417543E8</v>
      </c>
      <c r="N117" s="1294">
        <v>1.72417543E8</v>
      </c>
      <c r="O117" s="1294">
        <v>1.72417543E8</v>
      </c>
      <c r="P117" s="1294">
        <v>1.72417543E8</v>
      </c>
      <c r="Q117" s="1294">
        <v>1.72417543E8</v>
      </c>
      <c r="R117" s="1294">
        <v>1.72417543E8</v>
      </c>
      <c r="S117" s="1294">
        <v>1.72417543E8</v>
      </c>
      <c r="T117" s="1294">
        <v>1.72417543E8</v>
      </c>
      <c r="U117" s="1294">
        <v>1.72417543E8</v>
      </c>
      <c r="V117" s="1294">
        <v>1.72417543E8</v>
      </c>
      <c r="W117" s="1294">
        <v>1.72417543E8</v>
      </c>
      <c r="X117" s="1294">
        <v>1.72417543E8</v>
      </c>
      <c r="Y117" s="725">
        <v>2.06901051E9</v>
      </c>
    </row>
    <row r="118">
      <c r="A118" s="126"/>
      <c r="B118" s="185"/>
      <c r="C118" s="196">
        <v>19.0</v>
      </c>
      <c r="D118" s="1319" t="s">
        <v>852</v>
      </c>
      <c r="E118" s="198" t="s">
        <v>1793</v>
      </c>
      <c r="F118" s="1293" t="s">
        <v>186</v>
      </c>
      <c r="G118" s="1293" t="s">
        <v>305</v>
      </c>
      <c r="H118" s="1293" t="s">
        <v>92</v>
      </c>
      <c r="I118" s="1293" t="s">
        <v>306</v>
      </c>
      <c r="J118" s="1293" t="s">
        <v>187</v>
      </c>
      <c r="K118" s="1293" t="s">
        <v>1736</v>
      </c>
      <c r="L118" s="1292" t="s">
        <v>735</v>
      </c>
      <c r="M118" s="1294">
        <v>3.30384852E8</v>
      </c>
      <c r="N118" s="1294">
        <v>3.30384852E8</v>
      </c>
      <c r="O118" s="1294">
        <v>3.30384852E8</v>
      </c>
      <c r="P118" s="1294">
        <v>3.30384852E8</v>
      </c>
      <c r="Q118" s="1294">
        <v>3.30384852E8</v>
      </c>
      <c r="R118" s="1294">
        <v>3.30384852E8</v>
      </c>
      <c r="S118" s="1294">
        <v>3.30384852E8</v>
      </c>
      <c r="T118" s="1294">
        <v>3.30384852E8</v>
      </c>
      <c r="U118" s="1294">
        <v>3.30384852E8</v>
      </c>
      <c r="V118" s="1294">
        <v>3.30384852E8</v>
      </c>
      <c r="W118" s="1294">
        <v>3.30384852E8</v>
      </c>
      <c r="X118" s="1294">
        <v>3.30384852E8</v>
      </c>
      <c r="Y118" s="725">
        <v>3.964618219E9</v>
      </c>
    </row>
    <row r="119">
      <c r="A119" s="126"/>
      <c r="B119" s="185"/>
      <c r="C119" s="196">
        <v>20.0</v>
      </c>
      <c r="D119" s="1319" t="s">
        <v>857</v>
      </c>
      <c r="E119" s="198" t="s">
        <v>1794</v>
      </c>
      <c r="F119" s="1293" t="s">
        <v>186</v>
      </c>
      <c r="G119" s="1293" t="s">
        <v>305</v>
      </c>
      <c r="H119" s="1293" t="s">
        <v>92</v>
      </c>
      <c r="I119" s="1293" t="s">
        <v>306</v>
      </c>
      <c r="J119" s="1293" t="s">
        <v>187</v>
      </c>
      <c r="K119" s="1293" t="s">
        <v>1736</v>
      </c>
      <c r="L119" s="1292" t="s">
        <v>735</v>
      </c>
      <c r="M119" s="1294">
        <v>2.164983701E9</v>
      </c>
      <c r="N119" s="1294">
        <v>2.164983701E9</v>
      </c>
      <c r="O119" s="1294">
        <v>2.164983701E9</v>
      </c>
      <c r="P119" s="1294">
        <v>2.164983701E9</v>
      </c>
      <c r="Q119" s="1294">
        <v>2.164983701E9</v>
      </c>
      <c r="R119" s="1294">
        <v>2.164983701E9</v>
      </c>
      <c r="S119" s="1294">
        <v>2.164983701E9</v>
      </c>
      <c r="T119" s="1294">
        <v>2.164983701E9</v>
      </c>
      <c r="U119" s="1294">
        <v>2.164983701E9</v>
      </c>
      <c r="V119" s="1294">
        <v>2.164983701E9</v>
      </c>
      <c r="W119" s="1294">
        <v>2.164983701E9</v>
      </c>
      <c r="X119" s="1294">
        <v>2.164983701E9</v>
      </c>
      <c r="Y119" s="725">
        <v>2.5979804414E10</v>
      </c>
    </row>
    <row r="120">
      <c r="A120" s="126"/>
      <c r="B120" s="185"/>
      <c r="C120" s="196">
        <v>21.0</v>
      </c>
      <c r="D120" s="1319" t="s">
        <v>861</v>
      </c>
      <c r="E120" s="198" t="s">
        <v>1795</v>
      </c>
      <c r="F120" s="1293" t="s">
        <v>186</v>
      </c>
      <c r="G120" s="1293" t="s">
        <v>305</v>
      </c>
      <c r="H120" s="1293" t="s">
        <v>92</v>
      </c>
      <c r="I120" s="1293" t="s">
        <v>306</v>
      </c>
      <c r="J120" s="1293" t="s">
        <v>187</v>
      </c>
      <c r="K120" s="1293" t="s">
        <v>1736</v>
      </c>
      <c r="L120" s="1292" t="s">
        <v>735</v>
      </c>
      <c r="M120" s="1294">
        <v>6.247247246E9</v>
      </c>
      <c r="N120" s="1294">
        <v>6.247247246E9</v>
      </c>
      <c r="O120" s="1294">
        <v>6.247247246E9</v>
      </c>
      <c r="P120" s="1294">
        <v>6.247247246E9</v>
      </c>
      <c r="Q120" s="1294">
        <v>6.247247246E9</v>
      </c>
      <c r="R120" s="1294">
        <v>6.247247246E9</v>
      </c>
      <c r="S120" s="1294">
        <v>6.247247246E9</v>
      </c>
      <c r="T120" s="1294">
        <v>6.247247246E9</v>
      </c>
      <c r="U120" s="1294">
        <v>6.247247246E9</v>
      </c>
      <c r="V120" s="1294">
        <v>6.247247246E9</v>
      </c>
      <c r="W120" s="1294">
        <v>6.247247246E9</v>
      </c>
      <c r="X120" s="1294">
        <v>6.247247246E9</v>
      </c>
      <c r="Y120" s="725">
        <v>7.4966966949E10</v>
      </c>
    </row>
    <row r="121">
      <c r="A121" s="126"/>
      <c r="B121" s="1309"/>
      <c r="C121" s="394">
        <v>22.0</v>
      </c>
      <c r="D121" s="753" t="s">
        <v>865</v>
      </c>
      <c r="E121" s="86"/>
      <c r="F121" s="1291"/>
      <c r="G121" s="1291"/>
      <c r="H121" s="1291"/>
      <c r="I121" s="1291"/>
      <c r="J121" s="1291"/>
      <c r="K121" s="1291"/>
      <c r="L121" s="1288"/>
      <c r="M121" s="754"/>
      <c r="N121" s="754"/>
      <c r="O121" s="754"/>
      <c r="P121" s="754"/>
      <c r="Q121" s="754"/>
      <c r="R121" s="754"/>
      <c r="S121" s="754"/>
      <c r="T121" s="754"/>
      <c r="U121" s="754"/>
      <c r="V121" s="754"/>
      <c r="W121" s="754"/>
      <c r="X121" s="754"/>
      <c r="Y121" s="754"/>
    </row>
    <row r="122">
      <c r="A122" s="126"/>
      <c r="B122" s="185"/>
      <c r="C122" s="196">
        <v>23.0</v>
      </c>
      <c r="D122" s="354" t="s">
        <v>870</v>
      </c>
      <c r="E122" s="198" t="s">
        <v>1796</v>
      </c>
      <c r="F122" s="1293" t="s">
        <v>186</v>
      </c>
      <c r="G122" s="1293" t="s">
        <v>305</v>
      </c>
      <c r="H122" s="1293" t="s">
        <v>92</v>
      </c>
      <c r="I122" s="1293" t="s">
        <v>306</v>
      </c>
      <c r="J122" s="1293" t="s">
        <v>187</v>
      </c>
      <c r="K122" s="1293" t="s">
        <v>1736</v>
      </c>
      <c r="L122" s="1292" t="s">
        <v>735</v>
      </c>
      <c r="M122" s="1294">
        <v>5.36184577E8</v>
      </c>
      <c r="N122" s="1294">
        <v>5.36184577E8</v>
      </c>
      <c r="O122" s="1294">
        <v>5.36184577E8</v>
      </c>
      <c r="P122" s="1294">
        <v>5.36184577E8</v>
      </c>
      <c r="Q122" s="1294">
        <v>5.36184577E8</v>
      </c>
      <c r="R122" s="1294">
        <v>5.36184577E8</v>
      </c>
      <c r="S122" s="1294">
        <v>5.36184577E8</v>
      </c>
      <c r="T122" s="1294">
        <v>5.36184577E8</v>
      </c>
      <c r="U122" s="1294">
        <v>5.36184577E8</v>
      </c>
      <c r="V122" s="1294">
        <v>5.36184577E8</v>
      </c>
      <c r="W122" s="1294">
        <v>5.36184577E8</v>
      </c>
      <c r="X122" s="1294">
        <v>5.36184577E8</v>
      </c>
      <c r="Y122" s="725">
        <v>6.434214929E9</v>
      </c>
    </row>
    <row r="123">
      <c r="A123" s="126"/>
      <c r="B123" s="185"/>
      <c r="C123" s="196">
        <v>24.0</v>
      </c>
      <c r="D123" s="354" t="s">
        <v>874</v>
      </c>
      <c r="E123" s="198" t="s">
        <v>1797</v>
      </c>
      <c r="F123" s="1293" t="s">
        <v>186</v>
      </c>
      <c r="G123" s="1293" t="s">
        <v>305</v>
      </c>
      <c r="H123" s="1293" t="s">
        <v>92</v>
      </c>
      <c r="I123" s="1293" t="s">
        <v>306</v>
      </c>
      <c r="J123" s="1293" t="s">
        <v>187</v>
      </c>
      <c r="K123" s="1293" t="s">
        <v>1736</v>
      </c>
      <c r="L123" s="1292" t="s">
        <v>735</v>
      </c>
      <c r="M123" s="1294">
        <v>2.4807824E8</v>
      </c>
      <c r="N123" s="1294">
        <v>2.4807824E8</v>
      </c>
      <c r="O123" s="1294">
        <v>2.4807824E8</v>
      </c>
      <c r="P123" s="1294">
        <v>2.4807824E8</v>
      </c>
      <c r="Q123" s="1294">
        <v>2.4807824E8</v>
      </c>
      <c r="R123" s="1294">
        <v>2.4807824E8</v>
      </c>
      <c r="S123" s="1294">
        <v>2.4807824E8</v>
      </c>
      <c r="T123" s="1294">
        <v>2.4807824E8</v>
      </c>
      <c r="U123" s="1294">
        <v>2.4807824E8</v>
      </c>
      <c r="V123" s="1294">
        <v>2.4807824E8</v>
      </c>
      <c r="W123" s="1294">
        <v>2.4807824E8</v>
      </c>
      <c r="X123" s="1294">
        <v>2.4807824E8</v>
      </c>
      <c r="Y123" s="725">
        <v>2.97693888E9</v>
      </c>
    </row>
    <row r="124">
      <c r="A124" s="126"/>
      <c r="B124" s="185"/>
      <c r="C124" s="196">
        <v>25.0</v>
      </c>
      <c r="D124" s="354" t="s">
        <v>879</v>
      </c>
      <c r="E124" s="198" t="s">
        <v>1798</v>
      </c>
      <c r="F124" s="1293" t="s">
        <v>186</v>
      </c>
      <c r="G124" s="1293" t="s">
        <v>305</v>
      </c>
      <c r="H124" s="1293" t="s">
        <v>92</v>
      </c>
      <c r="I124" s="1293" t="s">
        <v>306</v>
      </c>
      <c r="J124" s="1293" t="s">
        <v>187</v>
      </c>
      <c r="K124" s="1293" t="s">
        <v>1736</v>
      </c>
      <c r="L124" s="1292" t="s">
        <v>735</v>
      </c>
      <c r="M124" s="1294">
        <v>4.32912987E8</v>
      </c>
      <c r="N124" s="1294">
        <v>4.32912987E8</v>
      </c>
      <c r="O124" s="1294">
        <v>4.32912987E8</v>
      </c>
      <c r="P124" s="1294">
        <v>4.32912987E8</v>
      </c>
      <c r="Q124" s="1294">
        <v>4.32912987E8</v>
      </c>
      <c r="R124" s="1294">
        <v>4.32912987E8</v>
      </c>
      <c r="S124" s="1294">
        <v>4.32912987E8</v>
      </c>
      <c r="T124" s="1294">
        <v>4.32912987E8</v>
      </c>
      <c r="U124" s="1294">
        <v>4.32912987E8</v>
      </c>
      <c r="V124" s="1294">
        <v>4.32912987E8</v>
      </c>
      <c r="W124" s="1294">
        <v>4.32912987E8</v>
      </c>
      <c r="X124" s="1294">
        <v>4.32912987E8</v>
      </c>
      <c r="Y124" s="725">
        <v>5.194955844E9</v>
      </c>
    </row>
    <row r="125">
      <c r="A125" s="126"/>
      <c r="B125" s="185"/>
      <c r="C125" s="196">
        <v>26.0</v>
      </c>
      <c r="D125" s="354" t="s">
        <v>883</v>
      </c>
      <c r="E125" s="198" t="s">
        <v>1799</v>
      </c>
      <c r="F125" s="1293" t="s">
        <v>186</v>
      </c>
      <c r="G125" s="1293" t="s">
        <v>103</v>
      </c>
      <c r="H125" s="1293" t="s">
        <v>132</v>
      </c>
      <c r="I125" s="1293" t="s">
        <v>132</v>
      </c>
      <c r="J125" s="1293" t="s">
        <v>187</v>
      </c>
      <c r="K125" s="1293" t="s">
        <v>1736</v>
      </c>
      <c r="L125" s="1292" t="s">
        <v>735</v>
      </c>
      <c r="M125" s="1294">
        <v>6.21762043E8</v>
      </c>
      <c r="N125" s="1294">
        <v>5.61591522E8</v>
      </c>
      <c r="O125" s="1294">
        <v>6.21762043E8</v>
      </c>
      <c r="P125" s="1294">
        <v>6.01705203E8</v>
      </c>
      <c r="Q125" s="1294">
        <v>6.21762043E8</v>
      </c>
      <c r="R125" s="1294">
        <v>6.01705203E8</v>
      </c>
      <c r="S125" s="1294">
        <v>6.21762043E8</v>
      </c>
      <c r="T125" s="1294">
        <v>6.21762043E8</v>
      </c>
      <c r="U125" s="1294">
        <v>6.01705203E8</v>
      </c>
      <c r="V125" s="1294">
        <v>6.21762043E8</v>
      </c>
      <c r="W125" s="1294">
        <v>6.01705203E8</v>
      </c>
      <c r="X125" s="1294">
        <v>6.21762043E8</v>
      </c>
      <c r="Y125" s="725">
        <v>7.320746633E9</v>
      </c>
    </row>
    <row r="126">
      <c r="A126" s="126"/>
      <c r="B126" s="185"/>
      <c r="C126" s="196">
        <v>27.0</v>
      </c>
      <c r="D126" s="354" t="s">
        <v>890</v>
      </c>
      <c r="E126" s="198" t="s">
        <v>1800</v>
      </c>
      <c r="F126" s="1293" t="s">
        <v>186</v>
      </c>
      <c r="G126" s="1293" t="s">
        <v>103</v>
      </c>
      <c r="H126" s="1293" t="s">
        <v>132</v>
      </c>
      <c r="I126" s="1293" t="s">
        <v>132</v>
      </c>
      <c r="J126" s="1293" t="s">
        <v>187</v>
      </c>
      <c r="K126" s="1293" t="s">
        <v>1736</v>
      </c>
      <c r="L126" s="1292" t="s">
        <v>735</v>
      </c>
      <c r="M126" s="1294">
        <v>8.75612953E8</v>
      </c>
      <c r="N126" s="1294">
        <v>7.90876215E8</v>
      </c>
      <c r="O126" s="1294">
        <v>8.75612953E8</v>
      </c>
      <c r="P126" s="1294">
        <v>8.47367374E8</v>
      </c>
      <c r="Q126" s="1294">
        <v>8.75612953E8</v>
      </c>
      <c r="R126" s="1294">
        <v>8.47367374E8</v>
      </c>
      <c r="S126" s="1294">
        <v>8.75612953E8</v>
      </c>
      <c r="T126" s="1294">
        <v>8.75612953E8</v>
      </c>
      <c r="U126" s="1294">
        <v>8.47367374E8</v>
      </c>
      <c r="V126" s="1294">
        <v>8.75612953E8</v>
      </c>
      <c r="W126" s="1294">
        <v>8.47367374E8</v>
      </c>
      <c r="X126" s="1294">
        <v>8.75612953E8</v>
      </c>
      <c r="Y126" s="725">
        <v>1.0309636378E10</v>
      </c>
    </row>
    <row r="127">
      <c r="A127" s="126"/>
      <c r="B127" s="185"/>
      <c r="C127" s="196">
        <v>28.0</v>
      </c>
      <c r="D127" s="1320" t="s">
        <v>897</v>
      </c>
      <c r="E127" s="198" t="s">
        <v>1801</v>
      </c>
      <c r="F127" s="1293" t="s">
        <v>186</v>
      </c>
      <c r="G127" s="1293" t="s">
        <v>103</v>
      </c>
      <c r="H127" s="1293" t="s">
        <v>86</v>
      </c>
      <c r="I127" s="1293" t="s">
        <v>86</v>
      </c>
      <c r="J127" s="1293" t="s">
        <v>187</v>
      </c>
      <c r="K127" s="1293" t="s">
        <v>1736</v>
      </c>
      <c r="L127" s="1292" t="s">
        <v>735</v>
      </c>
      <c r="M127" s="1294">
        <v>8.55E8</v>
      </c>
      <c r="N127" s="1294">
        <v>8.55E8</v>
      </c>
      <c r="O127" s="1294">
        <v>8.55E8</v>
      </c>
      <c r="P127" s="1294">
        <v>8.55E8</v>
      </c>
      <c r="Q127" s="1294">
        <v>8.55E8</v>
      </c>
      <c r="R127" s="1294">
        <v>8.55E8</v>
      </c>
      <c r="S127" s="1294">
        <v>8.55E8</v>
      </c>
      <c r="T127" s="1294">
        <v>8.55E8</v>
      </c>
      <c r="U127" s="1294">
        <v>8.55E8</v>
      </c>
      <c r="V127" s="1294">
        <v>8.55E8</v>
      </c>
      <c r="W127" s="1294">
        <v>8.55E8</v>
      </c>
      <c r="X127" s="1294">
        <v>8.55E8</v>
      </c>
      <c r="Y127" s="725">
        <v>1.026E10</v>
      </c>
    </row>
    <row r="128">
      <c r="A128" s="126"/>
      <c r="B128" s="185"/>
      <c r="C128" s="196">
        <v>29.0</v>
      </c>
      <c r="D128" s="354" t="s">
        <v>902</v>
      </c>
      <c r="E128" s="198" t="s">
        <v>1802</v>
      </c>
      <c r="F128" s="1293" t="s">
        <v>186</v>
      </c>
      <c r="G128" s="1293" t="s">
        <v>103</v>
      </c>
      <c r="H128" s="1293" t="s">
        <v>86</v>
      </c>
      <c r="I128" s="1293" t="s">
        <v>86</v>
      </c>
      <c r="J128" s="1293" t="s">
        <v>187</v>
      </c>
      <c r="K128" s="1293" t="s">
        <v>1736</v>
      </c>
      <c r="L128" s="1292" t="s">
        <v>735</v>
      </c>
      <c r="M128" s="1294">
        <v>6.18482964E8</v>
      </c>
      <c r="N128" s="1294">
        <v>6.18482964E8</v>
      </c>
      <c r="O128" s="1294">
        <v>6.18482964E8</v>
      </c>
      <c r="P128" s="1294">
        <v>6.18482964E8</v>
      </c>
      <c r="Q128" s="1294">
        <v>6.18482964E8</v>
      </c>
      <c r="R128" s="1294">
        <v>6.18482964E8</v>
      </c>
      <c r="S128" s="1294">
        <v>6.18482964E8</v>
      </c>
      <c r="T128" s="1294">
        <v>6.18482964E8</v>
      </c>
      <c r="U128" s="1294">
        <v>6.18482964E8</v>
      </c>
      <c r="V128" s="1294">
        <v>6.18482964E8</v>
      </c>
      <c r="W128" s="1294">
        <v>6.18482964E8</v>
      </c>
      <c r="X128" s="1294">
        <v>6.18482964E8</v>
      </c>
      <c r="Y128" s="725">
        <v>7.421795568E9</v>
      </c>
    </row>
    <row r="129">
      <c r="A129" s="126"/>
      <c r="B129" s="185"/>
      <c r="C129" s="196">
        <v>30.0</v>
      </c>
      <c r="D129" s="1319" t="s">
        <v>911</v>
      </c>
      <c r="E129" s="198" t="s">
        <v>1803</v>
      </c>
      <c r="F129" s="1293" t="s">
        <v>186</v>
      </c>
      <c r="G129" s="1293" t="s">
        <v>103</v>
      </c>
      <c r="H129" s="1293" t="s">
        <v>84</v>
      </c>
      <c r="I129" s="1293" t="s">
        <v>84</v>
      </c>
      <c r="J129" s="1293" t="s">
        <v>253</v>
      </c>
      <c r="K129" s="1293" t="s">
        <v>1739</v>
      </c>
      <c r="L129" s="1292" t="s">
        <v>735</v>
      </c>
      <c r="M129" s="1294">
        <v>1.15073937E8</v>
      </c>
      <c r="N129" s="1294">
        <v>1.15073937E8</v>
      </c>
      <c r="O129" s="1294">
        <v>1.15073937E8</v>
      </c>
      <c r="P129" s="1294">
        <v>1.15073937E8</v>
      </c>
      <c r="Q129" s="1294">
        <v>1.15073937E8</v>
      </c>
      <c r="R129" s="1294">
        <v>1.15073937E8</v>
      </c>
      <c r="S129" s="1294">
        <v>1.15073937E8</v>
      </c>
      <c r="T129" s="1294">
        <v>1.15073937E8</v>
      </c>
      <c r="U129" s="1294">
        <v>1.15073937E8</v>
      </c>
      <c r="V129" s="1294">
        <v>1.15073937E8</v>
      </c>
      <c r="W129" s="1294">
        <v>1.15073937E8</v>
      </c>
      <c r="X129" s="1294">
        <v>1.15073937E8</v>
      </c>
      <c r="Y129" s="725">
        <v>1.380887244E9</v>
      </c>
    </row>
    <row r="130">
      <c r="A130" s="126"/>
      <c r="B130" s="185"/>
      <c r="C130" s="196">
        <v>31.0</v>
      </c>
      <c r="D130" s="1321" t="s">
        <v>916</v>
      </c>
      <c r="E130" s="198" t="s">
        <v>916</v>
      </c>
      <c r="F130" s="1293" t="s">
        <v>186</v>
      </c>
      <c r="G130" s="1293" t="s">
        <v>103</v>
      </c>
      <c r="H130" s="1293" t="s">
        <v>86</v>
      </c>
      <c r="I130" s="1293" t="s">
        <v>86</v>
      </c>
      <c r="J130" s="1293" t="s">
        <v>187</v>
      </c>
      <c r="K130" s="1293" t="s">
        <v>1736</v>
      </c>
      <c r="L130" s="1292" t="s">
        <v>735</v>
      </c>
      <c r="M130" s="1294">
        <v>4.4945E7</v>
      </c>
      <c r="N130" s="1294">
        <v>4.4945E7</v>
      </c>
      <c r="O130" s="1294">
        <v>4.4945E7</v>
      </c>
      <c r="P130" s="1294">
        <v>4.4945E7</v>
      </c>
      <c r="Q130" s="1294">
        <v>4.4945E7</v>
      </c>
      <c r="R130" s="1294">
        <v>4.4945E7</v>
      </c>
      <c r="S130" s="1294">
        <v>4.4945E7</v>
      </c>
      <c r="T130" s="1294">
        <v>4.4945E7</v>
      </c>
      <c r="U130" s="1294">
        <v>4.4945E7</v>
      </c>
      <c r="V130" s="1294">
        <v>4.4945E7</v>
      </c>
      <c r="W130" s="1294">
        <v>4.4945E7</v>
      </c>
      <c r="X130" s="1294">
        <v>4.4945E7</v>
      </c>
      <c r="Y130" s="725">
        <v>5.3934E8</v>
      </c>
    </row>
    <row r="131">
      <c r="A131" s="126"/>
      <c r="B131" s="185"/>
      <c r="C131" s="196">
        <v>32.0</v>
      </c>
      <c r="D131" s="730" t="s">
        <v>920</v>
      </c>
      <c r="E131" s="198" t="s">
        <v>1804</v>
      </c>
      <c r="F131" s="1293" t="s">
        <v>186</v>
      </c>
      <c r="G131" s="1293" t="s">
        <v>103</v>
      </c>
      <c r="H131" s="1293" t="s">
        <v>86</v>
      </c>
      <c r="I131" s="1293" t="s">
        <v>86</v>
      </c>
      <c r="J131" s="1293" t="s">
        <v>187</v>
      </c>
      <c r="K131" s="1293" t="s">
        <v>1736</v>
      </c>
      <c r="L131" s="1292" t="s">
        <v>735</v>
      </c>
      <c r="M131" s="1294">
        <v>9.83933091E8</v>
      </c>
      <c r="N131" s="1294">
        <v>9.83933091E8</v>
      </c>
      <c r="O131" s="1294">
        <v>9.83933091E8</v>
      </c>
      <c r="P131" s="1294">
        <v>9.83933091E8</v>
      </c>
      <c r="Q131" s="1294">
        <v>9.83933091E8</v>
      </c>
      <c r="R131" s="1294">
        <v>9.83933091E8</v>
      </c>
      <c r="S131" s="1294">
        <v>9.83933091E8</v>
      </c>
      <c r="T131" s="1294">
        <v>9.83933091E8</v>
      </c>
      <c r="U131" s="1294">
        <v>9.83933091E8</v>
      </c>
      <c r="V131" s="1294">
        <v>9.83933091E8</v>
      </c>
      <c r="W131" s="1294">
        <v>9.83933091E8</v>
      </c>
      <c r="X131" s="1294">
        <v>9.83933091E8</v>
      </c>
      <c r="Y131" s="725">
        <v>1.1807197092E10</v>
      </c>
    </row>
    <row r="132">
      <c r="A132" s="126"/>
      <c r="B132" s="185"/>
      <c r="C132" s="196">
        <v>33.0</v>
      </c>
      <c r="D132" s="730" t="s">
        <v>925</v>
      </c>
      <c r="E132" s="198" t="s">
        <v>1805</v>
      </c>
      <c r="F132" s="1293" t="s">
        <v>186</v>
      </c>
      <c r="G132" s="1293" t="s">
        <v>103</v>
      </c>
      <c r="H132" s="1293" t="s">
        <v>86</v>
      </c>
      <c r="I132" s="1293" t="s">
        <v>86</v>
      </c>
      <c r="J132" s="1293" t="s">
        <v>187</v>
      </c>
      <c r="K132" s="1293" t="s">
        <v>1736</v>
      </c>
      <c r="L132" s="1292" t="s">
        <v>735</v>
      </c>
      <c r="M132" s="1294">
        <v>3.19259103E8</v>
      </c>
      <c r="N132" s="1294">
        <v>3.19259103E8</v>
      </c>
      <c r="O132" s="1294">
        <v>3.19259103E8</v>
      </c>
      <c r="P132" s="1294">
        <v>3.19259103E8</v>
      </c>
      <c r="Q132" s="1294">
        <v>3.19259103E8</v>
      </c>
      <c r="R132" s="1294">
        <v>3.19259103E8</v>
      </c>
      <c r="S132" s="1294">
        <v>3.19259103E8</v>
      </c>
      <c r="T132" s="1294">
        <v>3.19259103E8</v>
      </c>
      <c r="U132" s="1294">
        <v>3.19259103E8</v>
      </c>
      <c r="V132" s="1294">
        <v>3.19259103E8</v>
      </c>
      <c r="W132" s="1294">
        <v>3.19259103E8</v>
      </c>
      <c r="X132" s="1294">
        <v>3.19259103E8</v>
      </c>
      <c r="Y132" s="725">
        <v>3.831109236E9</v>
      </c>
    </row>
    <row r="133">
      <c r="A133" s="126"/>
      <c r="B133" s="185"/>
      <c r="C133" s="196">
        <v>34.0</v>
      </c>
      <c r="D133" s="354" t="s">
        <v>929</v>
      </c>
      <c r="E133" s="198" t="s">
        <v>1806</v>
      </c>
      <c r="F133" s="1293" t="s">
        <v>186</v>
      </c>
      <c r="G133" s="1293" t="s">
        <v>103</v>
      </c>
      <c r="H133" s="1293" t="s">
        <v>86</v>
      </c>
      <c r="I133" s="1293" t="s">
        <v>86</v>
      </c>
      <c r="J133" s="1293" t="s">
        <v>187</v>
      </c>
      <c r="K133" s="1293" t="s">
        <v>1736</v>
      </c>
      <c r="L133" s="1292" t="s">
        <v>735</v>
      </c>
      <c r="M133" s="1294">
        <v>1.01517478E8</v>
      </c>
      <c r="N133" s="1294">
        <v>1.01517478E8</v>
      </c>
      <c r="O133" s="1294">
        <v>1.01517478E8</v>
      </c>
      <c r="P133" s="1294">
        <v>1.01517478E8</v>
      </c>
      <c r="Q133" s="1294">
        <v>1.01517478E8</v>
      </c>
      <c r="R133" s="1294">
        <v>1.01517478E8</v>
      </c>
      <c r="S133" s="1294">
        <v>1.01517478E8</v>
      </c>
      <c r="T133" s="1294">
        <v>1.01517478E8</v>
      </c>
      <c r="U133" s="1294">
        <v>1.01517478E8</v>
      </c>
      <c r="V133" s="1294">
        <v>1.01517478E8</v>
      </c>
      <c r="W133" s="1294">
        <v>1.01517478E8</v>
      </c>
      <c r="X133" s="1294">
        <v>1.01517478E8</v>
      </c>
      <c r="Y133" s="725">
        <v>1.218209736E9</v>
      </c>
    </row>
    <row r="134">
      <c r="A134" s="126"/>
      <c r="B134" s="185"/>
      <c r="C134" s="196">
        <v>35.0</v>
      </c>
      <c r="D134" s="354" t="s">
        <v>933</v>
      </c>
      <c r="E134" s="198" t="s">
        <v>1807</v>
      </c>
      <c r="F134" s="1293" t="s">
        <v>186</v>
      </c>
      <c r="G134" s="1293" t="s">
        <v>135</v>
      </c>
      <c r="H134" s="1293" t="s">
        <v>135</v>
      </c>
      <c r="I134" s="1293" t="s">
        <v>203</v>
      </c>
      <c r="J134" s="1293" t="s">
        <v>187</v>
      </c>
      <c r="K134" s="1293" t="s">
        <v>1736</v>
      </c>
      <c r="L134" s="1292" t="s">
        <v>735</v>
      </c>
      <c r="M134" s="1294">
        <v>3.25441656E8</v>
      </c>
      <c r="N134" s="1294">
        <v>3.25441656E8</v>
      </c>
      <c r="O134" s="1294">
        <v>3.25441656E8</v>
      </c>
      <c r="P134" s="1294">
        <v>3.25441656E8</v>
      </c>
      <c r="Q134" s="1294">
        <v>3.25441656E8</v>
      </c>
      <c r="R134" s="1294">
        <v>3.25441656E8</v>
      </c>
      <c r="S134" s="1294">
        <v>3.25441656E8</v>
      </c>
      <c r="T134" s="1294">
        <v>3.25441656E8</v>
      </c>
      <c r="U134" s="1294">
        <v>3.25441656E8</v>
      </c>
      <c r="V134" s="1294">
        <v>3.25441656E8</v>
      </c>
      <c r="W134" s="1294">
        <v>3.25441656E8</v>
      </c>
      <c r="X134" s="1294">
        <v>3.25441656E8</v>
      </c>
      <c r="Y134" s="725">
        <v>3.905299872E9</v>
      </c>
    </row>
    <row r="135">
      <c r="A135" s="126"/>
      <c r="B135" s="185"/>
      <c r="C135" s="196">
        <v>36.0</v>
      </c>
      <c r="D135" s="730" t="s">
        <v>938</v>
      </c>
      <c r="E135" s="198" t="s">
        <v>1808</v>
      </c>
      <c r="F135" s="1293" t="s">
        <v>186</v>
      </c>
      <c r="G135" s="1293" t="s">
        <v>103</v>
      </c>
      <c r="H135" s="1293" t="s">
        <v>86</v>
      </c>
      <c r="I135" s="1293" t="s">
        <v>86</v>
      </c>
      <c r="J135" s="1293" t="s">
        <v>366</v>
      </c>
      <c r="K135" s="1293" t="s">
        <v>1747</v>
      </c>
      <c r="L135" s="1292" t="s">
        <v>735</v>
      </c>
      <c r="M135" s="1294">
        <v>7.5183308E7</v>
      </c>
      <c r="N135" s="1294">
        <v>7.5183308E7</v>
      </c>
      <c r="O135" s="1294">
        <v>7.5183308E7</v>
      </c>
      <c r="P135" s="1294">
        <v>7.5183308E7</v>
      </c>
      <c r="Q135" s="1294">
        <v>7.5183308E7</v>
      </c>
      <c r="R135" s="1294">
        <v>7.5183308E7</v>
      </c>
      <c r="S135" s="1294">
        <v>7.5183308E7</v>
      </c>
      <c r="T135" s="1294">
        <v>7.5183308E7</v>
      </c>
      <c r="U135" s="1294">
        <v>7.5183308E7</v>
      </c>
      <c r="V135" s="1294">
        <v>7.5183308E7</v>
      </c>
      <c r="W135" s="1294">
        <v>7.5183308E7</v>
      </c>
      <c r="X135" s="1294">
        <v>7.5183308E7</v>
      </c>
      <c r="Y135" s="725">
        <v>9.02199696E8</v>
      </c>
    </row>
    <row r="136">
      <c r="A136" s="126"/>
      <c r="B136" s="185"/>
      <c r="C136" s="196">
        <v>37.0</v>
      </c>
      <c r="D136" s="354" t="s">
        <v>943</v>
      </c>
      <c r="E136" s="198" t="s">
        <v>1809</v>
      </c>
      <c r="F136" s="1293" t="s">
        <v>186</v>
      </c>
      <c r="G136" s="1293" t="s">
        <v>88</v>
      </c>
      <c r="H136" s="1293" t="s">
        <v>88</v>
      </c>
      <c r="I136" s="1293" t="s">
        <v>218</v>
      </c>
      <c r="J136" s="1293" t="s">
        <v>187</v>
      </c>
      <c r="K136" s="1293" t="s">
        <v>1736</v>
      </c>
      <c r="L136" s="1292" t="s">
        <v>735</v>
      </c>
      <c r="M136" s="1294">
        <v>5.550175517E9</v>
      </c>
      <c r="N136" s="1294">
        <v>5.508056517E9</v>
      </c>
      <c r="O136" s="1294">
        <v>5.550175517E9</v>
      </c>
      <c r="P136" s="1294">
        <v>5.508056517E9</v>
      </c>
      <c r="Q136" s="1294">
        <v>5.550175517E9</v>
      </c>
      <c r="R136" s="1294">
        <v>5.508056517E9</v>
      </c>
      <c r="S136" s="1294">
        <v>5.550175517E9</v>
      </c>
      <c r="T136" s="1294">
        <v>5.508056517E9</v>
      </c>
      <c r="U136" s="1294">
        <v>5.550175517E9</v>
      </c>
      <c r="V136" s="1294">
        <v>5.508056517E9</v>
      </c>
      <c r="W136" s="1294">
        <v>5.550175517E9</v>
      </c>
      <c r="X136" s="1294">
        <v>5.508056517E9</v>
      </c>
      <c r="Y136" s="725">
        <v>6.6349392204E10</v>
      </c>
    </row>
    <row r="137">
      <c r="A137" s="126"/>
      <c r="B137" s="185"/>
      <c r="C137" s="196">
        <v>38.0</v>
      </c>
      <c r="D137" s="354" t="s">
        <v>951</v>
      </c>
      <c r="E137" s="198" t="s">
        <v>1810</v>
      </c>
      <c r="F137" s="1293" t="s">
        <v>186</v>
      </c>
      <c r="G137" s="1293" t="s">
        <v>88</v>
      </c>
      <c r="H137" s="1293" t="s">
        <v>88</v>
      </c>
      <c r="I137" s="1293" t="s">
        <v>218</v>
      </c>
      <c r="J137" s="1293" t="s">
        <v>187</v>
      </c>
      <c r="K137" s="1293" t="s">
        <v>1736</v>
      </c>
      <c r="L137" s="1292" t="s">
        <v>735</v>
      </c>
      <c r="M137" s="1294">
        <v>8.50182459E8</v>
      </c>
      <c r="N137" s="1294">
        <v>8.43721959E8</v>
      </c>
      <c r="O137" s="1294">
        <v>8.50182459E8</v>
      </c>
      <c r="P137" s="1294">
        <v>8.43721959E8</v>
      </c>
      <c r="Q137" s="1294">
        <v>8.50182459E8</v>
      </c>
      <c r="R137" s="1294">
        <v>8.43721959E8</v>
      </c>
      <c r="S137" s="1294">
        <v>8.50182459E8</v>
      </c>
      <c r="T137" s="1294">
        <v>8.43721959E8</v>
      </c>
      <c r="U137" s="1294">
        <v>8.50182459E8</v>
      </c>
      <c r="V137" s="1294">
        <v>8.43721959E8</v>
      </c>
      <c r="W137" s="1294">
        <v>8.50182459E8</v>
      </c>
      <c r="X137" s="1294">
        <v>8.43721959E8</v>
      </c>
      <c r="Y137" s="725">
        <v>1.0163426508E10</v>
      </c>
    </row>
    <row r="138">
      <c r="A138" s="126"/>
      <c r="B138" s="185"/>
      <c r="C138" s="196">
        <v>39.0</v>
      </c>
      <c r="D138" s="730" t="s">
        <v>956</v>
      </c>
      <c r="E138" s="198" t="s">
        <v>1811</v>
      </c>
      <c r="F138" s="1293" t="s">
        <v>186</v>
      </c>
      <c r="G138" s="1293" t="s">
        <v>103</v>
      </c>
      <c r="H138" s="1293" t="s">
        <v>84</v>
      </c>
      <c r="I138" s="1293" t="s">
        <v>84</v>
      </c>
      <c r="J138" s="1293" t="s">
        <v>187</v>
      </c>
      <c r="K138" s="1293" t="s">
        <v>1736</v>
      </c>
      <c r="L138" s="1292" t="s">
        <v>735</v>
      </c>
      <c r="M138" s="1294">
        <v>2.416666667E9</v>
      </c>
      <c r="N138" s="1294">
        <v>2.416666667E9</v>
      </c>
      <c r="O138" s="1294">
        <v>2.416666667E9</v>
      </c>
      <c r="P138" s="1294">
        <v>2.416666668E9</v>
      </c>
      <c r="Q138" s="1294">
        <v>2.416666668E9</v>
      </c>
      <c r="R138" s="1294">
        <v>2.416666669E9</v>
      </c>
      <c r="S138" s="1294">
        <v>2.416666669E9</v>
      </c>
      <c r="T138" s="1294">
        <v>2.41666667E9</v>
      </c>
      <c r="U138" s="1294">
        <v>2.41666667E9</v>
      </c>
      <c r="V138" s="1294">
        <v>2.416666671E9</v>
      </c>
      <c r="W138" s="1294">
        <v>2.416666671E9</v>
      </c>
      <c r="X138" s="1294">
        <v>2.416666672E9</v>
      </c>
      <c r="Y138" s="725">
        <v>2.9000000025E10</v>
      </c>
    </row>
    <row r="139">
      <c r="A139" s="126"/>
      <c r="B139" s="185"/>
      <c r="C139" s="196">
        <v>40.0</v>
      </c>
      <c r="D139" s="730" t="s">
        <v>959</v>
      </c>
      <c r="E139" s="198" t="s">
        <v>1812</v>
      </c>
      <c r="F139" s="1293" t="s">
        <v>186</v>
      </c>
      <c r="G139" s="1293" t="s">
        <v>135</v>
      </c>
      <c r="H139" s="1293" t="s">
        <v>135</v>
      </c>
      <c r="I139" s="1293" t="s">
        <v>203</v>
      </c>
      <c r="J139" s="1293" t="s">
        <v>253</v>
      </c>
      <c r="K139" s="1293" t="s">
        <v>1739</v>
      </c>
      <c r="L139" s="1292" t="s">
        <v>735</v>
      </c>
      <c r="M139" s="1294">
        <v>8.3333333E7</v>
      </c>
      <c r="N139" s="1294">
        <v>8.3333333E7</v>
      </c>
      <c r="O139" s="1294">
        <v>8.3333333E7</v>
      </c>
      <c r="P139" s="1294">
        <v>8.3333333E7</v>
      </c>
      <c r="Q139" s="1294">
        <v>8.3333333E7</v>
      </c>
      <c r="R139" s="1294">
        <v>8.3333333E7</v>
      </c>
      <c r="S139" s="1294">
        <v>8.3333333E7</v>
      </c>
      <c r="T139" s="1294">
        <v>8.3333333E7</v>
      </c>
      <c r="U139" s="1294">
        <v>8.3333333E7</v>
      </c>
      <c r="V139" s="1294">
        <v>8.3333333E7</v>
      </c>
      <c r="W139" s="1294">
        <v>8.3333333E7</v>
      </c>
      <c r="X139" s="1294">
        <v>8.3333333E7</v>
      </c>
      <c r="Y139" s="725">
        <v>1.0E9</v>
      </c>
    </row>
    <row r="140">
      <c r="A140" s="379"/>
      <c r="B140" s="185"/>
      <c r="C140" s="196">
        <v>41.0</v>
      </c>
      <c r="D140" s="184" t="s">
        <v>1813</v>
      </c>
      <c r="E140" s="198" t="s">
        <v>1814</v>
      </c>
      <c r="F140" s="1293" t="s">
        <v>186</v>
      </c>
      <c r="G140" s="1293" t="s">
        <v>305</v>
      </c>
      <c r="H140" s="1293" t="s">
        <v>94</v>
      </c>
      <c r="I140" s="1293" t="s">
        <v>963</v>
      </c>
      <c r="J140" s="1293" t="s">
        <v>187</v>
      </c>
      <c r="K140" s="1293" t="s">
        <v>1736</v>
      </c>
      <c r="L140" s="1292" t="s">
        <v>735</v>
      </c>
      <c r="M140" s="1300"/>
      <c r="N140" s="1300"/>
      <c r="O140" s="1300"/>
      <c r="P140" s="1300"/>
      <c r="Q140" s="1300"/>
      <c r="R140" s="1294">
        <v>5.0E9</v>
      </c>
      <c r="S140" s="1300"/>
      <c r="T140" s="1300"/>
      <c r="U140" s="1300"/>
      <c r="V140" s="1300"/>
      <c r="W140" s="1300"/>
      <c r="X140" s="1294">
        <v>5.0E9</v>
      </c>
      <c r="Y140" s="725">
        <v>1.0E10</v>
      </c>
    </row>
    <row r="141">
      <c r="A141" s="126"/>
      <c r="B141" s="185"/>
      <c r="C141" s="196">
        <v>42.0</v>
      </c>
      <c r="D141" s="184" t="s">
        <v>967</v>
      </c>
      <c r="E141" s="198" t="s">
        <v>967</v>
      </c>
      <c r="F141" s="1293" t="s">
        <v>186</v>
      </c>
      <c r="G141" s="1293" t="s">
        <v>135</v>
      </c>
      <c r="H141" s="1293" t="s">
        <v>135</v>
      </c>
      <c r="I141" s="1293" t="s">
        <v>203</v>
      </c>
      <c r="J141" s="1293" t="s">
        <v>187</v>
      </c>
      <c r="K141" s="1293" t="s">
        <v>1736</v>
      </c>
      <c r="L141" s="1292" t="s">
        <v>735</v>
      </c>
      <c r="M141" s="1294">
        <v>7.8125E7</v>
      </c>
      <c r="N141" s="1294">
        <v>7.8125E7</v>
      </c>
      <c r="O141" s="1294">
        <v>7.8125E7</v>
      </c>
      <c r="P141" s="1294">
        <v>7.8125E7</v>
      </c>
      <c r="Q141" s="1294">
        <v>7.8125E7</v>
      </c>
      <c r="R141" s="1294">
        <v>7.8125E7</v>
      </c>
      <c r="S141" s="1294">
        <v>7.8125E7</v>
      </c>
      <c r="T141" s="1294">
        <v>7.8125E7</v>
      </c>
      <c r="U141" s="1294">
        <v>7.8125E7</v>
      </c>
      <c r="V141" s="1294">
        <v>7.8125E7</v>
      </c>
      <c r="W141" s="1294">
        <v>7.8125E7</v>
      </c>
      <c r="X141" s="1294">
        <v>7.8125E7</v>
      </c>
      <c r="Y141" s="725">
        <v>9.375E8</v>
      </c>
    </row>
    <row r="142">
      <c r="A142" s="126" t="s">
        <v>756</v>
      </c>
      <c r="B142" s="185"/>
      <c r="C142" s="196">
        <v>43.0</v>
      </c>
      <c r="D142" s="784" t="s">
        <v>970</v>
      </c>
      <c r="E142" s="198" t="s">
        <v>1815</v>
      </c>
      <c r="F142" s="1293" t="s">
        <v>186</v>
      </c>
      <c r="G142" s="1293" t="s">
        <v>135</v>
      </c>
      <c r="H142" s="1293" t="s">
        <v>135</v>
      </c>
      <c r="I142" s="1293" t="s">
        <v>203</v>
      </c>
      <c r="J142" s="1293" t="s">
        <v>253</v>
      </c>
      <c r="K142" s="1293" t="s">
        <v>1739</v>
      </c>
      <c r="L142" s="1292" t="s">
        <v>730</v>
      </c>
      <c r="M142" s="1294">
        <v>2.7989549E7</v>
      </c>
      <c r="N142" s="1294">
        <v>2.7989549E7</v>
      </c>
      <c r="O142" s="1294">
        <v>2.7989549E7</v>
      </c>
      <c r="P142" s="1294">
        <v>2.7989549E7</v>
      </c>
      <c r="Q142" s="1294">
        <v>2.7989549E7</v>
      </c>
      <c r="R142" s="1294">
        <v>2.7989549E7</v>
      </c>
      <c r="S142" s="1294">
        <v>2.7989549E7</v>
      </c>
      <c r="T142" s="1294">
        <v>2.7989549E7</v>
      </c>
      <c r="U142" s="1294">
        <v>2.7989549E7</v>
      </c>
      <c r="V142" s="1294">
        <v>2.7989549E7</v>
      </c>
      <c r="W142" s="1294">
        <v>2.7989549E7</v>
      </c>
      <c r="X142" s="1294">
        <v>2.7989549E7</v>
      </c>
      <c r="Y142" s="725">
        <v>3.35874588E8</v>
      </c>
    </row>
    <row r="143">
      <c r="A143" s="126" t="s">
        <v>756</v>
      </c>
      <c r="B143" s="185"/>
      <c r="C143" s="196">
        <v>44.0</v>
      </c>
      <c r="D143" s="784" t="s">
        <v>981</v>
      </c>
      <c r="E143" s="198" t="s">
        <v>1816</v>
      </c>
      <c r="F143" s="1293" t="s">
        <v>186</v>
      </c>
      <c r="G143" s="1293" t="s">
        <v>103</v>
      </c>
      <c r="H143" s="1293" t="s">
        <v>84</v>
      </c>
      <c r="I143" s="1293" t="s">
        <v>84</v>
      </c>
      <c r="J143" s="1293" t="s">
        <v>187</v>
      </c>
      <c r="K143" s="1293" t="s">
        <v>1736</v>
      </c>
      <c r="L143" s="1292" t="s">
        <v>730</v>
      </c>
      <c r="M143" s="1294">
        <v>2.39686388E8</v>
      </c>
      <c r="N143" s="1294">
        <v>2.39686388E8</v>
      </c>
      <c r="O143" s="1294">
        <v>2.39686388E8</v>
      </c>
      <c r="P143" s="1294">
        <v>2.39686388E8</v>
      </c>
      <c r="Q143" s="1294">
        <v>2.39686388E8</v>
      </c>
      <c r="R143" s="1294">
        <v>2.39686388E8</v>
      </c>
      <c r="S143" s="1294">
        <v>2.39686388E8</v>
      </c>
      <c r="T143" s="1294">
        <v>2.39686388E8</v>
      </c>
      <c r="U143" s="1294">
        <v>2.39686388E8</v>
      </c>
      <c r="V143" s="1294">
        <v>2.39686388E8</v>
      </c>
      <c r="W143" s="1294">
        <v>2.39686388E8</v>
      </c>
      <c r="X143" s="1294">
        <v>2.39686388E8</v>
      </c>
      <c r="Y143" s="725">
        <v>2.876236656E9</v>
      </c>
    </row>
    <row r="144">
      <c r="A144" s="126" t="s">
        <v>756</v>
      </c>
      <c r="B144" s="185"/>
      <c r="C144" s="196">
        <v>45.0</v>
      </c>
      <c r="D144" s="784" t="s">
        <v>987</v>
      </c>
      <c r="E144" s="198" t="s">
        <v>1817</v>
      </c>
      <c r="F144" s="1293" t="s">
        <v>186</v>
      </c>
      <c r="G144" s="1293" t="s">
        <v>103</v>
      </c>
      <c r="H144" s="1293" t="s">
        <v>86</v>
      </c>
      <c r="I144" s="1293" t="s">
        <v>86</v>
      </c>
      <c r="J144" s="1293" t="s">
        <v>187</v>
      </c>
      <c r="K144" s="1293" t="s">
        <v>1736</v>
      </c>
      <c r="L144" s="1292" t="s">
        <v>730</v>
      </c>
      <c r="M144" s="1294">
        <v>8.0030935E7</v>
      </c>
      <c r="N144" s="1294">
        <v>8.0030935E7</v>
      </c>
      <c r="O144" s="1294">
        <v>8.0030935E7</v>
      </c>
      <c r="P144" s="1294">
        <v>8.0030935E7</v>
      </c>
      <c r="Q144" s="1294">
        <v>8.0030935E7</v>
      </c>
      <c r="R144" s="1294">
        <v>8.0030935E7</v>
      </c>
      <c r="S144" s="1294">
        <v>8.0030935E7</v>
      </c>
      <c r="T144" s="1294">
        <v>8.0030935E7</v>
      </c>
      <c r="U144" s="1294">
        <v>8.0030935E7</v>
      </c>
      <c r="V144" s="1294">
        <v>8.0030935E7</v>
      </c>
      <c r="W144" s="1294">
        <v>8.0030935E7</v>
      </c>
      <c r="X144" s="1294">
        <v>8.0030935E7</v>
      </c>
      <c r="Y144" s="725">
        <v>9.6037122E8</v>
      </c>
    </row>
    <row r="145">
      <c r="A145" s="126" t="s">
        <v>756</v>
      </c>
      <c r="B145" s="1096"/>
      <c r="C145" s="196">
        <v>46.0</v>
      </c>
      <c r="D145" s="788" t="s">
        <v>993</v>
      </c>
      <c r="E145" s="198" t="s">
        <v>1818</v>
      </c>
      <c r="F145" s="1293" t="s">
        <v>994</v>
      </c>
      <c r="G145" s="1293" t="s">
        <v>88</v>
      </c>
      <c r="H145" s="1293" t="s">
        <v>88</v>
      </c>
      <c r="I145" s="1293" t="s">
        <v>218</v>
      </c>
      <c r="J145" s="1293" t="s">
        <v>187</v>
      </c>
      <c r="K145" s="1293" t="s">
        <v>1736</v>
      </c>
      <c r="L145" s="1292" t="s">
        <v>730</v>
      </c>
      <c r="M145" s="1294">
        <v>1.354437354E9</v>
      </c>
      <c r="N145" s="1294">
        <v>1.354437354E9</v>
      </c>
      <c r="O145" s="1294">
        <v>1.354437354E9</v>
      </c>
      <c r="P145" s="1294">
        <v>1.354437354E9</v>
      </c>
      <c r="Q145" s="1294">
        <v>1.354437354E9</v>
      </c>
      <c r="R145" s="1294">
        <v>1.354437354E9</v>
      </c>
      <c r="S145" s="1294">
        <v>1.354437354E9</v>
      </c>
      <c r="T145" s="1294">
        <v>1.354437354E9</v>
      </c>
      <c r="U145" s="1294">
        <v>1.354437354E9</v>
      </c>
      <c r="V145" s="1294">
        <v>1.354437354E9</v>
      </c>
      <c r="W145" s="1294">
        <v>1.354437354E9</v>
      </c>
      <c r="X145" s="1294">
        <v>1.354437354E9</v>
      </c>
      <c r="Y145" s="725">
        <v>1.6253248248E10</v>
      </c>
    </row>
    <row r="146">
      <c r="A146" s="126"/>
      <c r="B146" s="1298"/>
      <c r="C146" s="196">
        <v>47.0</v>
      </c>
      <c r="D146" s="792" t="s">
        <v>1002</v>
      </c>
      <c r="E146" s="198" t="s">
        <v>1002</v>
      </c>
      <c r="F146" s="1293" t="s">
        <v>186</v>
      </c>
      <c r="G146" s="1293" t="s">
        <v>305</v>
      </c>
      <c r="H146" s="1293" t="s">
        <v>94</v>
      </c>
      <c r="I146" s="1293" t="s">
        <v>963</v>
      </c>
      <c r="J146" s="1293" t="s">
        <v>1003</v>
      </c>
      <c r="K146" s="1293" t="s">
        <v>1736</v>
      </c>
      <c r="L146" s="1292" t="s">
        <v>730</v>
      </c>
      <c r="M146" s="1300"/>
      <c r="N146" s="1300"/>
      <c r="O146" s="1300"/>
      <c r="P146" s="1300"/>
      <c r="Q146" s="1300"/>
      <c r="R146" s="1300"/>
      <c r="S146" s="1294">
        <v>4.7814425E7</v>
      </c>
      <c r="T146" s="1294">
        <v>4.7814425E7</v>
      </c>
      <c r="U146" s="1294">
        <v>4.7814425E7</v>
      </c>
      <c r="V146" s="1294">
        <v>4.7814425E7</v>
      </c>
      <c r="W146" s="1294">
        <v>4.7814425E7</v>
      </c>
      <c r="X146" s="1294">
        <v>4.7814425E7</v>
      </c>
      <c r="Y146" s="725">
        <v>2.8688655E8</v>
      </c>
    </row>
    <row r="147">
      <c r="A147" s="126"/>
      <c r="B147" s="1298"/>
      <c r="C147" s="433">
        <v>48.0</v>
      </c>
      <c r="D147" s="792" t="s">
        <v>1006</v>
      </c>
      <c r="E147" s="198" t="s">
        <v>1006</v>
      </c>
      <c r="F147" s="1293" t="s">
        <v>186</v>
      </c>
      <c r="G147" s="1293" t="s">
        <v>305</v>
      </c>
      <c r="H147" s="1293" t="s">
        <v>94</v>
      </c>
      <c r="I147" s="1293" t="s">
        <v>963</v>
      </c>
      <c r="J147" s="1293" t="s">
        <v>1003</v>
      </c>
      <c r="K147" s="1293" t="s">
        <v>1819</v>
      </c>
      <c r="L147" s="1292" t="s">
        <v>730</v>
      </c>
      <c r="M147" s="1300"/>
      <c r="N147" s="1300"/>
      <c r="O147" s="1300"/>
      <c r="P147" s="1300"/>
      <c r="Q147" s="1300"/>
      <c r="R147" s="1300"/>
      <c r="S147" s="1294">
        <v>2.35778219E8</v>
      </c>
      <c r="T147" s="1294">
        <v>2.35778219E8</v>
      </c>
      <c r="U147" s="1294">
        <v>2.35778219E8</v>
      </c>
      <c r="V147" s="1294">
        <v>2.35778219E8</v>
      </c>
      <c r="W147" s="1294">
        <v>2.35778219E8</v>
      </c>
      <c r="X147" s="1294">
        <v>2.35778219E8</v>
      </c>
      <c r="Y147" s="725">
        <v>1.414669314E9</v>
      </c>
    </row>
    <row r="148">
      <c r="A148" s="126" t="s">
        <v>756</v>
      </c>
      <c r="B148" s="1306"/>
      <c r="C148" s="394">
        <v>49.0</v>
      </c>
      <c r="D148" s="603" t="s">
        <v>1009</v>
      </c>
      <c r="E148" s="1305"/>
      <c r="F148" s="1291"/>
      <c r="G148" s="1291"/>
      <c r="H148" s="1291"/>
      <c r="I148" s="1291"/>
      <c r="J148" s="1291"/>
      <c r="K148" s="1291"/>
      <c r="L148" s="1292" t="s">
        <v>730</v>
      </c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  <c r="X148" s="754"/>
      <c r="Y148" s="754"/>
    </row>
    <row r="149">
      <c r="A149" s="391" t="s">
        <v>756</v>
      </c>
      <c r="B149" s="1303"/>
      <c r="C149" s="394">
        <v>50.0</v>
      </c>
      <c r="D149" s="804" t="s">
        <v>1015</v>
      </c>
      <c r="E149" s="198" t="s">
        <v>1820</v>
      </c>
      <c r="F149" s="1293" t="s">
        <v>994</v>
      </c>
      <c r="G149" s="1293" t="s">
        <v>88</v>
      </c>
      <c r="H149" s="1293" t="s">
        <v>88</v>
      </c>
      <c r="I149" s="1293" t="s">
        <v>218</v>
      </c>
      <c r="J149" s="1293" t="s">
        <v>253</v>
      </c>
      <c r="K149" s="1293" t="s">
        <v>1739</v>
      </c>
      <c r="L149" s="1292" t="s">
        <v>735</v>
      </c>
      <c r="M149" s="1294">
        <v>8.0143208E7</v>
      </c>
      <c r="N149" s="1294">
        <v>8.0143208E7</v>
      </c>
      <c r="O149" s="1294">
        <v>8.0143208E7</v>
      </c>
      <c r="P149" s="1294">
        <v>8.0143208E7</v>
      </c>
      <c r="Q149" s="1294">
        <v>8.0143208E7</v>
      </c>
      <c r="R149" s="1294">
        <v>8.0143208E7</v>
      </c>
      <c r="S149" s="1294">
        <v>8.0143208E7</v>
      </c>
      <c r="T149" s="1294">
        <v>8.0143208E7</v>
      </c>
      <c r="U149" s="1294">
        <v>8.0143208E7</v>
      </c>
      <c r="V149" s="1294">
        <v>8.0143208E7</v>
      </c>
      <c r="W149" s="1294">
        <v>8.0143208E7</v>
      </c>
      <c r="X149" s="1294">
        <v>8.0143208E7</v>
      </c>
      <c r="Y149" s="725">
        <v>9.61718496E8</v>
      </c>
    </row>
    <row r="150">
      <c r="A150" s="126"/>
      <c r="B150" s="1309"/>
      <c r="C150" s="433">
        <v>51.0</v>
      </c>
      <c r="D150" s="603" t="s">
        <v>1020</v>
      </c>
      <c r="E150" s="86"/>
      <c r="F150" s="1291"/>
      <c r="G150" s="1291"/>
      <c r="H150" s="1291"/>
      <c r="I150" s="1291"/>
      <c r="J150" s="1291"/>
      <c r="K150" s="1291"/>
      <c r="L150" s="1288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  <c r="X150" s="754"/>
      <c r="Y150" s="754"/>
    </row>
    <row r="151">
      <c r="A151" s="126"/>
      <c r="B151" s="1309"/>
      <c r="C151" s="394">
        <v>52.0</v>
      </c>
      <c r="D151" s="817" t="s">
        <v>1026</v>
      </c>
      <c r="E151" s="86"/>
      <c r="F151" s="1291"/>
      <c r="G151" s="1291"/>
      <c r="H151" s="1291"/>
      <c r="I151" s="1291"/>
      <c r="J151" s="1291"/>
      <c r="K151" s="1291"/>
      <c r="L151" s="1288"/>
      <c r="M151" s="754"/>
      <c r="N151" s="754"/>
      <c r="O151" s="754"/>
      <c r="P151" s="754"/>
      <c r="Q151" s="754"/>
      <c r="R151" s="754"/>
      <c r="S151" s="754"/>
      <c r="T151" s="754"/>
      <c r="U151" s="754"/>
      <c r="V151" s="754"/>
      <c r="W151" s="754"/>
      <c r="X151" s="754"/>
      <c r="Y151" s="754"/>
    </row>
    <row r="152">
      <c r="A152" s="126"/>
      <c r="B152" s="1309"/>
      <c r="C152" s="433">
        <v>53.0</v>
      </c>
      <c r="D152" s="817" t="s">
        <v>1033</v>
      </c>
      <c r="E152" s="86"/>
      <c r="F152" s="1291"/>
      <c r="G152" s="1291"/>
      <c r="H152" s="1291"/>
      <c r="I152" s="1291"/>
      <c r="J152" s="1291"/>
      <c r="K152" s="1291"/>
      <c r="L152" s="1288"/>
      <c r="M152" s="754"/>
      <c r="N152" s="754"/>
      <c r="O152" s="754"/>
      <c r="P152" s="754"/>
      <c r="Q152" s="754"/>
      <c r="R152" s="754"/>
      <c r="S152" s="754"/>
      <c r="T152" s="754"/>
      <c r="U152" s="754"/>
      <c r="V152" s="754"/>
      <c r="W152" s="754"/>
      <c r="X152" s="754"/>
      <c r="Y152" s="754"/>
    </row>
    <row r="153">
      <c r="A153" s="126"/>
      <c r="B153" s="1309"/>
      <c r="C153" s="394">
        <v>54.0</v>
      </c>
      <c r="D153" s="817" t="s">
        <v>1037</v>
      </c>
      <c r="E153" s="86"/>
      <c r="F153" s="1291"/>
      <c r="G153" s="1291"/>
      <c r="H153" s="1291"/>
      <c r="I153" s="1291"/>
      <c r="J153" s="1291"/>
      <c r="K153" s="1291"/>
      <c r="L153" s="1288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  <c r="X153" s="754"/>
      <c r="Y153" s="754"/>
    </row>
    <row r="154">
      <c r="A154" s="126"/>
      <c r="B154" s="1309"/>
      <c r="C154" s="394">
        <v>55.0</v>
      </c>
      <c r="D154" s="817" t="s">
        <v>1042</v>
      </c>
      <c r="E154" s="86"/>
      <c r="F154" s="1291"/>
      <c r="G154" s="1291"/>
      <c r="H154" s="1291"/>
      <c r="I154" s="1291"/>
      <c r="J154" s="1291"/>
      <c r="K154" s="1291"/>
      <c r="L154" s="1288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  <c r="X154" s="754"/>
      <c r="Y154" s="754"/>
    </row>
    <row r="155">
      <c r="A155" s="126"/>
      <c r="B155" s="1301"/>
      <c r="C155" s="394">
        <v>56.0</v>
      </c>
      <c r="D155" s="817" t="s">
        <v>1048</v>
      </c>
      <c r="E155" s="86"/>
      <c r="F155" s="1291"/>
      <c r="G155" s="1291"/>
      <c r="H155" s="1291"/>
      <c r="I155" s="1291"/>
      <c r="J155" s="1291"/>
      <c r="K155" s="1291"/>
      <c r="L155" s="1288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  <c r="X155" s="754"/>
      <c r="Y155" s="754"/>
    </row>
    <row r="156">
      <c r="A156" s="126"/>
      <c r="B156" s="1301"/>
      <c r="C156" s="394">
        <v>57.0</v>
      </c>
      <c r="D156" s="817" t="s">
        <v>1053</v>
      </c>
      <c r="E156" s="86"/>
      <c r="F156" s="1291"/>
      <c r="G156" s="1291"/>
      <c r="H156" s="1291"/>
      <c r="I156" s="1291"/>
      <c r="J156" s="1291"/>
      <c r="K156" s="1291"/>
      <c r="L156" s="1288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  <c r="X156" s="754"/>
      <c r="Y156" s="754"/>
    </row>
    <row r="157">
      <c r="A157" s="126"/>
      <c r="B157" s="1301"/>
      <c r="C157" s="394">
        <v>58.0</v>
      </c>
      <c r="D157" s="817" t="s">
        <v>1057</v>
      </c>
      <c r="E157" s="86"/>
      <c r="F157" s="1291"/>
      <c r="G157" s="1291"/>
      <c r="H157" s="1291"/>
      <c r="I157" s="1291"/>
      <c r="J157" s="1291"/>
      <c r="K157" s="1291"/>
      <c r="L157" s="1288"/>
      <c r="M157" s="754"/>
      <c r="N157" s="754"/>
      <c r="O157" s="754"/>
      <c r="P157" s="754"/>
      <c r="Q157" s="754"/>
      <c r="R157" s="754"/>
      <c r="S157" s="754"/>
      <c r="T157" s="754"/>
      <c r="U157" s="754"/>
      <c r="V157" s="754"/>
      <c r="W157" s="754"/>
      <c r="X157" s="754"/>
      <c r="Y157" s="754"/>
    </row>
    <row r="158">
      <c r="A158" s="126"/>
      <c r="B158" s="1306"/>
      <c r="C158" s="394">
        <v>59.0</v>
      </c>
      <c r="D158" s="831" t="s">
        <v>1063</v>
      </c>
      <c r="E158" s="1305"/>
      <c r="F158" s="1291"/>
      <c r="G158" s="1291"/>
      <c r="H158" s="1291"/>
      <c r="I158" s="1291"/>
      <c r="J158" s="1291"/>
      <c r="K158" s="1291"/>
      <c r="L158" s="1288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  <c r="X158" s="754"/>
      <c r="Y158" s="754"/>
    </row>
    <row r="159">
      <c r="A159" s="126"/>
      <c r="B159" s="1306"/>
      <c r="C159" s="394">
        <v>60.0</v>
      </c>
      <c r="D159" s="837" t="s">
        <v>1067</v>
      </c>
      <c r="E159" s="1305"/>
      <c r="F159" s="1291"/>
      <c r="G159" s="1291"/>
      <c r="H159" s="1291"/>
      <c r="I159" s="1291"/>
      <c r="J159" s="1291"/>
      <c r="K159" s="1291"/>
      <c r="L159" s="1288"/>
      <c r="M159" s="754"/>
      <c r="N159" s="754"/>
      <c r="O159" s="754"/>
      <c r="P159" s="754"/>
      <c r="Q159" s="754"/>
      <c r="R159" s="754"/>
      <c r="S159" s="754"/>
      <c r="T159" s="754"/>
      <c r="U159" s="754"/>
      <c r="V159" s="754"/>
      <c r="W159" s="754"/>
      <c r="X159" s="754"/>
      <c r="Y159" s="754"/>
    </row>
    <row r="160">
      <c r="A160" s="126"/>
      <c r="B160" s="1306"/>
      <c r="C160" s="196">
        <v>61.0</v>
      </c>
      <c r="D160" s="839" t="s">
        <v>1071</v>
      </c>
      <c r="E160" s="86"/>
      <c r="F160" s="86"/>
      <c r="G160" s="86"/>
      <c r="H160" s="86"/>
      <c r="I160" s="86"/>
      <c r="J160" s="86"/>
      <c r="K160" s="86"/>
    </row>
    <row r="161">
      <c r="A161" s="126"/>
      <c r="B161" s="1322"/>
      <c r="C161" s="196">
        <v>62.0</v>
      </c>
      <c r="D161" s="817" t="s">
        <v>1076</v>
      </c>
      <c r="E161" s="86"/>
      <c r="F161" s="1291"/>
      <c r="G161" s="1291"/>
      <c r="H161" s="1291"/>
      <c r="I161" s="1291"/>
      <c r="J161" s="1291"/>
      <c r="K161" s="1291"/>
      <c r="L161" s="1288"/>
      <c r="M161" s="754"/>
      <c r="N161" s="754"/>
      <c r="O161" s="754"/>
      <c r="P161" s="754"/>
      <c r="Q161" s="754"/>
      <c r="R161" s="754"/>
      <c r="S161" s="754"/>
      <c r="T161" s="754"/>
      <c r="U161" s="754"/>
      <c r="V161" s="754"/>
      <c r="W161" s="754"/>
      <c r="X161" s="754"/>
      <c r="Y161" s="754"/>
    </row>
    <row r="162">
      <c r="A162" s="126"/>
      <c r="B162" s="1322"/>
      <c r="C162" s="196">
        <v>63.0</v>
      </c>
      <c r="D162" s="817" t="s">
        <v>1081</v>
      </c>
      <c r="E162" s="86"/>
      <c r="F162" s="1291"/>
      <c r="G162" s="1291"/>
      <c r="H162" s="1291"/>
      <c r="I162" s="1291"/>
      <c r="J162" s="1291"/>
      <c r="K162" s="1291"/>
      <c r="L162" s="1288"/>
      <c r="M162" s="754"/>
      <c r="N162" s="754"/>
      <c r="O162" s="754"/>
      <c r="P162" s="754"/>
      <c r="Q162" s="754"/>
      <c r="R162" s="754"/>
      <c r="S162" s="754"/>
      <c r="T162" s="754"/>
      <c r="U162" s="754"/>
      <c r="V162" s="754"/>
      <c r="W162" s="754"/>
      <c r="X162" s="754"/>
      <c r="Y162" s="754"/>
    </row>
    <row r="163">
      <c r="A163" s="126"/>
      <c r="B163" s="1322"/>
      <c r="C163" s="394">
        <v>64.0</v>
      </c>
      <c r="D163" s="817" t="s">
        <v>1086</v>
      </c>
      <c r="E163" s="86"/>
      <c r="F163" s="1291"/>
      <c r="G163" s="1291"/>
      <c r="H163" s="1291"/>
      <c r="I163" s="1291"/>
      <c r="J163" s="1291"/>
      <c r="K163" s="1291"/>
      <c r="L163" s="1288"/>
      <c r="M163" s="754"/>
      <c r="N163" s="754"/>
      <c r="O163" s="754"/>
      <c r="P163" s="754"/>
      <c r="Q163" s="754"/>
      <c r="R163" s="754"/>
      <c r="S163" s="754"/>
      <c r="T163" s="754"/>
      <c r="U163" s="754"/>
      <c r="V163" s="754"/>
      <c r="W163" s="754"/>
      <c r="X163" s="754"/>
      <c r="Y163" s="754"/>
    </row>
    <row r="164">
      <c r="A164" s="126"/>
      <c r="B164" s="1322"/>
      <c r="C164" s="394">
        <v>65.0</v>
      </c>
      <c r="D164" s="817" t="s">
        <v>1090</v>
      </c>
      <c r="E164" s="86"/>
      <c r="F164" s="1291"/>
      <c r="G164" s="1291"/>
      <c r="H164" s="1291"/>
      <c r="I164" s="1291"/>
      <c r="J164" s="1291"/>
      <c r="K164" s="1291"/>
      <c r="L164" s="1288"/>
      <c r="M164" s="754"/>
      <c r="N164" s="754"/>
      <c r="O164" s="754"/>
      <c r="P164" s="754"/>
      <c r="Q164" s="754"/>
      <c r="R164" s="754"/>
      <c r="S164" s="754"/>
      <c r="T164" s="754"/>
      <c r="U164" s="754"/>
      <c r="V164" s="754"/>
      <c r="W164" s="754"/>
      <c r="X164" s="754"/>
      <c r="Y164" s="754"/>
    </row>
    <row r="165">
      <c r="A165" s="126"/>
      <c r="B165" s="1322"/>
      <c r="C165" s="394">
        <v>66.0</v>
      </c>
      <c r="D165" s="817" t="s">
        <v>1094</v>
      </c>
      <c r="E165" s="86"/>
      <c r="F165" s="1291"/>
      <c r="G165" s="1291"/>
      <c r="H165" s="1291"/>
      <c r="I165" s="1291"/>
      <c r="J165" s="1291"/>
      <c r="K165" s="1291"/>
      <c r="L165" s="1288"/>
      <c r="M165" s="754"/>
      <c r="N165" s="754"/>
      <c r="O165" s="754"/>
      <c r="P165" s="754"/>
      <c r="Q165" s="754"/>
      <c r="R165" s="754"/>
      <c r="S165" s="754"/>
      <c r="T165" s="754"/>
      <c r="U165" s="754"/>
      <c r="V165" s="754"/>
      <c r="W165" s="754"/>
      <c r="X165" s="754"/>
      <c r="Y165" s="754"/>
    </row>
    <row r="166">
      <c r="A166" s="126"/>
      <c r="B166" s="1322"/>
      <c r="C166" s="394">
        <v>67.0</v>
      </c>
      <c r="D166" s="817" t="s">
        <v>1098</v>
      </c>
      <c r="E166" s="86"/>
      <c r="F166" s="1291"/>
      <c r="G166" s="1291"/>
      <c r="H166" s="1291"/>
      <c r="I166" s="1291"/>
      <c r="J166" s="1291"/>
      <c r="K166" s="1291"/>
      <c r="L166" s="1288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  <c r="X166" s="754"/>
      <c r="Y166" s="754"/>
    </row>
    <row r="167">
      <c r="A167" s="126"/>
      <c r="B167" s="1322"/>
      <c r="C167" s="394">
        <v>68.0</v>
      </c>
      <c r="D167" s="817" t="s">
        <v>1102</v>
      </c>
      <c r="E167" s="86"/>
      <c r="F167" s="1291"/>
      <c r="G167" s="1291"/>
      <c r="H167" s="1291"/>
      <c r="I167" s="1291"/>
      <c r="J167" s="1291"/>
      <c r="K167" s="1291"/>
      <c r="L167" s="1288"/>
      <c r="M167" s="754"/>
      <c r="N167" s="754"/>
      <c r="O167" s="754"/>
      <c r="P167" s="754"/>
      <c r="Q167" s="754"/>
      <c r="R167" s="754"/>
      <c r="S167" s="754"/>
      <c r="T167" s="754"/>
      <c r="U167" s="754"/>
      <c r="V167" s="754"/>
      <c r="W167" s="754"/>
      <c r="X167" s="754"/>
      <c r="Y167" s="754"/>
    </row>
    <row r="168">
      <c r="A168" s="126"/>
      <c r="B168" s="1322"/>
      <c r="C168" s="394">
        <v>69.0</v>
      </c>
      <c r="D168" s="817" t="s">
        <v>1106</v>
      </c>
      <c r="E168" s="86"/>
      <c r="F168" s="1291"/>
      <c r="G168" s="1291"/>
      <c r="H168" s="1291"/>
      <c r="I168" s="1291"/>
      <c r="J168" s="1291"/>
      <c r="K168" s="1291"/>
      <c r="L168" s="1288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  <c r="X168" s="754"/>
      <c r="Y168" s="754"/>
    </row>
    <row r="169">
      <c r="A169" s="391"/>
      <c r="B169" s="1298"/>
      <c r="C169" s="394">
        <v>70.0</v>
      </c>
      <c r="D169" s="868" t="s">
        <v>1111</v>
      </c>
      <c r="E169" s="198" t="s">
        <v>1111</v>
      </c>
      <c r="F169" s="1293" t="s">
        <v>326</v>
      </c>
      <c r="G169" s="1293" t="s">
        <v>305</v>
      </c>
      <c r="H169" s="1293" t="s">
        <v>327</v>
      </c>
      <c r="I169" s="1293" t="s">
        <v>328</v>
      </c>
      <c r="J169" s="1293" t="s">
        <v>187</v>
      </c>
      <c r="K169" s="1293" t="s">
        <v>1736</v>
      </c>
      <c r="L169" s="1292" t="s">
        <v>735</v>
      </c>
      <c r="M169" s="1294">
        <v>1.580572838E9</v>
      </c>
      <c r="N169" s="1294">
        <v>1.580572838E9</v>
      </c>
      <c r="O169" s="1294">
        <v>1.580572838E9</v>
      </c>
      <c r="P169" s="1294">
        <v>1.580572838E9</v>
      </c>
      <c r="Q169" s="1294">
        <v>1.580572838E9</v>
      </c>
      <c r="R169" s="1294">
        <v>1.580572838E9</v>
      </c>
      <c r="S169" s="1294">
        <v>1.580572838E9</v>
      </c>
      <c r="T169" s="1294">
        <v>1.580572838E9</v>
      </c>
      <c r="U169" s="1294">
        <v>1.580572838E9</v>
      </c>
      <c r="V169" s="1294">
        <v>1.580572838E9</v>
      </c>
      <c r="W169" s="1294">
        <v>1.580572838E9</v>
      </c>
      <c r="X169" s="1294">
        <v>1.580572838E9</v>
      </c>
      <c r="Y169" s="725">
        <v>1.8966874056E10</v>
      </c>
    </row>
    <row r="170">
      <c r="A170" s="391"/>
      <c r="B170" s="1298"/>
      <c r="C170" s="394">
        <v>71.0</v>
      </c>
      <c r="D170" s="395" t="s">
        <v>1114</v>
      </c>
      <c r="E170" s="198" t="s">
        <v>1821</v>
      </c>
      <c r="F170" s="1293" t="s">
        <v>186</v>
      </c>
      <c r="G170" s="1293" t="s">
        <v>98</v>
      </c>
      <c r="H170" s="1293" t="s">
        <v>320</v>
      </c>
      <c r="I170" s="1293" t="s">
        <v>320</v>
      </c>
      <c r="J170" s="1293" t="s">
        <v>253</v>
      </c>
      <c r="K170" s="1293" t="s">
        <v>1739</v>
      </c>
      <c r="L170" s="1292" t="s">
        <v>735</v>
      </c>
      <c r="M170" s="1294">
        <v>6.874480616E9</v>
      </c>
      <c r="N170" s="1294">
        <v>6.209208299E9</v>
      </c>
      <c r="O170" s="1294">
        <v>6.874480616E9</v>
      </c>
      <c r="P170" s="1300"/>
      <c r="Q170" s="1300"/>
      <c r="R170" s="1300"/>
      <c r="S170" s="1300"/>
      <c r="T170" s="1300"/>
      <c r="U170" s="1300"/>
      <c r="V170" s="1300"/>
      <c r="W170" s="1300"/>
      <c r="X170" s="1300"/>
      <c r="Y170" s="725">
        <v>1.9958169532E10</v>
      </c>
    </row>
    <row r="171">
      <c r="A171" s="391"/>
      <c r="B171" s="1298"/>
      <c r="C171" s="394">
        <v>72.0</v>
      </c>
      <c r="D171" s="873" t="s">
        <v>1119</v>
      </c>
      <c r="E171" s="198" t="s">
        <v>1822</v>
      </c>
      <c r="F171" s="1293" t="s">
        <v>186</v>
      </c>
      <c r="G171" s="1293" t="s">
        <v>98</v>
      </c>
      <c r="H171" s="1293" t="s">
        <v>320</v>
      </c>
      <c r="I171" s="1293" t="s">
        <v>320</v>
      </c>
      <c r="J171" s="1293" t="s">
        <v>253</v>
      </c>
      <c r="K171" s="1293" t="s">
        <v>1739</v>
      </c>
      <c r="L171" s="1292" t="s">
        <v>735</v>
      </c>
      <c r="M171" s="1294">
        <v>1.66666667E8</v>
      </c>
      <c r="N171" s="1294">
        <v>1.66666667E8</v>
      </c>
      <c r="O171" s="1294">
        <v>1.66666667E8</v>
      </c>
      <c r="P171" s="1300"/>
      <c r="Q171" s="1300"/>
      <c r="R171" s="1300"/>
      <c r="S171" s="1300"/>
      <c r="T171" s="1300"/>
      <c r="U171" s="1300"/>
      <c r="V171" s="1300"/>
      <c r="W171" s="1300"/>
      <c r="X171" s="1300"/>
      <c r="Y171" s="725">
        <v>5.0E8</v>
      </c>
    </row>
    <row r="172">
      <c r="A172" s="391"/>
      <c r="B172" s="1298"/>
      <c r="C172" s="394">
        <v>73.0</v>
      </c>
      <c r="D172" s="884" t="s">
        <v>1123</v>
      </c>
      <c r="E172" s="198" t="s">
        <v>1823</v>
      </c>
      <c r="F172" s="1293" t="s">
        <v>186</v>
      </c>
      <c r="G172" s="1293" t="s">
        <v>98</v>
      </c>
      <c r="H172" s="1293" t="s">
        <v>320</v>
      </c>
      <c r="I172" s="1293" t="s">
        <v>320</v>
      </c>
      <c r="J172" s="1293" t="s">
        <v>253</v>
      </c>
      <c r="K172" s="1293" t="s">
        <v>1739</v>
      </c>
      <c r="L172" s="1292" t="s">
        <v>735</v>
      </c>
      <c r="M172" s="1294">
        <v>1.4896182E8</v>
      </c>
      <c r="N172" s="1294">
        <v>1.3454616E8</v>
      </c>
      <c r="O172" s="1294">
        <v>1.4896182E8</v>
      </c>
      <c r="P172" s="1300"/>
      <c r="Q172" s="1300"/>
      <c r="R172" s="1300"/>
      <c r="S172" s="1300"/>
      <c r="T172" s="1300"/>
      <c r="U172" s="1300"/>
      <c r="V172" s="1300"/>
      <c r="W172" s="1300"/>
      <c r="X172" s="1300"/>
      <c r="Y172" s="725">
        <v>4.324698E8</v>
      </c>
    </row>
    <row r="173">
      <c r="A173" s="391"/>
      <c r="B173" s="1298"/>
      <c r="C173" s="394">
        <v>74.0</v>
      </c>
      <c r="D173" s="885" t="s">
        <v>1128</v>
      </c>
      <c r="E173" s="198" t="s">
        <v>1128</v>
      </c>
      <c r="F173" s="1293" t="s">
        <v>326</v>
      </c>
      <c r="G173" s="1293" t="s">
        <v>98</v>
      </c>
      <c r="H173" s="1293" t="s">
        <v>98</v>
      </c>
      <c r="I173" s="1293" t="s">
        <v>1129</v>
      </c>
      <c r="J173" s="1293" t="s">
        <v>187</v>
      </c>
      <c r="K173" s="1293" t="s">
        <v>1736</v>
      </c>
      <c r="L173" s="1292" t="s">
        <v>735</v>
      </c>
      <c r="M173" s="1294">
        <v>5.625E8</v>
      </c>
      <c r="N173" s="1294">
        <v>5.625E8</v>
      </c>
      <c r="O173" s="1294">
        <v>5.625E8</v>
      </c>
      <c r="P173" s="1294">
        <v>5.625E8</v>
      </c>
      <c r="Q173" s="1294">
        <v>5.625E8</v>
      </c>
      <c r="R173" s="1294">
        <v>5.625E8</v>
      </c>
      <c r="S173" s="1294">
        <v>5.625E8</v>
      </c>
      <c r="T173" s="1294">
        <v>5.625E8</v>
      </c>
      <c r="U173" s="1300"/>
      <c r="V173" s="1300"/>
      <c r="W173" s="1300"/>
      <c r="X173" s="1300"/>
      <c r="Y173" s="725">
        <v>4.5E9</v>
      </c>
    </row>
    <row r="174">
      <c r="A174" s="391"/>
      <c r="B174" s="1298"/>
      <c r="C174" s="394">
        <v>75.0</v>
      </c>
      <c r="D174" s="885" t="s">
        <v>1132</v>
      </c>
      <c r="E174" s="198" t="s">
        <v>1824</v>
      </c>
      <c r="F174" s="1293" t="s">
        <v>326</v>
      </c>
      <c r="G174" s="1293" t="s">
        <v>98</v>
      </c>
      <c r="H174" s="1293" t="s">
        <v>98</v>
      </c>
      <c r="I174" s="1293" t="s">
        <v>1129</v>
      </c>
      <c r="J174" s="1293" t="s">
        <v>187</v>
      </c>
      <c r="K174" s="1293" t="s">
        <v>1736</v>
      </c>
      <c r="L174" s="1292" t="s">
        <v>735</v>
      </c>
      <c r="M174" s="1300"/>
      <c r="N174" s="1300"/>
      <c r="O174" s="1294">
        <v>6.5E8</v>
      </c>
      <c r="P174" s="1300"/>
      <c r="Q174" s="1300"/>
      <c r="R174" s="1300"/>
      <c r="S174" s="1300"/>
      <c r="T174" s="1300"/>
      <c r="U174" s="1300"/>
      <c r="V174" s="1300"/>
      <c r="W174" s="1300"/>
      <c r="X174" s="1300"/>
      <c r="Y174" s="725">
        <v>6.5E8</v>
      </c>
    </row>
    <row r="175">
      <c r="A175" s="391"/>
      <c r="B175" s="1298"/>
      <c r="C175" s="394">
        <v>76.0</v>
      </c>
      <c r="D175" s="885" t="s">
        <v>1135</v>
      </c>
      <c r="E175" s="198" t="s">
        <v>1825</v>
      </c>
      <c r="F175" s="1293" t="s">
        <v>326</v>
      </c>
      <c r="G175" s="1293" t="s">
        <v>98</v>
      </c>
      <c r="H175" s="1293" t="s">
        <v>98</v>
      </c>
      <c r="I175" s="1293" t="s">
        <v>1129</v>
      </c>
      <c r="J175" s="1293" t="s">
        <v>187</v>
      </c>
      <c r="K175" s="1293" t="s">
        <v>1736</v>
      </c>
      <c r="L175" s="1292" t="s">
        <v>735</v>
      </c>
      <c r="M175" s="1300"/>
      <c r="N175" s="1300"/>
      <c r="O175" s="1300"/>
      <c r="P175" s="1294">
        <v>2.16666667E8</v>
      </c>
      <c r="Q175" s="1300"/>
      <c r="R175" s="1300"/>
      <c r="S175" s="1300"/>
      <c r="T175" s="1294">
        <v>2.16666667E8</v>
      </c>
      <c r="U175" s="1300"/>
      <c r="V175" s="1300"/>
      <c r="W175" s="1300"/>
      <c r="X175" s="1294">
        <v>2.16666667E8</v>
      </c>
      <c r="Y175" s="725">
        <v>6.5E8</v>
      </c>
    </row>
    <row r="176">
      <c r="A176" s="391"/>
      <c r="B176" s="1298"/>
      <c r="C176" s="394">
        <v>77.0</v>
      </c>
      <c r="D176" s="885" t="s">
        <v>1138</v>
      </c>
      <c r="E176" s="198" t="s">
        <v>1826</v>
      </c>
      <c r="F176" s="1293" t="s">
        <v>326</v>
      </c>
      <c r="G176" s="1293" t="s">
        <v>98</v>
      </c>
      <c r="H176" s="1293" t="s">
        <v>98</v>
      </c>
      <c r="I176" s="1293" t="s">
        <v>1129</v>
      </c>
      <c r="J176" s="1293" t="s">
        <v>187</v>
      </c>
      <c r="K176" s="1293" t="s">
        <v>1736</v>
      </c>
      <c r="L176" s="1292" t="s">
        <v>735</v>
      </c>
      <c r="M176" s="1300"/>
      <c r="N176" s="1300"/>
      <c r="O176" s="1300"/>
      <c r="P176" s="1300"/>
      <c r="Q176" s="1300"/>
      <c r="R176" s="1294">
        <v>1.875E8</v>
      </c>
      <c r="S176" s="1300"/>
      <c r="T176" s="1294">
        <v>1.875E8</v>
      </c>
      <c r="U176" s="1300"/>
      <c r="V176" s="1294">
        <v>1.875E8</v>
      </c>
      <c r="W176" s="1300"/>
      <c r="X176" s="1294">
        <v>1.875E8</v>
      </c>
      <c r="Y176" s="725">
        <v>7.5E8</v>
      </c>
    </row>
    <row r="177">
      <c r="A177" s="391"/>
      <c r="B177" s="1298"/>
      <c r="C177" s="394">
        <v>78.0</v>
      </c>
      <c r="D177" s="885" t="s">
        <v>1141</v>
      </c>
      <c r="E177" s="198" t="s">
        <v>1141</v>
      </c>
      <c r="F177" s="1293" t="s">
        <v>326</v>
      </c>
      <c r="G177" s="1293" t="s">
        <v>98</v>
      </c>
      <c r="H177" s="1293" t="s">
        <v>98</v>
      </c>
      <c r="I177" s="1293" t="s">
        <v>1129</v>
      </c>
      <c r="J177" s="1293" t="s">
        <v>187</v>
      </c>
      <c r="K177" s="1293" t="s">
        <v>1736</v>
      </c>
      <c r="L177" s="1292" t="s">
        <v>735</v>
      </c>
      <c r="M177" s="1300"/>
      <c r="N177" s="1300"/>
      <c r="O177" s="1300"/>
      <c r="P177" s="1300"/>
      <c r="Q177" s="1294">
        <v>1.875E8</v>
      </c>
      <c r="R177" s="1300"/>
      <c r="S177" s="1294">
        <v>1.875E8</v>
      </c>
      <c r="T177" s="1300"/>
      <c r="U177" s="1294">
        <v>1.875E8</v>
      </c>
      <c r="V177" s="1300"/>
      <c r="W177" s="1294">
        <v>1.875E8</v>
      </c>
      <c r="X177" s="1300"/>
      <c r="Y177" s="725">
        <v>7.5E8</v>
      </c>
    </row>
    <row r="178">
      <c r="A178" s="391"/>
      <c r="B178" s="1298"/>
      <c r="C178" s="394">
        <v>79.0</v>
      </c>
      <c r="D178" s="885" t="s">
        <v>1144</v>
      </c>
      <c r="E178" s="198" t="s">
        <v>1144</v>
      </c>
      <c r="F178" s="1293" t="s">
        <v>326</v>
      </c>
      <c r="G178" s="1293" t="s">
        <v>98</v>
      </c>
      <c r="H178" s="1293" t="s">
        <v>98</v>
      </c>
      <c r="I178" s="1293" t="s">
        <v>1129</v>
      </c>
      <c r="J178" s="1293" t="s">
        <v>187</v>
      </c>
      <c r="K178" s="1293" t="s">
        <v>1736</v>
      </c>
      <c r="L178" s="1292" t="s">
        <v>735</v>
      </c>
      <c r="M178" s="1300"/>
      <c r="N178" s="1300"/>
      <c r="O178" s="1300"/>
      <c r="P178" s="1300"/>
      <c r="Q178" s="1300"/>
      <c r="R178" s="1300"/>
      <c r="S178" s="1294">
        <v>4.5E9</v>
      </c>
      <c r="T178" s="1294">
        <v>4.5E9</v>
      </c>
      <c r="U178" s="1300"/>
      <c r="V178" s="1300"/>
      <c r="W178" s="1300"/>
      <c r="X178" s="1300"/>
      <c r="Y178" s="725">
        <v>9.0E9</v>
      </c>
    </row>
    <row r="179">
      <c r="A179" s="391"/>
      <c r="B179" s="1298"/>
      <c r="C179" s="394">
        <v>80.0</v>
      </c>
      <c r="D179" s="885" t="s">
        <v>1147</v>
      </c>
      <c r="E179" s="198" t="s">
        <v>1827</v>
      </c>
      <c r="F179" s="1293" t="s">
        <v>326</v>
      </c>
      <c r="G179" s="1293" t="s">
        <v>98</v>
      </c>
      <c r="H179" s="1293" t="s">
        <v>98</v>
      </c>
      <c r="I179" s="1293" t="s">
        <v>1129</v>
      </c>
      <c r="J179" s="1293" t="s">
        <v>187</v>
      </c>
      <c r="K179" s="1293" t="s">
        <v>1736</v>
      </c>
      <c r="L179" s="1292" t="s">
        <v>735</v>
      </c>
      <c r="M179" s="1300"/>
      <c r="N179" s="1300"/>
      <c r="O179" s="1300"/>
      <c r="P179" s="1300"/>
      <c r="Q179" s="1300"/>
      <c r="R179" s="1300"/>
      <c r="S179" s="1300"/>
      <c r="T179" s="1294">
        <v>1.0E9</v>
      </c>
      <c r="U179" s="1300"/>
      <c r="V179" s="1300"/>
      <c r="W179" s="1300"/>
      <c r="X179" s="1300"/>
      <c r="Y179" s="725">
        <v>1.0E9</v>
      </c>
    </row>
    <row r="180">
      <c r="A180" s="391"/>
      <c r="B180" s="1298"/>
      <c r="C180" s="394">
        <v>81.0</v>
      </c>
      <c r="D180" s="885" t="s">
        <v>1150</v>
      </c>
      <c r="E180" s="198" t="s">
        <v>1150</v>
      </c>
      <c r="F180" s="1293" t="s">
        <v>326</v>
      </c>
      <c r="G180" s="1293" t="s">
        <v>98</v>
      </c>
      <c r="H180" s="1293" t="s">
        <v>98</v>
      </c>
      <c r="I180" s="1293" t="s">
        <v>1129</v>
      </c>
      <c r="J180" s="1293" t="s">
        <v>187</v>
      </c>
      <c r="K180" s="1293" t="s">
        <v>1736</v>
      </c>
      <c r="L180" s="1292" t="s">
        <v>735</v>
      </c>
      <c r="M180" s="1300"/>
      <c r="N180" s="1300"/>
      <c r="O180" s="1300"/>
      <c r="P180" s="1300"/>
      <c r="Q180" s="1300"/>
      <c r="R180" s="1300"/>
      <c r="S180" s="1300"/>
      <c r="T180" s="1300"/>
      <c r="U180" s="1300"/>
      <c r="V180" s="1300"/>
      <c r="W180" s="1300"/>
      <c r="X180" s="1294">
        <v>8.5E8</v>
      </c>
      <c r="Y180" s="725">
        <v>8.5E8</v>
      </c>
    </row>
    <row r="181">
      <c r="A181" s="391"/>
      <c r="B181" s="1298"/>
      <c r="C181" s="394">
        <v>82.0</v>
      </c>
      <c r="D181" s="885" t="s">
        <v>1153</v>
      </c>
      <c r="E181" s="198" t="s">
        <v>1153</v>
      </c>
      <c r="F181" s="1293" t="s">
        <v>326</v>
      </c>
      <c r="G181" s="1293" t="s">
        <v>98</v>
      </c>
      <c r="H181" s="1293" t="s">
        <v>98</v>
      </c>
      <c r="I181" s="1293" t="s">
        <v>1154</v>
      </c>
      <c r="J181" s="1293" t="s">
        <v>187</v>
      </c>
      <c r="K181" s="1293" t="s">
        <v>1736</v>
      </c>
      <c r="L181" s="1292" t="s">
        <v>735</v>
      </c>
      <c r="M181" s="1294">
        <v>2.025E8</v>
      </c>
      <c r="N181" s="1294">
        <v>2.025E8</v>
      </c>
      <c r="O181" s="1300"/>
      <c r="P181" s="1300"/>
      <c r="Q181" s="1300"/>
      <c r="R181" s="1300"/>
      <c r="S181" s="1300"/>
      <c r="T181" s="1300"/>
      <c r="U181" s="1300"/>
      <c r="V181" s="1300"/>
      <c r="W181" s="1300"/>
      <c r="X181" s="1300"/>
      <c r="Y181" s="725">
        <v>4.05E8</v>
      </c>
    </row>
    <row r="182">
      <c r="A182" s="391"/>
      <c r="B182" s="1298"/>
      <c r="C182" s="394">
        <v>83.0</v>
      </c>
      <c r="D182" s="885" t="s">
        <v>1157</v>
      </c>
      <c r="E182" s="198" t="s">
        <v>1157</v>
      </c>
      <c r="F182" s="1293" t="s">
        <v>326</v>
      </c>
      <c r="G182" s="1293" t="s">
        <v>98</v>
      </c>
      <c r="H182" s="1293" t="s">
        <v>98</v>
      </c>
      <c r="I182" s="1293" t="s">
        <v>1154</v>
      </c>
      <c r="J182" s="1293" t="s">
        <v>187</v>
      </c>
      <c r="K182" s="1293" t="s">
        <v>1736</v>
      </c>
      <c r="L182" s="1292" t="s">
        <v>735</v>
      </c>
      <c r="M182" s="1300"/>
      <c r="N182" s="1300"/>
      <c r="O182" s="1300"/>
      <c r="P182" s="1300"/>
      <c r="Q182" s="1294">
        <v>2.5E8</v>
      </c>
      <c r="R182" s="1294">
        <v>2.5E8</v>
      </c>
      <c r="S182" s="1300"/>
      <c r="T182" s="1300"/>
      <c r="U182" s="1300"/>
      <c r="V182" s="1300"/>
      <c r="W182" s="1300"/>
      <c r="X182" s="1300"/>
      <c r="Y182" s="725">
        <v>5.0E8</v>
      </c>
    </row>
    <row r="183">
      <c r="A183" s="391"/>
      <c r="B183" s="1298"/>
      <c r="C183" s="394">
        <v>84.0</v>
      </c>
      <c r="D183" s="885" t="s">
        <v>1160</v>
      </c>
      <c r="E183" s="198" t="s">
        <v>1160</v>
      </c>
      <c r="F183" s="1293" t="s">
        <v>326</v>
      </c>
      <c r="G183" s="1293" t="s">
        <v>98</v>
      </c>
      <c r="H183" s="1293" t="s">
        <v>98</v>
      </c>
      <c r="I183" s="1293" t="s">
        <v>1154</v>
      </c>
      <c r="J183" s="1293" t="s">
        <v>187</v>
      </c>
      <c r="K183" s="1293" t="s">
        <v>1736</v>
      </c>
      <c r="L183" s="1292" t="s">
        <v>735</v>
      </c>
      <c r="M183" s="1300"/>
      <c r="N183" s="1300"/>
      <c r="O183" s="1300"/>
      <c r="P183" s="1300"/>
      <c r="Q183" s="1294">
        <v>1.83333333E8</v>
      </c>
      <c r="R183" s="1294">
        <v>1.83333333E8</v>
      </c>
      <c r="S183" s="1294">
        <v>1.83333333E8</v>
      </c>
      <c r="T183" s="1300"/>
      <c r="U183" s="1300"/>
      <c r="V183" s="1300"/>
      <c r="W183" s="1300"/>
      <c r="X183" s="1300"/>
      <c r="Y183" s="725">
        <v>5.5E8</v>
      </c>
    </row>
    <row r="184">
      <c r="A184" s="391"/>
      <c r="B184" s="1298"/>
      <c r="C184" s="394">
        <v>85.0</v>
      </c>
      <c r="D184" s="885" t="s">
        <v>1163</v>
      </c>
      <c r="E184" s="198" t="s">
        <v>1163</v>
      </c>
      <c r="F184" s="1293" t="s">
        <v>326</v>
      </c>
      <c r="G184" s="1293" t="s">
        <v>98</v>
      </c>
      <c r="H184" s="1293" t="s">
        <v>98</v>
      </c>
      <c r="I184" s="1293" t="s">
        <v>1154</v>
      </c>
      <c r="J184" s="1293" t="s">
        <v>187</v>
      </c>
      <c r="K184" s="1293" t="s">
        <v>1736</v>
      </c>
      <c r="L184" s="1292" t="s">
        <v>735</v>
      </c>
      <c r="M184" s="1300"/>
      <c r="N184" s="1300"/>
      <c r="O184" s="1300"/>
      <c r="P184" s="1300"/>
      <c r="Q184" s="1300"/>
      <c r="R184" s="1300"/>
      <c r="S184" s="1294">
        <v>1.5E8</v>
      </c>
      <c r="T184" s="1300"/>
      <c r="U184" s="1300"/>
      <c r="V184" s="1300"/>
      <c r="W184" s="1300"/>
      <c r="X184" s="1300"/>
      <c r="Y184" s="725">
        <v>1.5E8</v>
      </c>
    </row>
    <row r="185">
      <c r="A185" s="391"/>
      <c r="B185" s="1298"/>
      <c r="C185" s="394">
        <v>86.0</v>
      </c>
      <c r="D185" s="885" t="s">
        <v>1166</v>
      </c>
      <c r="E185" s="198" t="s">
        <v>1166</v>
      </c>
      <c r="F185" s="1293" t="s">
        <v>326</v>
      </c>
      <c r="G185" s="1293" t="s">
        <v>98</v>
      </c>
      <c r="H185" s="1293" t="s">
        <v>98</v>
      </c>
      <c r="I185" s="1293" t="s">
        <v>1154</v>
      </c>
      <c r="J185" s="1293" t="s">
        <v>253</v>
      </c>
      <c r="K185" s="1293" t="s">
        <v>1739</v>
      </c>
      <c r="L185" s="1292" t="s">
        <v>735</v>
      </c>
      <c r="M185" s="1300"/>
      <c r="N185" s="1300"/>
      <c r="O185" s="1300"/>
      <c r="P185" s="1300"/>
      <c r="Q185" s="1300"/>
      <c r="R185" s="1300"/>
      <c r="S185" s="1300"/>
      <c r="T185" s="1300"/>
      <c r="U185" s="1294">
        <v>3.0E8</v>
      </c>
      <c r="V185" s="1300"/>
      <c r="W185" s="1300"/>
      <c r="X185" s="1300"/>
      <c r="Y185" s="725">
        <v>3.0E8</v>
      </c>
    </row>
    <row r="186">
      <c r="A186" s="391"/>
      <c r="B186" s="1298"/>
      <c r="C186" s="394">
        <v>87.0</v>
      </c>
      <c r="D186" s="885" t="s">
        <v>1169</v>
      </c>
      <c r="E186" s="198" t="s">
        <v>1169</v>
      </c>
      <c r="F186" s="1293" t="s">
        <v>326</v>
      </c>
      <c r="G186" s="1293" t="s">
        <v>98</v>
      </c>
      <c r="H186" s="1293" t="s">
        <v>98</v>
      </c>
      <c r="I186" s="1293" t="s">
        <v>1154</v>
      </c>
      <c r="J186" s="1293" t="s">
        <v>187</v>
      </c>
      <c r="K186" s="1293" t="s">
        <v>1736</v>
      </c>
      <c r="L186" s="1292" t="s">
        <v>735</v>
      </c>
      <c r="M186" s="1300"/>
      <c r="N186" s="1300"/>
      <c r="O186" s="1300"/>
      <c r="P186" s="1300"/>
      <c r="Q186" s="1300"/>
      <c r="R186" s="1300"/>
      <c r="S186" s="1300"/>
      <c r="T186" s="1300"/>
      <c r="U186" s="1294">
        <v>1.75E8</v>
      </c>
      <c r="V186" s="1294">
        <v>1.75E8</v>
      </c>
      <c r="W186" s="1300"/>
      <c r="X186" s="1300"/>
      <c r="Y186" s="725">
        <v>3.5E8</v>
      </c>
    </row>
    <row r="187">
      <c r="A187" s="391"/>
      <c r="B187" s="1298"/>
      <c r="C187" s="394">
        <v>88.0</v>
      </c>
      <c r="D187" s="885" t="s">
        <v>1172</v>
      </c>
      <c r="E187" s="198" t="s">
        <v>1172</v>
      </c>
      <c r="F187" s="1293" t="s">
        <v>326</v>
      </c>
      <c r="G187" s="1293" t="s">
        <v>98</v>
      </c>
      <c r="H187" s="1293" t="s">
        <v>98</v>
      </c>
      <c r="I187" s="1293" t="s">
        <v>1154</v>
      </c>
      <c r="J187" s="1293" t="s">
        <v>187</v>
      </c>
      <c r="K187" s="1293" t="s">
        <v>1736</v>
      </c>
      <c r="L187" s="1292" t="s">
        <v>735</v>
      </c>
      <c r="M187" s="1300"/>
      <c r="N187" s="1300"/>
      <c r="O187" s="1300"/>
      <c r="P187" s="1300"/>
      <c r="Q187" s="1300"/>
      <c r="R187" s="1300"/>
      <c r="S187" s="1300"/>
      <c r="T187" s="1300"/>
      <c r="U187" s="1300"/>
      <c r="V187" s="1300"/>
      <c r="W187" s="1294">
        <v>4.25E8</v>
      </c>
      <c r="X187" s="1294">
        <v>4.25E8</v>
      </c>
      <c r="Y187" s="725">
        <v>8.5E8</v>
      </c>
    </row>
    <row r="188">
      <c r="A188" s="391"/>
      <c r="B188" s="1298"/>
      <c r="C188" s="394">
        <v>89.0</v>
      </c>
      <c r="D188" s="885" t="s">
        <v>1175</v>
      </c>
      <c r="E188" s="198" t="s">
        <v>1175</v>
      </c>
      <c r="F188" s="1293" t="s">
        <v>326</v>
      </c>
      <c r="G188" s="1293" t="s">
        <v>98</v>
      </c>
      <c r="H188" s="1293" t="s">
        <v>98</v>
      </c>
      <c r="I188" s="1293" t="s">
        <v>1176</v>
      </c>
      <c r="J188" s="1293" t="s">
        <v>187</v>
      </c>
      <c r="K188" s="1293" t="s">
        <v>1736</v>
      </c>
      <c r="L188" s="1292" t="s">
        <v>735</v>
      </c>
      <c r="M188" s="1294">
        <v>2.0E8</v>
      </c>
      <c r="N188" s="1294">
        <v>2.0E8</v>
      </c>
      <c r="O188" s="1294">
        <v>2.0E8</v>
      </c>
      <c r="P188" s="1294">
        <v>2.0E8</v>
      </c>
      <c r="Q188" s="1300"/>
      <c r="R188" s="1300"/>
      <c r="S188" s="1300"/>
      <c r="T188" s="1300"/>
      <c r="U188" s="1300"/>
      <c r="V188" s="1300"/>
      <c r="W188" s="1300"/>
      <c r="X188" s="1300"/>
      <c r="Y188" s="725">
        <v>8.0E8</v>
      </c>
    </row>
    <row r="189">
      <c r="A189" s="391"/>
      <c r="B189" s="1298"/>
      <c r="C189" s="394">
        <v>90.0</v>
      </c>
      <c r="D189" s="885" t="s">
        <v>1179</v>
      </c>
      <c r="E189" s="198" t="s">
        <v>1179</v>
      </c>
      <c r="F189" s="1293" t="s">
        <v>994</v>
      </c>
      <c r="G189" s="1293" t="s">
        <v>88</v>
      </c>
      <c r="H189" s="1293" t="s">
        <v>88</v>
      </c>
      <c r="I189" s="1293" t="s">
        <v>218</v>
      </c>
      <c r="J189" s="1293" t="s">
        <v>253</v>
      </c>
      <c r="K189" s="1293" t="s">
        <v>1739</v>
      </c>
      <c r="L189" s="1292" t="s">
        <v>735</v>
      </c>
      <c r="M189" s="1294">
        <v>2.34221542E8</v>
      </c>
      <c r="N189" s="1294">
        <v>2.34221542E8</v>
      </c>
      <c r="O189" s="1294">
        <v>2.34221542E8</v>
      </c>
      <c r="P189" s="1294">
        <v>2.34221542E8</v>
      </c>
      <c r="Q189" s="1294">
        <v>2.34221542E8</v>
      </c>
      <c r="R189" s="1294">
        <v>2.34221542E8</v>
      </c>
      <c r="S189" s="1294">
        <v>2.34221542E8</v>
      </c>
      <c r="T189" s="1294">
        <v>2.34221542E8</v>
      </c>
      <c r="U189" s="1294">
        <v>2.34221542E8</v>
      </c>
      <c r="V189" s="1294">
        <v>2.34221542E8</v>
      </c>
      <c r="W189" s="1294">
        <v>2.34221542E8</v>
      </c>
      <c r="X189" s="1294">
        <v>2.34221542E8</v>
      </c>
      <c r="Y189" s="725">
        <v>2.810658503E9</v>
      </c>
    </row>
    <row r="190">
      <c r="A190" s="391"/>
      <c r="B190" s="1323"/>
      <c r="C190" s="394">
        <v>91.0</v>
      </c>
      <c r="D190" s="889" t="s">
        <v>1182</v>
      </c>
      <c r="E190" s="1324" t="s">
        <v>1828</v>
      </c>
      <c r="F190" s="1293" t="s">
        <v>186</v>
      </c>
      <c r="G190" s="1293" t="s">
        <v>88</v>
      </c>
      <c r="H190" s="1293" t="s">
        <v>88</v>
      </c>
      <c r="I190" s="1293" t="s">
        <v>218</v>
      </c>
      <c r="J190" s="1293" t="s">
        <v>187</v>
      </c>
      <c r="K190" s="1293" t="s">
        <v>1736</v>
      </c>
      <c r="L190" s="1292" t="s">
        <v>730</v>
      </c>
      <c r="M190" s="1300"/>
      <c r="N190" s="1300"/>
      <c r="O190" s="1300"/>
      <c r="P190" s="1300"/>
      <c r="Q190" s="1294">
        <v>7.812175E7</v>
      </c>
      <c r="R190" s="1294">
        <v>7.812175E7</v>
      </c>
      <c r="S190" s="1294">
        <v>7.812175E7</v>
      </c>
      <c r="T190" s="1294">
        <v>7.812175E7</v>
      </c>
      <c r="U190" s="1294">
        <v>7.812175E7</v>
      </c>
      <c r="V190" s="1294">
        <v>7.812175E7</v>
      </c>
      <c r="W190" s="1294">
        <v>7.812175E7</v>
      </c>
      <c r="X190" s="1294">
        <v>7.812175E7</v>
      </c>
      <c r="Y190" s="725">
        <v>6.24974E8</v>
      </c>
    </row>
    <row r="191">
      <c r="A191" s="391"/>
      <c r="B191" s="1099"/>
      <c r="C191" s="394">
        <v>92.0</v>
      </c>
      <c r="D191" s="894" t="s">
        <v>1185</v>
      </c>
      <c r="E191" s="1324" t="s">
        <v>1185</v>
      </c>
      <c r="F191" s="1293" t="s">
        <v>186</v>
      </c>
      <c r="G191" s="1293" t="s">
        <v>103</v>
      </c>
      <c r="H191" s="1293" t="s">
        <v>86</v>
      </c>
      <c r="I191" s="1293" t="s">
        <v>86</v>
      </c>
      <c r="J191" s="1293" t="s">
        <v>253</v>
      </c>
      <c r="K191" s="1293" t="s">
        <v>1739</v>
      </c>
      <c r="L191" s="1292" t="s">
        <v>730</v>
      </c>
      <c r="M191" s="1300"/>
      <c r="N191" s="1294">
        <v>3.20738539E8</v>
      </c>
      <c r="O191" s="1294">
        <v>3.20738539E8</v>
      </c>
      <c r="P191" s="1294">
        <v>3.20738539E8</v>
      </c>
      <c r="Q191" s="1294">
        <v>3.20738539E8</v>
      </c>
      <c r="R191" s="1294">
        <v>3.20738539E8</v>
      </c>
      <c r="S191" s="1294">
        <v>3.20738539E8</v>
      </c>
      <c r="T191" s="1294">
        <v>3.20738539E8</v>
      </c>
      <c r="U191" s="1294">
        <v>3.20738539E8</v>
      </c>
      <c r="V191" s="1294">
        <v>3.20738539E8</v>
      </c>
      <c r="W191" s="1294">
        <v>3.20738539E8</v>
      </c>
      <c r="X191" s="1294">
        <v>3.20738539E8</v>
      </c>
      <c r="Y191" s="725">
        <v>3.528123929E9</v>
      </c>
    </row>
    <row r="192">
      <c r="A192" s="391"/>
      <c r="B192" s="1298"/>
      <c r="C192" s="394">
        <v>93.0</v>
      </c>
      <c r="D192" s="885" t="s">
        <v>1188</v>
      </c>
      <c r="E192" s="198" t="s">
        <v>1188</v>
      </c>
      <c r="F192" s="1293" t="s">
        <v>186</v>
      </c>
      <c r="G192" s="1293" t="s">
        <v>98</v>
      </c>
      <c r="H192" s="1293" t="s">
        <v>98</v>
      </c>
      <c r="I192" s="1293" t="s">
        <v>1189</v>
      </c>
      <c r="J192" s="1293" t="s">
        <v>187</v>
      </c>
      <c r="K192" s="1293" t="s">
        <v>1736</v>
      </c>
      <c r="L192" s="1292" t="s">
        <v>735</v>
      </c>
      <c r="M192" s="1294">
        <v>4.59606E8</v>
      </c>
      <c r="N192" s="1294">
        <v>4.59606E8</v>
      </c>
      <c r="O192" s="1294">
        <v>4.59606E8</v>
      </c>
      <c r="P192" s="1294">
        <v>4.59606E8</v>
      </c>
      <c r="Q192" s="1294">
        <v>4.59606E8</v>
      </c>
      <c r="R192" s="1294">
        <v>4.59606E8</v>
      </c>
      <c r="S192" s="1294">
        <v>4.59606E8</v>
      </c>
      <c r="T192" s="1294">
        <v>4.59606E8</v>
      </c>
      <c r="U192" s="1294">
        <v>4.59606E8</v>
      </c>
      <c r="V192" s="1294">
        <v>4.59606E8</v>
      </c>
      <c r="W192" s="1294">
        <v>4.59606E8</v>
      </c>
      <c r="X192" s="1294">
        <v>4.59606E8</v>
      </c>
      <c r="Y192" s="725">
        <v>5.515272E9</v>
      </c>
    </row>
    <row r="193">
      <c r="A193" s="391"/>
      <c r="B193" s="1298"/>
      <c r="C193" s="196">
        <v>94.0</v>
      </c>
      <c r="D193" s="885" t="s">
        <v>1192</v>
      </c>
      <c r="E193" s="198" t="s">
        <v>1192</v>
      </c>
      <c r="F193" s="1293" t="s">
        <v>186</v>
      </c>
      <c r="G193" s="1293" t="s">
        <v>98</v>
      </c>
      <c r="H193" s="1293" t="s">
        <v>98</v>
      </c>
      <c r="I193" s="1293" t="s">
        <v>1189</v>
      </c>
      <c r="J193" s="1293" t="s">
        <v>187</v>
      </c>
      <c r="K193" s="1293" t="s">
        <v>1736</v>
      </c>
      <c r="L193" s="1292" t="s">
        <v>735</v>
      </c>
      <c r="M193" s="1294">
        <v>8.93243E7</v>
      </c>
      <c r="N193" s="1294">
        <v>8.93243E7</v>
      </c>
      <c r="O193" s="1294">
        <v>8.93243E7</v>
      </c>
      <c r="P193" s="1294">
        <v>8.93243E7</v>
      </c>
      <c r="Q193" s="1294">
        <v>8.93243E7</v>
      </c>
      <c r="R193" s="1294">
        <v>8.93243E7</v>
      </c>
      <c r="S193" s="1294">
        <v>8.93243E7</v>
      </c>
      <c r="T193" s="1294">
        <v>8.93243E7</v>
      </c>
      <c r="U193" s="1294">
        <v>8.93243E7</v>
      </c>
      <c r="V193" s="1294">
        <v>8.93243E7</v>
      </c>
      <c r="W193" s="1294">
        <v>8.93243E7</v>
      </c>
      <c r="X193" s="1294">
        <v>8.93243E7</v>
      </c>
      <c r="Y193" s="725">
        <v>1.0718916E9</v>
      </c>
    </row>
    <row r="194">
      <c r="A194" s="391"/>
      <c r="B194" s="1298"/>
      <c r="C194" s="394">
        <v>95.0</v>
      </c>
      <c r="D194" s="885" t="s">
        <v>1195</v>
      </c>
      <c r="E194" s="198" t="s">
        <v>1195</v>
      </c>
      <c r="F194" s="1293" t="s">
        <v>186</v>
      </c>
      <c r="G194" s="1293" t="s">
        <v>98</v>
      </c>
      <c r="H194" s="1293" t="s">
        <v>98</v>
      </c>
      <c r="I194" s="1293" t="s">
        <v>1189</v>
      </c>
      <c r="J194" s="1293" t="s">
        <v>187</v>
      </c>
      <c r="K194" s="1293" t="s">
        <v>1736</v>
      </c>
      <c r="L194" s="1292" t="s">
        <v>735</v>
      </c>
      <c r="M194" s="1294">
        <v>3.5433133E7</v>
      </c>
      <c r="N194" s="1294">
        <v>3.5433133E7</v>
      </c>
      <c r="O194" s="1294">
        <v>3.5433133E7</v>
      </c>
      <c r="P194" s="1294">
        <v>3.5433133E7</v>
      </c>
      <c r="Q194" s="1294">
        <v>3.5433133E7</v>
      </c>
      <c r="R194" s="1294">
        <v>3.5433133E7</v>
      </c>
      <c r="S194" s="1294">
        <v>3.5433133E7</v>
      </c>
      <c r="T194" s="1294">
        <v>3.5433133E7</v>
      </c>
      <c r="U194" s="1294">
        <v>3.5433133E7</v>
      </c>
      <c r="V194" s="1294">
        <v>3.5433133E7</v>
      </c>
      <c r="W194" s="1294">
        <v>3.5433133E7</v>
      </c>
      <c r="X194" s="1294">
        <v>3.5433133E7</v>
      </c>
      <c r="Y194" s="725">
        <v>4.25197596E8</v>
      </c>
    </row>
    <row r="195">
      <c r="A195" s="391"/>
      <c r="B195" s="1311"/>
      <c r="C195" s="394">
        <v>96.0</v>
      </c>
      <c r="D195" s="903" t="s">
        <v>1198</v>
      </c>
      <c r="E195" s="1302"/>
      <c r="F195" s="1291"/>
      <c r="G195" s="1291"/>
      <c r="H195" s="1291"/>
      <c r="I195" s="1291"/>
      <c r="J195" s="1291"/>
      <c r="K195" s="1291"/>
      <c r="L195" s="1288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  <c r="X195" s="754"/>
      <c r="Y195" s="754"/>
    </row>
    <row r="196">
      <c r="A196" s="379"/>
      <c r="B196" s="1303"/>
      <c r="C196" s="394">
        <v>97.0</v>
      </c>
      <c r="D196" s="945" t="s">
        <v>1201</v>
      </c>
      <c r="E196" s="86"/>
      <c r="F196" s="1291"/>
      <c r="G196" s="1291"/>
      <c r="H196" s="1291"/>
      <c r="I196" s="1291"/>
      <c r="J196" s="1291"/>
      <c r="K196" s="1291"/>
      <c r="L196" s="1288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  <c r="X196" s="754"/>
      <c r="Y196" s="754"/>
    </row>
    <row r="197">
      <c r="A197" s="391"/>
      <c r="B197" s="1311"/>
      <c r="C197" s="475">
        <v>98.0</v>
      </c>
      <c r="D197" s="912" t="s">
        <v>1205</v>
      </c>
      <c r="E197" s="1302"/>
      <c r="F197" s="1291"/>
      <c r="G197" s="1291"/>
      <c r="H197" s="1291"/>
      <c r="I197" s="1291"/>
      <c r="J197" s="1291"/>
      <c r="K197" s="1291"/>
      <c r="L197" s="1288"/>
      <c r="M197" s="754"/>
      <c r="N197" s="754"/>
      <c r="O197" s="754"/>
      <c r="P197" s="754"/>
      <c r="Q197" s="754"/>
      <c r="R197" s="754"/>
      <c r="S197" s="754"/>
      <c r="T197" s="754"/>
      <c r="U197" s="754"/>
      <c r="V197" s="754"/>
      <c r="W197" s="754"/>
      <c r="X197" s="754"/>
      <c r="Y197" s="754"/>
    </row>
    <row r="198">
      <c r="A198" s="391"/>
      <c r="B198" s="1311"/>
      <c r="C198" s="475">
        <v>99.0</v>
      </c>
      <c r="D198" s="912" t="s">
        <v>1211</v>
      </c>
      <c r="E198" s="1302"/>
      <c r="F198" s="1291"/>
      <c r="G198" s="1291"/>
      <c r="H198" s="1291"/>
      <c r="I198" s="1291"/>
      <c r="J198" s="1291"/>
      <c r="K198" s="1291"/>
      <c r="L198" s="1288"/>
      <c r="M198" s="754"/>
      <c r="N198" s="754"/>
      <c r="O198" s="754"/>
      <c r="P198" s="754"/>
      <c r="Q198" s="754"/>
      <c r="R198" s="754"/>
      <c r="S198" s="754"/>
      <c r="T198" s="754"/>
      <c r="U198" s="754"/>
      <c r="V198" s="754"/>
      <c r="W198" s="754"/>
      <c r="X198" s="754"/>
      <c r="Y198" s="754"/>
    </row>
    <row r="199">
      <c r="A199" s="391"/>
      <c r="B199" s="1311"/>
      <c r="C199" s="475">
        <v>100.0</v>
      </c>
      <c r="D199" s="912" t="s">
        <v>1214</v>
      </c>
      <c r="E199" s="1302"/>
      <c r="F199" s="1291"/>
      <c r="G199" s="1291"/>
      <c r="H199" s="1291"/>
      <c r="I199" s="1291"/>
      <c r="J199" s="1291"/>
      <c r="K199" s="1291"/>
      <c r="L199" s="1288"/>
      <c r="M199" s="754"/>
      <c r="N199" s="754"/>
      <c r="O199" s="754"/>
      <c r="P199" s="754"/>
      <c r="Q199" s="754"/>
      <c r="R199" s="754"/>
      <c r="S199" s="754"/>
      <c r="T199" s="754"/>
      <c r="U199" s="754"/>
      <c r="V199" s="754"/>
      <c r="W199" s="754"/>
      <c r="X199" s="754"/>
      <c r="Y199" s="754"/>
    </row>
    <row r="200">
      <c r="A200" s="391"/>
      <c r="B200" s="1313">
        <v>14.0</v>
      </c>
      <c r="C200" s="329" t="s">
        <v>43</v>
      </c>
      <c r="D200" s="724"/>
      <c r="E200" s="1302"/>
      <c r="F200" s="1291"/>
      <c r="G200" s="1291"/>
      <c r="H200" s="1291"/>
      <c r="I200" s="1291"/>
      <c r="J200" s="1291"/>
      <c r="K200" s="1291"/>
      <c r="L200" s="1292" t="s">
        <v>1221</v>
      </c>
      <c r="M200" s="1289">
        <f t="shared" ref="M200:Y200" si="16">SUM(M201:M206)</f>
        <v>512752594</v>
      </c>
      <c r="N200" s="1289">
        <f t="shared" si="16"/>
        <v>512752594</v>
      </c>
      <c r="O200" s="1289">
        <f t="shared" si="16"/>
        <v>512752594</v>
      </c>
      <c r="P200" s="1289">
        <f t="shared" si="16"/>
        <v>512752594</v>
      </c>
      <c r="Q200" s="1289">
        <f t="shared" si="16"/>
        <v>512752594</v>
      </c>
      <c r="R200" s="1289">
        <f t="shared" si="16"/>
        <v>512752594</v>
      </c>
      <c r="S200" s="1289">
        <f t="shared" si="16"/>
        <v>512752594</v>
      </c>
      <c r="T200" s="1289">
        <f t="shared" si="16"/>
        <v>512752594</v>
      </c>
      <c r="U200" s="1289">
        <f t="shared" si="16"/>
        <v>512752594</v>
      </c>
      <c r="V200" s="1289">
        <f t="shared" si="16"/>
        <v>512752594</v>
      </c>
      <c r="W200" s="1289">
        <f t="shared" si="16"/>
        <v>512752594</v>
      </c>
      <c r="X200" s="1289">
        <f t="shared" si="16"/>
        <v>512752594</v>
      </c>
      <c r="Y200" s="1289">
        <f t="shared" si="16"/>
        <v>6153031136</v>
      </c>
    </row>
    <row r="201">
      <c r="A201" s="391"/>
      <c r="B201" s="185"/>
      <c r="C201" s="222">
        <v>1.0</v>
      </c>
      <c r="D201" s="197" t="s">
        <v>1222</v>
      </c>
      <c r="E201" s="198" t="s">
        <v>1222</v>
      </c>
      <c r="F201" s="1293" t="s">
        <v>186</v>
      </c>
      <c r="G201" s="1293" t="s">
        <v>103</v>
      </c>
      <c r="H201" s="1293" t="s">
        <v>86</v>
      </c>
      <c r="I201" s="1293" t="s">
        <v>86</v>
      </c>
      <c r="J201" s="1293" t="s">
        <v>187</v>
      </c>
      <c r="K201" s="1293" t="s">
        <v>1736</v>
      </c>
      <c r="L201" s="1292" t="s">
        <v>1221</v>
      </c>
      <c r="M201" s="1294">
        <v>5.3466547E7</v>
      </c>
      <c r="N201" s="1294">
        <v>5.3466547E7</v>
      </c>
      <c r="O201" s="1294">
        <v>5.3466547E7</v>
      </c>
      <c r="P201" s="1294">
        <v>5.3466547E7</v>
      </c>
      <c r="Q201" s="1294">
        <v>5.3466547E7</v>
      </c>
      <c r="R201" s="1294">
        <v>5.3466547E7</v>
      </c>
      <c r="S201" s="1294">
        <v>5.3466547E7</v>
      </c>
      <c r="T201" s="1294">
        <v>5.3466547E7</v>
      </c>
      <c r="U201" s="1294">
        <v>5.3466547E7</v>
      </c>
      <c r="V201" s="1294">
        <v>5.3466547E7</v>
      </c>
      <c r="W201" s="1294">
        <v>5.3466547E7</v>
      </c>
      <c r="X201" s="1294">
        <v>5.3466547E7</v>
      </c>
      <c r="Y201" s="725">
        <v>6.41598561E8</v>
      </c>
    </row>
    <row r="202">
      <c r="A202" s="391"/>
      <c r="B202" s="185"/>
      <c r="C202" s="222">
        <v>2.0</v>
      </c>
      <c r="D202" s="197" t="s">
        <v>1229</v>
      </c>
      <c r="E202" s="198" t="s">
        <v>1229</v>
      </c>
      <c r="F202" s="1293" t="s">
        <v>186</v>
      </c>
      <c r="G202" s="1293" t="s">
        <v>103</v>
      </c>
      <c r="H202" s="1293" t="s">
        <v>86</v>
      </c>
      <c r="I202" s="1293" t="s">
        <v>86</v>
      </c>
      <c r="J202" s="1293" t="s">
        <v>187</v>
      </c>
      <c r="K202" s="1293" t="s">
        <v>1736</v>
      </c>
      <c r="L202" s="1292" t="s">
        <v>1221</v>
      </c>
      <c r="M202" s="1294">
        <v>2.3551051E7</v>
      </c>
      <c r="N202" s="1294">
        <v>2.3551051E7</v>
      </c>
      <c r="O202" s="1294">
        <v>2.3551051E7</v>
      </c>
      <c r="P202" s="1294">
        <v>2.3551051E7</v>
      </c>
      <c r="Q202" s="1294">
        <v>2.3551051E7</v>
      </c>
      <c r="R202" s="1294">
        <v>2.3551051E7</v>
      </c>
      <c r="S202" s="1294">
        <v>2.3551051E7</v>
      </c>
      <c r="T202" s="1294">
        <v>2.3551051E7</v>
      </c>
      <c r="U202" s="1294">
        <v>2.3551051E7</v>
      </c>
      <c r="V202" s="1294">
        <v>2.3551051E7</v>
      </c>
      <c r="W202" s="1294">
        <v>2.3551051E7</v>
      </c>
      <c r="X202" s="1294">
        <v>2.3551051E7</v>
      </c>
      <c r="Y202" s="725">
        <v>2.82612613E8</v>
      </c>
    </row>
    <row r="203">
      <c r="A203" s="391"/>
      <c r="B203" s="185"/>
      <c r="C203" s="222">
        <v>3.0</v>
      </c>
      <c r="D203" s="197" t="s">
        <v>1234</v>
      </c>
      <c r="E203" s="198" t="s">
        <v>1234</v>
      </c>
      <c r="F203" s="1293" t="s">
        <v>186</v>
      </c>
      <c r="G203" s="1293" t="s">
        <v>103</v>
      </c>
      <c r="H203" s="1293" t="s">
        <v>86</v>
      </c>
      <c r="I203" s="1293" t="s">
        <v>86</v>
      </c>
      <c r="J203" s="1293" t="s">
        <v>187</v>
      </c>
      <c r="K203" s="1293" t="s">
        <v>1736</v>
      </c>
      <c r="L203" s="1292" t="s">
        <v>1221</v>
      </c>
      <c r="M203" s="1294">
        <v>2.4041531E7</v>
      </c>
      <c r="N203" s="1294">
        <v>2.4041531E7</v>
      </c>
      <c r="O203" s="1294">
        <v>2.4041531E7</v>
      </c>
      <c r="P203" s="1294">
        <v>2.4041531E7</v>
      </c>
      <c r="Q203" s="1294">
        <v>2.4041531E7</v>
      </c>
      <c r="R203" s="1294">
        <v>2.4041531E7</v>
      </c>
      <c r="S203" s="1294">
        <v>2.4041531E7</v>
      </c>
      <c r="T203" s="1294">
        <v>2.4041531E7</v>
      </c>
      <c r="U203" s="1294">
        <v>2.4041531E7</v>
      </c>
      <c r="V203" s="1294">
        <v>2.4041531E7</v>
      </c>
      <c r="W203" s="1294">
        <v>2.4041531E7</v>
      </c>
      <c r="X203" s="1294">
        <v>2.4041531E7</v>
      </c>
      <c r="Y203" s="725">
        <v>2.88498377E8</v>
      </c>
    </row>
    <row r="204">
      <c r="A204" s="391"/>
      <c r="B204" s="185"/>
      <c r="C204" s="222">
        <v>4.0</v>
      </c>
      <c r="D204" s="197" t="s">
        <v>1239</v>
      </c>
      <c r="E204" s="198" t="s">
        <v>1239</v>
      </c>
      <c r="F204" s="1293" t="s">
        <v>186</v>
      </c>
      <c r="G204" s="1293" t="s">
        <v>103</v>
      </c>
      <c r="H204" s="1293" t="s">
        <v>86</v>
      </c>
      <c r="I204" s="1293" t="s">
        <v>86</v>
      </c>
      <c r="J204" s="1293" t="s">
        <v>187</v>
      </c>
      <c r="K204" s="1293" t="s">
        <v>1736</v>
      </c>
      <c r="L204" s="1292" t="s">
        <v>1221</v>
      </c>
      <c r="M204" s="1294">
        <v>2.4041531E7</v>
      </c>
      <c r="N204" s="1294">
        <v>2.4041531E7</v>
      </c>
      <c r="O204" s="1294">
        <v>2.4041531E7</v>
      </c>
      <c r="P204" s="1294">
        <v>2.4041531E7</v>
      </c>
      <c r="Q204" s="1294">
        <v>2.4041531E7</v>
      </c>
      <c r="R204" s="1294">
        <v>2.4041531E7</v>
      </c>
      <c r="S204" s="1294">
        <v>2.4041531E7</v>
      </c>
      <c r="T204" s="1294">
        <v>2.4041531E7</v>
      </c>
      <c r="U204" s="1294">
        <v>2.4041531E7</v>
      </c>
      <c r="V204" s="1294">
        <v>2.4041531E7</v>
      </c>
      <c r="W204" s="1294">
        <v>2.4041531E7</v>
      </c>
      <c r="X204" s="1294">
        <v>2.4041531E7</v>
      </c>
      <c r="Y204" s="725">
        <v>2.88498377E8</v>
      </c>
    </row>
    <row r="205">
      <c r="A205" s="391"/>
      <c r="B205" s="185"/>
      <c r="C205" s="196">
        <v>5.0</v>
      </c>
      <c r="D205" s="354" t="s">
        <v>1244</v>
      </c>
      <c r="E205" s="198" t="s">
        <v>1244</v>
      </c>
      <c r="F205" s="1293" t="s">
        <v>186</v>
      </c>
      <c r="G205" s="1293" t="s">
        <v>88</v>
      </c>
      <c r="H205" s="1293" t="s">
        <v>88</v>
      </c>
      <c r="I205" s="1293" t="s">
        <v>218</v>
      </c>
      <c r="J205" s="1293" t="s">
        <v>253</v>
      </c>
      <c r="K205" s="1293" t="s">
        <v>1739</v>
      </c>
      <c r="L205" s="1292" t="s">
        <v>783</v>
      </c>
      <c r="M205" s="1294">
        <v>5.4314436E7</v>
      </c>
      <c r="N205" s="1294">
        <v>5.4314436E7</v>
      </c>
      <c r="O205" s="1294">
        <v>5.4314436E7</v>
      </c>
      <c r="P205" s="1294">
        <v>5.4314436E7</v>
      </c>
      <c r="Q205" s="1294">
        <v>5.4314436E7</v>
      </c>
      <c r="R205" s="1294">
        <v>5.4314436E7</v>
      </c>
      <c r="S205" s="1294">
        <v>5.4314436E7</v>
      </c>
      <c r="T205" s="1294">
        <v>5.4314436E7</v>
      </c>
      <c r="U205" s="1294">
        <v>5.4314436E7</v>
      </c>
      <c r="V205" s="1294">
        <v>5.4314436E7</v>
      </c>
      <c r="W205" s="1294">
        <v>5.4314436E7</v>
      </c>
      <c r="X205" s="1294">
        <v>5.4314436E7</v>
      </c>
      <c r="Y205" s="725">
        <v>6.51773232E8</v>
      </c>
    </row>
    <row r="206">
      <c r="A206" s="391"/>
      <c r="B206" s="185"/>
      <c r="C206" s="196">
        <v>7.0</v>
      </c>
      <c r="D206" s="730" t="s">
        <v>1250</v>
      </c>
      <c r="E206" s="198" t="s">
        <v>1829</v>
      </c>
      <c r="F206" s="1293" t="s">
        <v>994</v>
      </c>
      <c r="G206" s="1293" t="s">
        <v>135</v>
      </c>
      <c r="H206" s="1293" t="s">
        <v>135</v>
      </c>
      <c r="I206" s="1293" t="s">
        <v>203</v>
      </c>
      <c r="J206" s="1293" t="s">
        <v>253</v>
      </c>
      <c r="K206" s="1293" t="s">
        <v>1739</v>
      </c>
      <c r="L206" s="1292" t="s">
        <v>1221</v>
      </c>
      <c r="M206" s="1294">
        <v>3.33337498E8</v>
      </c>
      <c r="N206" s="1294">
        <v>3.33337498E8</v>
      </c>
      <c r="O206" s="1294">
        <v>3.33337498E8</v>
      </c>
      <c r="P206" s="1294">
        <v>3.33337498E8</v>
      </c>
      <c r="Q206" s="1294">
        <v>3.33337498E8</v>
      </c>
      <c r="R206" s="1294">
        <v>3.33337498E8</v>
      </c>
      <c r="S206" s="1294">
        <v>3.33337498E8</v>
      </c>
      <c r="T206" s="1294">
        <v>3.33337498E8</v>
      </c>
      <c r="U206" s="1294">
        <v>3.33337498E8</v>
      </c>
      <c r="V206" s="1294">
        <v>3.33337498E8</v>
      </c>
      <c r="W206" s="1294">
        <v>3.33337498E8</v>
      </c>
      <c r="X206" s="1294">
        <v>3.33337498E8</v>
      </c>
      <c r="Y206" s="725">
        <v>4.000049976E9</v>
      </c>
    </row>
    <row r="207">
      <c r="A207" s="391"/>
      <c r="B207" s="1325">
        <v>15.0</v>
      </c>
      <c r="C207" s="329" t="s">
        <v>44</v>
      </c>
      <c r="D207" s="724"/>
      <c r="E207" s="1302"/>
      <c r="F207" s="1291"/>
      <c r="G207" s="1291"/>
      <c r="H207" s="1291"/>
      <c r="I207" s="1291"/>
      <c r="J207" s="1291"/>
      <c r="K207" s="1291"/>
      <c r="L207" s="107" t="s">
        <v>1830</v>
      </c>
      <c r="M207" s="1289">
        <f t="shared" ref="M207:Y207" si="17">SUM(M208:M214)</f>
        <v>113291463</v>
      </c>
      <c r="N207" s="1289">
        <f t="shared" si="17"/>
        <v>113291463</v>
      </c>
      <c r="O207" s="1289">
        <f t="shared" si="17"/>
        <v>113291463</v>
      </c>
      <c r="P207" s="1289">
        <f t="shared" si="17"/>
        <v>113291463</v>
      </c>
      <c r="Q207" s="1289">
        <f t="shared" si="17"/>
        <v>232533463</v>
      </c>
      <c r="R207" s="1289">
        <f t="shared" si="17"/>
        <v>250083044</v>
      </c>
      <c r="S207" s="1289">
        <f t="shared" si="17"/>
        <v>250083044</v>
      </c>
      <c r="T207" s="1289">
        <f t="shared" si="17"/>
        <v>250083044</v>
      </c>
      <c r="U207" s="1289">
        <f t="shared" si="17"/>
        <v>322004377</v>
      </c>
      <c r="V207" s="1289">
        <f t="shared" si="17"/>
        <v>322004377</v>
      </c>
      <c r="W207" s="1289">
        <f t="shared" si="17"/>
        <v>322004377</v>
      </c>
      <c r="X207" s="1289">
        <f t="shared" si="17"/>
        <v>322004377</v>
      </c>
      <c r="Y207" s="1289">
        <f t="shared" si="17"/>
        <v>2723965954</v>
      </c>
    </row>
    <row r="208">
      <c r="A208" s="391"/>
      <c r="B208" s="185"/>
      <c r="C208" s="196">
        <v>1.0</v>
      </c>
      <c r="D208" s="197" t="s">
        <v>1258</v>
      </c>
      <c r="E208" s="198" t="s">
        <v>1258</v>
      </c>
      <c r="F208" s="1293" t="s">
        <v>186</v>
      </c>
      <c r="G208" s="1293" t="s">
        <v>103</v>
      </c>
      <c r="H208" s="1293" t="s">
        <v>86</v>
      </c>
      <c r="I208" s="1293" t="s">
        <v>86</v>
      </c>
      <c r="J208" s="1293" t="s">
        <v>187</v>
      </c>
      <c r="K208" s="1293" t="s">
        <v>1736</v>
      </c>
      <c r="L208" s="1292" t="s">
        <v>1259</v>
      </c>
      <c r="M208" s="1294">
        <v>4.8834985E7</v>
      </c>
      <c r="N208" s="1294">
        <v>4.8834985E7</v>
      </c>
      <c r="O208" s="1294">
        <v>4.8834985E7</v>
      </c>
      <c r="P208" s="1294">
        <v>4.8834985E7</v>
      </c>
      <c r="Q208" s="1294">
        <v>4.8834985E7</v>
      </c>
      <c r="R208" s="1294">
        <v>4.8834985E7</v>
      </c>
      <c r="S208" s="1294">
        <v>4.8834985E7</v>
      </c>
      <c r="T208" s="1294">
        <v>4.8834985E7</v>
      </c>
      <c r="U208" s="1294">
        <v>4.8834985E7</v>
      </c>
      <c r="V208" s="1294">
        <v>4.8834985E7</v>
      </c>
      <c r="W208" s="1294">
        <v>4.8834985E7</v>
      </c>
      <c r="X208" s="1294">
        <v>4.8834985E7</v>
      </c>
      <c r="Y208" s="725">
        <v>5.86019816E8</v>
      </c>
    </row>
    <row r="209">
      <c r="A209" s="391"/>
      <c r="B209" s="185"/>
      <c r="C209" s="196">
        <v>2.0</v>
      </c>
      <c r="D209" s="730" t="s">
        <v>1268</v>
      </c>
      <c r="E209" s="198" t="s">
        <v>1831</v>
      </c>
      <c r="F209" s="1293" t="s">
        <v>186</v>
      </c>
      <c r="G209" s="1293" t="s">
        <v>88</v>
      </c>
      <c r="H209" s="1293" t="s">
        <v>88</v>
      </c>
      <c r="I209" s="1293" t="s">
        <v>218</v>
      </c>
      <c r="J209" s="1293" t="s">
        <v>187</v>
      </c>
      <c r="K209" s="1293" t="s">
        <v>1736</v>
      </c>
      <c r="L209" s="1292" t="s">
        <v>1259</v>
      </c>
      <c r="M209" s="1294">
        <v>6.4456478E7</v>
      </c>
      <c r="N209" s="1294">
        <v>6.4456478E7</v>
      </c>
      <c r="O209" s="1294">
        <v>6.4456478E7</v>
      </c>
      <c r="P209" s="1294">
        <v>6.4456478E7</v>
      </c>
      <c r="Q209" s="1294">
        <v>6.4456478E7</v>
      </c>
      <c r="R209" s="1294">
        <v>6.4456478E7</v>
      </c>
      <c r="S209" s="1294">
        <v>6.4456478E7</v>
      </c>
      <c r="T209" s="1294">
        <v>6.4456478E7</v>
      </c>
      <c r="U209" s="1294">
        <v>6.4456478E7</v>
      </c>
      <c r="V209" s="1294">
        <v>6.4456478E7</v>
      </c>
      <c r="W209" s="1294">
        <v>6.4456478E7</v>
      </c>
      <c r="X209" s="1294">
        <v>6.4456478E7</v>
      </c>
      <c r="Y209" s="725">
        <v>7.73477739E8</v>
      </c>
    </row>
    <row r="210">
      <c r="A210" s="391"/>
      <c r="B210" s="1099"/>
      <c r="C210" s="196">
        <v>3.0</v>
      </c>
      <c r="D210" s="925" t="s">
        <v>1274</v>
      </c>
      <c r="E210" s="1324" t="s">
        <v>1274</v>
      </c>
      <c r="F210" s="1293" t="s">
        <v>186</v>
      </c>
      <c r="G210" s="1293" t="s">
        <v>305</v>
      </c>
      <c r="H210" s="1293" t="s">
        <v>92</v>
      </c>
      <c r="I210" s="1293" t="s">
        <v>306</v>
      </c>
      <c r="J210" s="1293" t="s">
        <v>187</v>
      </c>
      <c r="K210" s="1293" t="s">
        <v>1736</v>
      </c>
      <c r="L210" s="1292" t="s">
        <v>1275</v>
      </c>
      <c r="M210" s="1300"/>
      <c r="N210" s="1300"/>
      <c r="O210" s="1300"/>
      <c r="P210" s="1300"/>
      <c r="Q210" s="1300"/>
      <c r="R210" s="1294">
        <v>1.7549581E7</v>
      </c>
      <c r="S210" s="1294">
        <v>1.7549581E7</v>
      </c>
      <c r="T210" s="1294">
        <v>1.7549581E7</v>
      </c>
      <c r="U210" s="1294">
        <v>1.7549581E7</v>
      </c>
      <c r="V210" s="1294">
        <v>1.7549581E7</v>
      </c>
      <c r="W210" s="1294">
        <v>1.7549581E7</v>
      </c>
      <c r="X210" s="1294">
        <v>1.7549581E7</v>
      </c>
      <c r="Y210" s="725">
        <v>1.22847067E8</v>
      </c>
    </row>
    <row r="211">
      <c r="A211" s="391"/>
      <c r="B211" s="1099"/>
      <c r="C211" s="196">
        <v>4.0</v>
      </c>
      <c r="D211" s="925" t="s">
        <v>1278</v>
      </c>
      <c r="E211" s="1324" t="s">
        <v>1278</v>
      </c>
      <c r="F211" s="1293" t="s">
        <v>186</v>
      </c>
      <c r="G211" s="1293" t="s">
        <v>103</v>
      </c>
      <c r="H211" s="1293" t="s">
        <v>86</v>
      </c>
      <c r="I211" s="1293" t="s">
        <v>86</v>
      </c>
      <c r="J211" s="1293" t="s">
        <v>187</v>
      </c>
      <c r="K211" s="1293" t="s">
        <v>1736</v>
      </c>
      <c r="L211" s="1292" t="s">
        <v>1279</v>
      </c>
      <c r="M211" s="1300"/>
      <c r="N211" s="1300"/>
      <c r="O211" s="1300"/>
      <c r="P211" s="1300"/>
      <c r="Q211" s="1294">
        <v>1.19242E8</v>
      </c>
      <c r="R211" s="1294">
        <v>1.19242E8</v>
      </c>
      <c r="S211" s="1294">
        <v>1.19242E8</v>
      </c>
      <c r="T211" s="1294">
        <v>1.19242E8</v>
      </c>
      <c r="U211" s="1294">
        <v>1.19242E8</v>
      </c>
      <c r="V211" s="1294">
        <v>1.19242E8</v>
      </c>
      <c r="W211" s="1294">
        <v>1.19242E8</v>
      </c>
      <c r="X211" s="1294">
        <v>1.19242E8</v>
      </c>
      <c r="Y211" s="725">
        <v>9.53936E8</v>
      </c>
    </row>
    <row r="212">
      <c r="A212" s="391"/>
      <c r="B212" s="1099"/>
      <c r="C212" s="196">
        <v>5.0</v>
      </c>
      <c r="D212" s="925" t="s">
        <v>1282</v>
      </c>
      <c r="E212" s="1324" t="s">
        <v>1282</v>
      </c>
      <c r="F212" s="1293" t="s">
        <v>186</v>
      </c>
      <c r="G212" s="1293" t="s">
        <v>305</v>
      </c>
      <c r="H212" s="1293" t="s">
        <v>92</v>
      </c>
      <c r="I212" s="1293" t="s">
        <v>306</v>
      </c>
      <c r="J212" s="1293" t="s">
        <v>187</v>
      </c>
      <c r="K212" s="1293" t="s">
        <v>1736</v>
      </c>
      <c r="L212" s="1292" t="s">
        <v>1279</v>
      </c>
      <c r="M212" s="1300"/>
      <c r="N212" s="1300"/>
      <c r="O212" s="1300"/>
      <c r="P212" s="1300"/>
      <c r="Q212" s="1300"/>
      <c r="R212" s="1300"/>
      <c r="S212" s="1300"/>
      <c r="T212" s="1300"/>
      <c r="U212" s="1294">
        <v>7.1921333E7</v>
      </c>
      <c r="V212" s="1294">
        <v>7.1921333E7</v>
      </c>
      <c r="W212" s="1294">
        <v>7.1921333E7</v>
      </c>
      <c r="X212" s="1294">
        <v>7.1921333E7</v>
      </c>
      <c r="Y212" s="725">
        <v>2.87685332E8</v>
      </c>
    </row>
    <row r="213">
      <c r="A213" s="391"/>
      <c r="B213" s="1306"/>
      <c r="C213" s="433">
        <v>6.0</v>
      </c>
      <c r="D213" s="528" t="s">
        <v>1285</v>
      </c>
      <c r="E213" s="1302"/>
      <c r="F213" s="1291"/>
      <c r="G213" s="1291"/>
      <c r="H213" s="1291"/>
      <c r="I213" s="1291"/>
      <c r="J213" s="1291"/>
      <c r="K213" s="1291"/>
      <c r="L213" s="1292" t="s">
        <v>1275</v>
      </c>
      <c r="M213" s="754"/>
      <c r="N213" s="754"/>
      <c r="O213" s="754"/>
      <c r="P213" s="754"/>
      <c r="Q213" s="754"/>
      <c r="R213" s="754"/>
      <c r="S213" s="754"/>
      <c r="T213" s="754"/>
      <c r="U213" s="754"/>
      <c r="V213" s="754"/>
      <c r="W213" s="754"/>
      <c r="X213" s="754"/>
      <c r="Y213" s="754"/>
    </row>
    <row r="214">
      <c r="A214" s="391"/>
      <c r="B214" s="1306"/>
      <c r="C214" s="433">
        <v>7.0</v>
      </c>
      <c r="D214" s="528" t="s">
        <v>1289</v>
      </c>
      <c r="E214" s="1302"/>
      <c r="F214" s="1291"/>
      <c r="G214" s="1291"/>
      <c r="H214" s="1291"/>
      <c r="I214" s="1291"/>
      <c r="J214" s="1291"/>
      <c r="K214" s="1291"/>
      <c r="L214" s="1292" t="s">
        <v>1275</v>
      </c>
      <c r="M214" s="754"/>
      <c r="N214" s="754"/>
      <c r="O214" s="754"/>
      <c r="P214" s="754"/>
      <c r="Q214" s="754"/>
      <c r="R214" s="754"/>
      <c r="S214" s="754"/>
      <c r="T214" s="754"/>
      <c r="U214" s="754"/>
      <c r="V214" s="754"/>
      <c r="W214" s="754"/>
      <c r="X214" s="754"/>
      <c r="Y214" s="754"/>
    </row>
    <row r="215">
      <c r="A215" s="391"/>
      <c r="B215" s="1325">
        <v>16.0</v>
      </c>
      <c r="C215" s="329" t="s">
        <v>45</v>
      </c>
      <c r="D215" s="724"/>
      <c r="E215" s="1302"/>
      <c r="F215" s="1291"/>
      <c r="G215" s="1291"/>
      <c r="H215" s="1291"/>
      <c r="I215" s="1291"/>
      <c r="J215" s="1291"/>
      <c r="K215" s="1291"/>
      <c r="L215" s="1292" t="s">
        <v>1297</v>
      </c>
      <c r="M215" s="1289">
        <f t="shared" ref="M215:Y215" si="18">SUM(M216:M218)</f>
        <v>0</v>
      </c>
      <c r="N215" s="1289">
        <f t="shared" si="18"/>
        <v>0</v>
      </c>
      <c r="O215" s="1289">
        <f t="shared" si="18"/>
        <v>0</v>
      </c>
      <c r="P215" s="1289">
        <f t="shared" si="18"/>
        <v>32415417</v>
      </c>
      <c r="Q215" s="1289">
        <f t="shared" si="18"/>
        <v>68008667</v>
      </c>
      <c r="R215" s="1289">
        <f t="shared" si="18"/>
        <v>68008667</v>
      </c>
      <c r="S215" s="1289">
        <f t="shared" si="18"/>
        <v>68008667</v>
      </c>
      <c r="T215" s="1289">
        <f t="shared" si="18"/>
        <v>68008667</v>
      </c>
      <c r="U215" s="1289">
        <f t="shared" si="18"/>
        <v>68008667</v>
      </c>
      <c r="V215" s="1289">
        <f t="shared" si="18"/>
        <v>68008667</v>
      </c>
      <c r="W215" s="1289">
        <f t="shared" si="18"/>
        <v>78508667</v>
      </c>
      <c r="X215" s="1289">
        <f t="shared" si="18"/>
        <v>78508667</v>
      </c>
      <c r="Y215" s="1289">
        <f t="shared" si="18"/>
        <v>597484753</v>
      </c>
    </row>
    <row r="216">
      <c r="A216" s="391"/>
      <c r="B216" s="1099"/>
      <c r="C216" s="196">
        <v>1.0</v>
      </c>
      <c r="D216" s="925" t="s">
        <v>1298</v>
      </c>
      <c r="E216" s="1324" t="s">
        <v>1298</v>
      </c>
      <c r="F216" s="1293" t="s">
        <v>186</v>
      </c>
      <c r="G216" s="1293" t="s">
        <v>103</v>
      </c>
      <c r="H216" s="1293" t="s">
        <v>86</v>
      </c>
      <c r="I216" s="1293" t="s">
        <v>86</v>
      </c>
      <c r="J216" s="1293" t="s">
        <v>187</v>
      </c>
      <c r="K216" s="1293" t="s">
        <v>1736</v>
      </c>
      <c r="L216" s="1292" t="s">
        <v>1297</v>
      </c>
      <c r="M216" s="1300"/>
      <c r="N216" s="1300"/>
      <c r="O216" s="1300"/>
      <c r="P216" s="1300"/>
      <c r="Q216" s="1300"/>
      <c r="R216" s="1300"/>
      <c r="S216" s="1300"/>
      <c r="T216" s="1300"/>
      <c r="U216" s="1300"/>
      <c r="V216" s="1300"/>
      <c r="W216" s="1294">
        <v>1.05E7</v>
      </c>
      <c r="X216" s="1294">
        <v>1.05E7</v>
      </c>
      <c r="Y216" s="725">
        <v>2.1E7</v>
      </c>
    </row>
    <row r="217">
      <c r="A217" s="391"/>
      <c r="B217" s="1099"/>
      <c r="C217" s="196">
        <v>2.0</v>
      </c>
      <c r="D217" s="925" t="s">
        <v>1301</v>
      </c>
      <c r="E217" s="1324" t="s">
        <v>1301</v>
      </c>
      <c r="F217" s="1293" t="s">
        <v>186</v>
      </c>
      <c r="G217" s="1293" t="s">
        <v>103</v>
      </c>
      <c r="H217" s="1293" t="s">
        <v>86</v>
      </c>
      <c r="I217" s="1293" t="s">
        <v>86</v>
      </c>
      <c r="J217" s="1293" t="s">
        <v>187</v>
      </c>
      <c r="K217" s="1293" t="s">
        <v>1736</v>
      </c>
      <c r="L217" s="1292" t="s">
        <v>1297</v>
      </c>
      <c r="M217" s="1300"/>
      <c r="N217" s="1300"/>
      <c r="O217" s="1300"/>
      <c r="P217" s="1300"/>
      <c r="Q217" s="1294">
        <v>3.559325E7</v>
      </c>
      <c r="R217" s="1294">
        <v>3.559325E7</v>
      </c>
      <c r="S217" s="1294">
        <v>3.559325E7</v>
      </c>
      <c r="T217" s="1294">
        <v>3.559325E7</v>
      </c>
      <c r="U217" s="1294">
        <v>3.559325E7</v>
      </c>
      <c r="V217" s="1294">
        <v>3.559325E7</v>
      </c>
      <c r="W217" s="1294">
        <v>3.559325E7</v>
      </c>
      <c r="X217" s="1294">
        <v>3.559325E7</v>
      </c>
      <c r="Y217" s="725">
        <v>2.84746E8</v>
      </c>
    </row>
    <row r="218">
      <c r="A218" s="391"/>
      <c r="B218" s="1099"/>
      <c r="C218" s="196">
        <v>3.0</v>
      </c>
      <c r="D218" s="925" t="s">
        <v>1304</v>
      </c>
      <c r="E218" s="1324" t="s">
        <v>1832</v>
      </c>
      <c r="F218" s="1293" t="s">
        <v>186</v>
      </c>
      <c r="G218" s="1293" t="s">
        <v>103</v>
      </c>
      <c r="H218" s="1293" t="s">
        <v>86</v>
      </c>
      <c r="I218" s="1293" t="s">
        <v>86</v>
      </c>
      <c r="J218" s="1293" t="s">
        <v>187</v>
      </c>
      <c r="K218" s="1293" t="s">
        <v>1736</v>
      </c>
      <c r="L218" s="1292" t="s">
        <v>1297</v>
      </c>
      <c r="M218" s="1300"/>
      <c r="N218" s="1300"/>
      <c r="O218" s="1300"/>
      <c r="P218" s="1294">
        <v>3.2415417E7</v>
      </c>
      <c r="Q218" s="1294">
        <v>3.2415417E7</v>
      </c>
      <c r="R218" s="1294">
        <v>3.2415417E7</v>
      </c>
      <c r="S218" s="1294">
        <v>3.2415417E7</v>
      </c>
      <c r="T218" s="1294">
        <v>3.2415417E7</v>
      </c>
      <c r="U218" s="1294">
        <v>3.2415417E7</v>
      </c>
      <c r="V218" s="1294">
        <v>3.2415417E7</v>
      </c>
      <c r="W218" s="1294">
        <v>3.2415417E7</v>
      </c>
      <c r="X218" s="1294">
        <v>3.2415417E7</v>
      </c>
      <c r="Y218" s="725">
        <v>2.91738753E8</v>
      </c>
    </row>
    <row r="219">
      <c r="A219" s="391"/>
      <c r="B219" s="1325">
        <v>17.0</v>
      </c>
      <c r="C219" s="329" t="s">
        <v>46</v>
      </c>
      <c r="D219" s="724"/>
      <c r="E219" s="1302"/>
      <c r="F219" s="1291"/>
      <c r="G219" s="1291"/>
      <c r="H219" s="1291"/>
      <c r="I219" s="1291"/>
      <c r="J219" s="1291"/>
      <c r="K219" s="1291"/>
      <c r="L219" s="107" t="s">
        <v>1833</v>
      </c>
      <c r="M219" s="1289">
        <f t="shared" ref="M219:Y219" si="19">SUM(M220:M231)</f>
        <v>502191491</v>
      </c>
      <c r="N219" s="1289">
        <f t="shared" si="19"/>
        <v>502191491</v>
      </c>
      <c r="O219" s="1289">
        <f t="shared" si="19"/>
        <v>502191491</v>
      </c>
      <c r="P219" s="1289">
        <f t="shared" si="19"/>
        <v>502191491</v>
      </c>
      <c r="Q219" s="1289">
        <f t="shared" si="19"/>
        <v>502191491</v>
      </c>
      <c r="R219" s="1289">
        <f t="shared" si="19"/>
        <v>502191491</v>
      </c>
      <c r="S219" s="1289">
        <f t="shared" si="19"/>
        <v>502191491</v>
      </c>
      <c r="T219" s="1289">
        <f t="shared" si="19"/>
        <v>502191491</v>
      </c>
      <c r="U219" s="1289">
        <f t="shared" si="19"/>
        <v>672627401</v>
      </c>
      <c r="V219" s="1289">
        <f t="shared" si="19"/>
        <v>672627401</v>
      </c>
      <c r="W219" s="1289">
        <f t="shared" si="19"/>
        <v>672627401</v>
      </c>
      <c r="X219" s="1289">
        <f t="shared" si="19"/>
        <v>672627401</v>
      </c>
      <c r="Y219" s="1289">
        <f t="shared" si="19"/>
        <v>6708041532</v>
      </c>
    </row>
    <row r="220">
      <c r="A220" s="391"/>
      <c r="B220" s="1099"/>
      <c r="C220" s="196">
        <v>1.0</v>
      </c>
      <c r="D220" s="925" t="s">
        <v>1312</v>
      </c>
      <c r="E220" s="1324" t="s">
        <v>1312</v>
      </c>
      <c r="F220" s="1293" t="s">
        <v>186</v>
      </c>
      <c r="G220" s="1293" t="s">
        <v>103</v>
      </c>
      <c r="H220" s="1293" t="s">
        <v>86</v>
      </c>
      <c r="I220" s="1293" t="s">
        <v>86</v>
      </c>
      <c r="J220" s="1293" t="s">
        <v>187</v>
      </c>
      <c r="K220" s="1293" t="s">
        <v>1736</v>
      </c>
      <c r="L220" s="1292" t="s">
        <v>1313</v>
      </c>
      <c r="M220" s="1300"/>
      <c r="N220" s="1300"/>
      <c r="O220" s="1300"/>
      <c r="P220" s="1300"/>
      <c r="Q220" s="1300"/>
      <c r="R220" s="1300"/>
      <c r="S220" s="1300"/>
      <c r="T220" s="1300"/>
      <c r="U220" s="1294">
        <v>1.7043591E8</v>
      </c>
      <c r="V220" s="1294">
        <v>1.7043591E8</v>
      </c>
      <c r="W220" s="1294">
        <v>1.7043591E8</v>
      </c>
      <c r="X220" s="1294">
        <v>1.7043591E8</v>
      </c>
      <c r="Y220" s="725">
        <v>6.8174364E8</v>
      </c>
    </row>
    <row r="221">
      <c r="A221" s="391"/>
      <c r="B221" s="1306"/>
      <c r="C221" s="196" t="s">
        <v>1834</v>
      </c>
      <c r="D221" s="935" t="s">
        <v>1316</v>
      </c>
      <c r="E221" s="86"/>
      <c r="F221" s="1291"/>
      <c r="G221" s="1291"/>
      <c r="H221" s="1291"/>
      <c r="I221" s="1291"/>
      <c r="J221" s="1291"/>
      <c r="K221" s="1291"/>
      <c r="L221" s="1288"/>
      <c r="M221" s="754"/>
      <c r="N221" s="754"/>
      <c r="O221" s="754"/>
      <c r="P221" s="754"/>
      <c r="Q221" s="754"/>
      <c r="R221" s="754"/>
      <c r="S221" s="754"/>
      <c r="T221" s="754"/>
      <c r="U221" s="754"/>
      <c r="V221" s="754"/>
      <c r="W221" s="754"/>
      <c r="X221" s="754"/>
      <c r="Y221" s="754"/>
    </row>
    <row r="222">
      <c r="A222" s="391"/>
      <c r="B222" s="185"/>
      <c r="C222" s="196">
        <v>2.0</v>
      </c>
      <c r="D222" s="197" t="s">
        <v>1322</v>
      </c>
      <c r="E222" s="198" t="s">
        <v>1322</v>
      </c>
      <c r="F222" s="1293" t="s">
        <v>186</v>
      </c>
      <c r="G222" s="1293" t="s">
        <v>103</v>
      </c>
      <c r="H222" s="1293" t="s">
        <v>86</v>
      </c>
      <c r="I222" s="1293" t="s">
        <v>86</v>
      </c>
      <c r="J222" s="1293" t="s">
        <v>187</v>
      </c>
      <c r="K222" s="1293" t="s">
        <v>1736</v>
      </c>
      <c r="L222" s="1292" t="s">
        <v>782</v>
      </c>
      <c r="M222" s="1294">
        <v>8.4136039E7</v>
      </c>
      <c r="N222" s="1294">
        <v>8.4136039E7</v>
      </c>
      <c r="O222" s="1294">
        <v>8.4136039E7</v>
      </c>
      <c r="P222" s="1294">
        <v>8.4136039E7</v>
      </c>
      <c r="Q222" s="1294">
        <v>8.4136039E7</v>
      </c>
      <c r="R222" s="1294">
        <v>8.4136039E7</v>
      </c>
      <c r="S222" s="1294">
        <v>8.4136039E7</v>
      </c>
      <c r="T222" s="1294">
        <v>8.4136039E7</v>
      </c>
      <c r="U222" s="1294">
        <v>8.4136039E7</v>
      </c>
      <c r="V222" s="1294">
        <v>8.4136039E7</v>
      </c>
      <c r="W222" s="1294">
        <v>8.4136039E7</v>
      </c>
      <c r="X222" s="1294">
        <v>8.4136039E7</v>
      </c>
      <c r="Y222" s="725">
        <v>1.009632468E9</v>
      </c>
    </row>
    <row r="223">
      <c r="A223" s="391"/>
      <c r="B223" s="185"/>
      <c r="C223" s="196">
        <v>3.0</v>
      </c>
      <c r="D223" s="354" t="s">
        <v>1336</v>
      </c>
      <c r="E223" s="198" t="s">
        <v>1835</v>
      </c>
      <c r="F223" s="1293" t="s">
        <v>186</v>
      </c>
      <c r="G223" s="1293" t="s">
        <v>103</v>
      </c>
      <c r="H223" s="1293" t="s">
        <v>86</v>
      </c>
      <c r="I223" s="1293" t="s">
        <v>86</v>
      </c>
      <c r="J223" s="1293" t="s">
        <v>253</v>
      </c>
      <c r="K223" s="1293" t="s">
        <v>1739</v>
      </c>
      <c r="L223" s="1292" t="s">
        <v>782</v>
      </c>
      <c r="M223" s="1294">
        <v>2.27278525E8</v>
      </c>
      <c r="N223" s="1294">
        <v>2.27278525E8</v>
      </c>
      <c r="O223" s="1294">
        <v>2.27278525E8</v>
      </c>
      <c r="P223" s="1294">
        <v>2.27278525E8</v>
      </c>
      <c r="Q223" s="1294">
        <v>2.27278525E8</v>
      </c>
      <c r="R223" s="1294">
        <v>2.27278525E8</v>
      </c>
      <c r="S223" s="1294">
        <v>2.27278525E8</v>
      </c>
      <c r="T223" s="1294">
        <v>2.27278525E8</v>
      </c>
      <c r="U223" s="1294">
        <v>2.27278525E8</v>
      </c>
      <c r="V223" s="1294">
        <v>2.27278525E8</v>
      </c>
      <c r="W223" s="1294">
        <v>2.27278525E8</v>
      </c>
      <c r="X223" s="1294">
        <v>2.27278525E8</v>
      </c>
      <c r="Y223" s="725">
        <v>2.7273423E9</v>
      </c>
    </row>
    <row r="224">
      <c r="A224" s="391"/>
      <c r="B224" s="185"/>
      <c r="C224" s="196">
        <v>4.0</v>
      </c>
      <c r="D224" s="354" t="s">
        <v>1344</v>
      </c>
      <c r="E224" s="198" t="s">
        <v>1836</v>
      </c>
      <c r="F224" s="1293" t="s">
        <v>186</v>
      </c>
      <c r="G224" s="1293" t="s">
        <v>88</v>
      </c>
      <c r="H224" s="1293" t="s">
        <v>88</v>
      </c>
      <c r="I224" s="1293" t="s">
        <v>218</v>
      </c>
      <c r="J224" s="1293" t="s">
        <v>187</v>
      </c>
      <c r="K224" s="1293" t="s">
        <v>1736</v>
      </c>
      <c r="L224" s="1292" t="s">
        <v>782</v>
      </c>
      <c r="M224" s="1294">
        <v>2.527479E7</v>
      </c>
      <c r="N224" s="1294">
        <v>2.527479E7</v>
      </c>
      <c r="O224" s="1294">
        <v>2.527479E7</v>
      </c>
      <c r="P224" s="1294">
        <v>2.527479E7</v>
      </c>
      <c r="Q224" s="1294">
        <v>2.527479E7</v>
      </c>
      <c r="R224" s="1294">
        <v>2.527479E7</v>
      </c>
      <c r="S224" s="1294">
        <v>2.527479E7</v>
      </c>
      <c r="T224" s="1294">
        <v>2.527479E7</v>
      </c>
      <c r="U224" s="1294">
        <v>2.527479E7</v>
      </c>
      <c r="V224" s="1294">
        <v>2.527479E7</v>
      </c>
      <c r="W224" s="1294">
        <v>2.527479E7</v>
      </c>
      <c r="X224" s="1294">
        <v>2.527479E7</v>
      </c>
      <c r="Y224" s="725">
        <v>3.0329748E8</v>
      </c>
    </row>
    <row r="225">
      <c r="A225" s="391"/>
      <c r="B225" s="185"/>
      <c r="C225" s="196">
        <v>5.0</v>
      </c>
      <c r="D225" s="354" t="s">
        <v>1349</v>
      </c>
      <c r="E225" s="198" t="s">
        <v>1837</v>
      </c>
      <c r="F225" s="1293" t="s">
        <v>186</v>
      </c>
      <c r="G225" s="1293" t="s">
        <v>135</v>
      </c>
      <c r="H225" s="1293" t="s">
        <v>135</v>
      </c>
      <c r="I225" s="1293" t="s">
        <v>203</v>
      </c>
      <c r="J225" s="1293" t="s">
        <v>187</v>
      </c>
      <c r="K225" s="1293" t="s">
        <v>1736</v>
      </c>
      <c r="L225" s="1292" t="s">
        <v>782</v>
      </c>
      <c r="M225" s="1294">
        <v>1.2311978E7</v>
      </c>
      <c r="N225" s="1294">
        <v>1.2311978E7</v>
      </c>
      <c r="O225" s="1294">
        <v>1.2311978E7</v>
      </c>
      <c r="P225" s="1294">
        <v>1.2311978E7</v>
      </c>
      <c r="Q225" s="1294">
        <v>1.2311978E7</v>
      </c>
      <c r="R225" s="1294">
        <v>1.2311978E7</v>
      </c>
      <c r="S225" s="1294">
        <v>1.2311978E7</v>
      </c>
      <c r="T225" s="1294">
        <v>1.2311978E7</v>
      </c>
      <c r="U225" s="1294">
        <v>1.2311978E7</v>
      </c>
      <c r="V225" s="1294">
        <v>1.2311978E7</v>
      </c>
      <c r="W225" s="1294">
        <v>1.2311978E7</v>
      </c>
      <c r="X225" s="1294">
        <v>1.2311978E7</v>
      </c>
      <c r="Y225" s="725">
        <v>1.47743736E8</v>
      </c>
    </row>
    <row r="226">
      <c r="A226" s="391"/>
      <c r="B226" s="185"/>
      <c r="C226" s="196">
        <v>6.0</v>
      </c>
      <c r="D226" s="197" t="s">
        <v>1354</v>
      </c>
      <c r="E226" s="198" t="s">
        <v>1354</v>
      </c>
      <c r="F226" s="1293" t="s">
        <v>186</v>
      </c>
      <c r="G226" s="1293" t="s">
        <v>88</v>
      </c>
      <c r="H226" s="1293" t="s">
        <v>88</v>
      </c>
      <c r="I226" s="1293" t="s">
        <v>218</v>
      </c>
      <c r="J226" s="1293" t="s">
        <v>187</v>
      </c>
      <c r="K226" s="1293" t="s">
        <v>1736</v>
      </c>
      <c r="L226" s="1292" t="s">
        <v>782</v>
      </c>
      <c r="M226" s="1294">
        <v>9.561966E7</v>
      </c>
      <c r="N226" s="1294">
        <v>9.561966E7</v>
      </c>
      <c r="O226" s="1294">
        <v>9.561966E7</v>
      </c>
      <c r="P226" s="1294">
        <v>9.561966E7</v>
      </c>
      <c r="Q226" s="1294">
        <v>9.561966E7</v>
      </c>
      <c r="R226" s="1294">
        <v>9.561966E7</v>
      </c>
      <c r="S226" s="1294">
        <v>9.561966E7</v>
      </c>
      <c r="T226" s="1294">
        <v>9.561966E7</v>
      </c>
      <c r="U226" s="1294">
        <v>9.561966E7</v>
      </c>
      <c r="V226" s="1294">
        <v>9.561966E7</v>
      </c>
      <c r="W226" s="1294">
        <v>9.561966E7</v>
      </c>
      <c r="X226" s="1294">
        <v>9.561966E7</v>
      </c>
      <c r="Y226" s="725">
        <v>1.14743592E9</v>
      </c>
    </row>
    <row r="227">
      <c r="A227" s="391"/>
      <c r="B227" s="1326"/>
      <c r="C227" s="433">
        <v>7.0</v>
      </c>
      <c r="D227" s="516" t="s">
        <v>1361</v>
      </c>
      <c r="E227" s="198" t="s">
        <v>1838</v>
      </c>
      <c r="F227" s="1293" t="s">
        <v>326</v>
      </c>
      <c r="G227" s="1293" t="s">
        <v>103</v>
      </c>
      <c r="H227" s="1293" t="s">
        <v>84</v>
      </c>
      <c r="I227" s="1293" t="s">
        <v>84</v>
      </c>
      <c r="J227" s="1293" t="s">
        <v>187</v>
      </c>
      <c r="K227" s="1293" t="s">
        <v>1736</v>
      </c>
      <c r="L227" s="1292" t="s">
        <v>782</v>
      </c>
      <c r="M227" s="1294">
        <v>5.7570499E7</v>
      </c>
      <c r="N227" s="1294">
        <v>5.7570499E7</v>
      </c>
      <c r="O227" s="1294">
        <v>5.7570499E7</v>
      </c>
      <c r="P227" s="1294">
        <v>5.7570499E7</v>
      </c>
      <c r="Q227" s="1294">
        <v>5.7570499E7</v>
      </c>
      <c r="R227" s="1294">
        <v>5.7570499E7</v>
      </c>
      <c r="S227" s="1294">
        <v>5.7570499E7</v>
      </c>
      <c r="T227" s="1294">
        <v>5.7570499E7</v>
      </c>
      <c r="U227" s="1294">
        <v>5.7570499E7</v>
      </c>
      <c r="V227" s="1294">
        <v>5.7570499E7</v>
      </c>
      <c r="W227" s="1294">
        <v>5.7570499E7</v>
      </c>
      <c r="X227" s="1294">
        <v>5.7570499E7</v>
      </c>
      <c r="Y227" s="725">
        <v>6.90845988E8</v>
      </c>
    </row>
    <row r="228">
      <c r="A228" s="569"/>
      <c r="B228" s="1327"/>
      <c r="C228" s="960" t="s">
        <v>1834</v>
      </c>
      <c r="D228" s="967" t="s">
        <v>1367</v>
      </c>
      <c r="E228" s="1302"/>
      <c r="F228" s="1291"/>
      <c r="G228" s="1291"/>
      <c r="H228" s="1291"/>
      <c r="I228" s="1291"/>
      <c r="J228" s="1291"/>
      <c r="K228" s="1291"/>
      <c r="L228" s="1292" t="s">
        <v>782</v>
      </c>
      <c r="M228" s="754"/>
      <c r="N228" s="754"/>
      <c r="O228" s="754"/>
      <c r="P228" s="754"/>
      <c r="Q228" s="754"/>
      <c r="R228" s="754"/>
      <c r="S228" s="754"/>
      <c r="T228" s="754"/>
      <c r="U228" s="754"/>
      <c r="V228" s="754"/>
      <c r="W228" s="754"/>
      <c r="X228" s="754"/>
      <c r="Y228" s="754"/>
    </row>
    <row r="229">
      <c r="A229" s="391"/>
      <c r="B229" s="1328"/>
      <c r="C229" s="971" t="s">
        <v>1834</v>
      </c>
      <c r="D229" s="831" t="s">
        <v>1371</v>
      </c>
      <c r="E229" s="1302"/>
      <c r="F229" s="1291"/>
      <c r="G229" s="1291"/>
      <c r="H229" s="1291"/>
      <c r="I229" s="1291"/>
      <c r="J229" s="1291"/>
      <c r="K229" s="1291"/>
      <c r="L229" s="107" t="s">
        <v>1839</v>
      </c>
      <c r="M229" s="754"/>
      <c r="N229" s="754"/>
      <c r="O229" s="754"/>
      <c r="P229" s="754"/>
      <c r="Q229" s="754"/>
      <c r="R229" s="754"/>
      <c r="S229" s="754"/>
      <c r="T229" s="754"/>
      <c r="U229" s="754"/>
      <c r="V229" s="754"/>
      <c r="W229" s="754"/>
      <c r="X229" s="754"/>
      <c r="Y229" s="754"/>
    </row>
    <row r="230">
      <c r="A230" s="391"/>
      <c r="B230" s="1329"/>
      <c r="C230" s="971">
        <v>8.0</v>
      </c>
      <c r="D230" s="976" t="s">
        <v>1375</v>
      </c>
      <c r="E230" s="1302"/>
      <c r="F230" s="1291"/>
      <c r="G230" s="1291"/>
      <c r="H230" s="1291"/>
      <c r="I230" s="1291"/>
      <c r="J230" s="1291"/>
      <c r="K230" s="1291"/>
      <c r="L230" s="1292" t="s">
        <v>782</v>
      </c>
      <c r="M230" s="754"/>
      <c r="N230" s="754"/>
      <c r="O230" s="754"/>
      <c r="P230" s="754"/>
      <c r="Q230" s="754"/>
      <c r="R230" s="754"/>
      <c r="S230" s="754"/>
      <c r="T230" s="754"/>
      <c r="U230" s="754"/>
      <c r="V230" s="754"/>
      <c r="W230" s="754"/>
      <c r="X230" s="754"/>
      <c r="Y230" s="754"/>
    </row>
    <row r="231">
      <c r="A231" s="391"/>
      <c r="B231" s="1329"/>
      <c r="C231" s="971">
        <v>9.0</v>
      </c>
      <c r="D231" s="976" t="s">
        <v>1379</v>
      </c>
      <c r="E231" s="1302"/>
      <c r="F231" s="1291"/>
      <c r="G231" s="1291"/>
      <c r="H231" s="1291"/>
      <c r="I231" s="1291"/>
      <c r="J231" s="1291"/>
      <c r="K231" s="1291"/>
      <c r="L231" s="1292" t="s">
        <v>782</v>
      </c>
      <c r="M231" s="754"/>
      <c r="N231" s="754"/>
      <c r="O231" s="754"/>
      <c r="P231" s="754"/>
      <c r="Q231" s="754"/>
      <c r="R231" s="754"/>
      <c r="S231" s="754"/>
      <c r="T231" s="754"/>
      <c r="U231" s="754"/>
      <c r="V231" s="754"/>
      <c r="W231" s="754"/>
      <c r="X231" s="754"/>
      <c r="Y231" s="754"/>
    </row>
    <row r="232">
      <c r="A232" s="391"/>
      <c r="B232" s="1286" t="s">
        <v>47</v>
      </c>
      <c r="C232" s="678" t="s">
        <v>48</v>
      </c>
      <c r="D232" s="679"/>
      <c r="E232" s="1302"/>
      <c r="F232" s="1291"/>
      <c r="G232" s="1291"/>
      <c r="H232" s="1291"/>
      <c r="I232" s="1291"/>
      <c r="J232" s="1291"/>
      <c r="K232" s="1291"/>
      <c r="L232" s="1288"/>
      <c r="M232" s="1289">
        <f t="shared" ref="M232:Y232" si="20">M233+M265+M267</f>
        <v>1041666666</v>
      </c>
      <c r="N232" s="1289">
        <f t="shared" si="20"/>
        <v>5643722682</v>
      </c>
      <c r="O232" s="1289">
        <f t="shared" si="20"/>
        <v>5668065606</v>
      </c>
      <c r="P232" s="1289">
        <f t="shared" si="20"/>
        <v>5777059946</v>
      </c>
      <c r="Q232" s="1289">
        <f t="shared" si="20"/>
        <v>5779558101</v>
      </c>
      <c r="R232" s="1289">
        <f t="shared" si="20"/>
        <v>5870464587</v>
      </c>
      <c r="S232" s="1289">
        <f t="shared" si="20"/>
        <v>7371457431</v>
      </c>
      <c r="T232" s="1289">
        <f t="shared" si="20"/>
        <v>7376485351</v>
      </c>
      <c r="U232" s="1289">
        <f t="shared" si="20"/>
        <v>7376485351</v>
      </c>
      <c r="V232" s="1289">
        <f t="shared" si="20"/>
        <v>7376485351</v>
      </c>
      <c r="W232" s="1289">
        <f t="shared" si="20"/>
        <v>5876485351</v>
      </c>
      <c r="X232" s="1289">
        <f t="shared" si="20"/>
        <v>5876485351</v>
      </c>
      <c r="Y232" s="1289">
        <f t="shared" si="20"/>
        <v>71034421782</v>
      </c>
    </row>
    <row r="233">
      <c r="A233" s="391"/>
      <c r="B233" s="1325">
        <v>18.0</v>
      </c>
      <c r="C233" s="182" t="s">
        <v>49</v>
      </c>
      <c r="D233" s="684"/>
      <c r="E233" s="1302"/>
      <c r="F233" s="1291"/>
      <c r="G233" s="1291"/>
      <c r="H233" s="1291"/>
      <c r="I233" s="1291"/>
      <c r="J233" s="1291"/>
      <c r="K233" s="1291"/>
      <c r="L233" s="107" t="s">
        <v>1387</v>
      </c>
      <c r="M233" s="1289">
        <f t="shared" ref="M233:Y233" si="21">SUM(M234:M264)</f>
        <v>208333333</v>
      </c>
      <c r="N233" s="1289">
        <f t="shared" si="21"/>
        <v>4810389349</v>
      </c>
      <c r="O233" s="1289">
        <f t="shared" si="21"/>
        <v>4834732273</v>
      </c>
      <c r="P233" s="1289">
        <f t="shared" si="21"/>
        <v>4839521429</v>
      </c>
      <c r="Q233" s="1289">
        <f t="shared" si="21"/>
        <v>4842019584</v>
      </c>
      <c r="R233" s="1289">
        <f t="shared" si="21"/>
        <v>4932926070</v>
      </c>
      <c r="S233" s="1289">
        <f t="shared" si="21"/>
        <v>6433918914</v>
      </c>
      <c r="T233" s="1289">
        <f t="shared" si="21"/>
        <v>6438946834</v>
      </c>
      <c r="U233" s="1289">
        <f t="shared" si="21"/>
        <v>6438946834</v>
      </c>
      <c r="V233" s="1289">
        <f t="shared" si="21"/>
        <v>6438946834</v>
      </c>
      <c r="W233" s="1289">
        <f t="shared" si="21"/>
        <v>4938946834</v>
      </c>
      <c r="X233" s="1289">
        <f t="shared" si="21"/>
        <v>4938946834</v>
      </c>
      <c r="Y233" s="1289">
        <f t="shared" si="21"/>
        <v>60096575126</v>
      </c>
    </row>
    <row r="234">
      <c r="A234" s="391"/>
      <c r="B234" s="1099"/>
      <c r="C234" s="196">
        <v>1.0</v>
      </c>
      <c r="D234" s="925" t="s">
        <v>1388</v>
      </c>
      <c r="E234" s="1324" t="s">
        <v>1840</v>
      </c>
      <c r="F234" s="1293" t="s">
        <v>186</v>
      </c>
      <c r="G234" s="1293" t="s">
        <v>135</v>
      </c>
      <c r="H234" s="1293" t="s">
        <v>135</v>
      </c>
      <c r="I234" s="1293" t="s">
        <v>203</v>
      </c>
      <c r="J234" s="1293" t="s">
        <v>187</v>
      </c>
      <c r="K234" s="1293" t="s">
        <v>1736</v>
      </c>
      <c r="L234" s="1292" t="s">
        <v>1387</v>
      </c>
      <c r="M234" s="1300"/>
      <c r="N234" s="1294">
        <v>6.9994575E8</v>
      </c>
      <c r="O234" s="1294">
        <v>6.9994575E8</v>
      </c>
      <c r="P234" s="1294">
        <v>6.9994575E8</v>
      </c>
      <c r="Q234" s="1294">
        <v>6.9994575E8</v>
      </c>
      <c r="R234" s="1294">
        <v>6.9994575E8</v>
      </c>
      <c r="S234" s="1294">
        <v>6.9994575E8</v>
      </c>
      <c r="T234" s="1294">
        <v>6.9994575E8</v>
      </c>
      <c r="U234" s="1294">
        <v>6.9994575E8</v>
      </c>
      <c r="V234" s="1294">
        <v>6.9994575E8</v>
      </c>
      <c r="W234" s="1294">
        <v>6.9994575E8</v>
      </c>
      <c r="X234" s="1294">
        <v>6.9994575E8</v>
      </c>
      <c r="Y234" s="725">
        <v>7.69940325E9</v>
      </c>
    </row>
    <row r="235">
      <c r="A235" s="391"/>
      <c r="B235" s="1099"/>
      <c r="C235" s="196">
        <v>2.0</v>
      </c>
      <c r="D235" s="925" t="s">
        <v>1391</v>
      </c>
      <c r="E235" s="1324" t="s">
        <v>1391</v>
      </c>
      <c r="F235" s="1293" t="s">
        <v>186</v>
      </c>
      <c r="G235" s="1293" t="s">
        <v>88</v>
      </c>
      <c r="H235" s="1293" t="s">
        <v>88</v>
      </c>
      <c r="I235" s="1293" t="s">
        <v>218</v>
      </c>
      <c r="J235" s="1293" t="s">
        <v>752</v>
      </c>
      <c r="K235" s="1293" t="s">
        <v>1747</v>
      </c>
      <c r="L235" s="1292" t="s">
        <v>1387</v>
      </c>
      <c r="M235" s="1300"/>
      <c r="N235" s="1300"/>
      <c r="O235" s="1300"/>
      <c r="P235" s="1300"/>
      <c r="Q235" s="1300"/>
      <c r="R235" s="1294">
        <v>6081804.0</v>
      </c>
      <c r="S235" s="1294">
        <v>6081804.0</v>
      </c>
      <c r="T235" s="1294">
        <v>6081804.0</v>
      </c>
      <c r="U235" s="1294">
        <v>6081804.0</v>
      </c>
      <c r="V235" s="1294">
        <v>6081804.0</v>
      </c>
      <c r="W235" s="1294">
        <v>6081804.0</v>
      </c>
      <c r="X235" s="1294">
        <v>6081804.0</v>
      </c>
      <c r="Y235" s="725">
        <v>4.2572628E7</v>
      </c>
    </row>
    <row r="236">
      <c r="A236" s="391"/>
      <c r="B236" s="1099"/>
      <c r="C236" s="196">
        <v>3.0</v>
      </c>
      <c r="D236" s="925" t="s">
        <v>1394</v>
      </c>
      <c r="E236" s="1324" t="s">
        <v>1841</v>
      </c>
      <c r="F236" s="1293" t="s">
        <v>186</v>
      </c>
      <c r="G236" s="1293" t="s">
        <v>103</v>
      </c>
      <c r="H236" s="1293" t="s">
        <v>86</v>
      </c>
      <c r="I236" s="1293" t="s">
        <v>86</v>
      </c>
      <c r="J236" s="1293" t="s">
        <v>187</v>
      </c>
      <c r="K236" s="1293" t="s">
        <v>1736</v>
      </c>
      <c r="L236" s="1292" t="s">
        <v>1387</v>
      </c>
      <c r="M236" s="1300"/>
      <c r="N236" s="1294">
        <v>3.896370702E9</v>
      </c>
      <c r="O236" s="1294">
        <v>3.896370702E9</v>
      </c>
      <c r="P236" s="1294">
        <v>3.896370702E9</v>
      </c>
      <c r="Q236" s="1294">
        <v>3.896370702E9</v>
      </c>
      <c r="R236" s="1294">
        <v>3.896370702E9</v>
      </c>
      <c r="S236" s="1294">
        <v>3.896370702E9</v>
      </c>
      <c r="T236" s="1294">
        <v>3.896370702E9</v>
      </c>
      <c r="U236" s="1294">
        <v>3.896370702E9</v>
      </c>
      <c r="V236" s="1294">
        <v>3.896370702E9</v>
      </c>
      <c r="W236" s="1294">
        <v>3.896370702E9</v>
      </c>
      <c r="X236" s="1294">
        <v>3.896370702E9</v>
      </c>
      <c r="Y236" s="725">
        <v>4.2860077722E10</v>
      </c>
    </row>
    <row r="237">
      <c r="A237" s="391"/>
      <c r="B237" s="1099"/>
      <c r="C237" s="196">
        <v>4.0</v>
      </c>
      <c r="D237" s="925" t="s">
        <v>1397</v>
      </c>
      <c r="E237" s="1324" t="s">
        <v>1397</v>
      </c>
      <c r="F237" s="1293" t="s">
        <v>186</v>
      </c>
      <c r="G237" s="1293" t="s">
        <v>103</v>
      </c>
      <c r="H237" s="1293" t="s">
        <v>86</v>
      </c>
      <c r="I237" s="1293" t="s">
        <v>86</v>
      </c>
      <c r="J237" s="1293" t="s">
        <v>187</v>
      </c>
      <c r="K237" s="1293" t="s">
        <v>1736</v>
      </c>
      <c r="L237" s="1292" t="s">
        <v>1387</v>
      </c>
      <c r="M237" s="1300"/>
      <c r="N237" s="1300"/>
      <c r="O237" s="1300"/>
      <c r="P237" s="1300"/>
      <c r="Q237" s="1294">
        <v>1002229.0</v>
      </c>
      <c r="R237" s="1294">
        <v>1002229.0</v>
      </c>
      <c r="S237" s="1294">
        <v>1002229.0</v>
      </c>
      <c r="T237" s="1294">
        <v>1002229.0</v>
      </c>
      <c r="U237" s="1294">
        <v>1002229.0</v>
      </c>
      <c r="V237" s="1294">
        <v>1002229.0</v>
      </c>
      <c r="W237" s="1294">
        <v>1002229.0</v>
      </c>
      <c r="X237" s="1294">
        <v>1002229.0</v>
      </c>
      <c r="Y237" s="725">
        <v>8017832.0</v>
      </c>
    </row>
    <row r="238">
      <c r="A238" s="391"/>
      <c r="B238" s="1099"/>
      <c r="C238" s="196">
        <v>5.0</v>
      </c>
      <c r="D238" s="925" t="s">
        <v>1400</v>
      </c>
      <c r="E238" s="1324" t="s">
        <v>1400</v>
      </c>
      <c r="F238" s="1293" t="s">
        <v>186</v>
      </c>
      <c r="G238" s="1293" t="s">
        <v>103</v>
      </c>
      <c r="H238" s="1293" t="s">
        <v>86</v>
      </c>
      <c r="I238" s="1293" t="s">
        <v>86</v>
      </c>
      <c r="J238" s="1293" t="s">
        <v>253</v>
      </c>
      <c r="K238" s="1293" t="s">
        <v>1739</v>
      </c>
      <c r="L238" s="1292" t="s">
        <v>1387</v>
      </c>
      <c r="M238" s="1300"/>
      <c r="N238" s="1300"/>
      <c r="O238" s="1300"/>
      <c r="P238" s="1300"/>
      <c r="Q238" s="1300"/>
      <c r="R238" s="1300"/>
      <c r="S238" s="1300"/>
      <c r="T238" s="1294">
        <v>196840.0</v>
      </c>
      <c r="U238" s="1294">
        <v>196840.0</v>
      </c>
      <c r="V238" s="1294">
        <v>196840.0</v>
      </c>
      <c r="W238" s="1294">
        <v>196840.0</v>
      </c>
      <c r="X238" s="1294">
        <v>196840.0</v>
      </c>
      <c r="Y238" s="725">
        <v>984200.0</v>
      </c>
    </row>
    <row r="239">
      <c r="A239" s="391"/>
      <c r="B239" s="1099"/>
      <c r="C239" s="196">
        <v>6.0</v>
      </c>
      <c r="D239" s="925" t="s">
        <v>1403</v>
      </c>
      <c r="E239" s="1324" t="s">
        <v>1403</v>
      </c>
      <c r="F239" s="1293" t="s">
        <v>186</v>
      </c>
      <c r="G239" s="1293" t="s">
        <v>103</v>
      </c>
      <c r="H239" s="1293" t="s">
        <v>86</v>
      </c>
      <c r="I239" s="1293" t="s">
        <v>86</v>
      </c>
      <c r="J239" s="1293" t="s">
        <v>253</v>
      </c>
      <c r="K239" s="1293" t="s">
        <v>1739</v>
      </c>
      <c r="L239" s="1292" t="s">
        <v>1387</v>
      </c>
      <c r="M239" s="1300"/>
      <c r="N239" s="1300"/>
      <c r="O239" s="1300"/>
      <c r="P239" s="1300"/>
      <c r="Q239" s="1300"/>
      <c r="R239" s="1300"/>
      <c r="S239" s="1300"/>
      <c r="T239" s="1294">
        <v>352698.0</v>
      </c>
      <c r="U239" s="1294">
        <v>352698.0</v>
      </c>
      <c r="V239" s="1294">
        <v>352698.0</v>
      </c>
      <c r="W239" s="1294">
        <v>352698.0</v>
      </c>
      <c r="X239" s="1294">
        <v>352698.0</v>
      </c>
      <c r="Y239" s="725">
        <v>1763490.0</v>
      </c>
    </row>
    <row r="240">
      <c r="A240" s="391"/>
      <c r="B240" s="1099"/>
      <c r="C240" s="196">
        <v>7.0</v>
      </c>
      <c r="D240" s="925" t="s">
        <v>1406</v>
      </c>
      <c r="E240" s="1324" t="s">
        <v>1406</v>
      </c>
      <c r="F240" s="1293" t="s">
        <v>186</v>
      </c>
      <c r="G240" s="1293" t="s">
        <v>103</v>
      </c>
      <c r="H240" s="1293" t="s">
        <v>86</v>
      </c>
      <c r="I240" s="1293" t="s">
        <v>86</v>
      </c>
      <c r="J240" s="1293" t="s">
        <v>253</v>
      </c>
      <c r="K240" s="1293" t="s">
        <v>1739</v>
      </c>
      <c r="L240" s="1292" t="s">
        <v>1387</v>
      </c>
      <c r="M240" s="1300"/>
      <c r="N240" s="1300"/>
      <c r="O240" s="1300"/>
      <c r="P240" s="1300"/>
      <c r="Q240" s="1300"/>
      <c r="R240" s="1300"/>
      <c r="S240" s="1300"/>
      <c r="T240" s="1294">
        <v>350919.0</v>
      </c>
      <c r="U240" s="1294">
        <v>350919.0</v>
      </c>
      <c r="V240" s="1294">
        <v>350919.0</v>
      </c>
      <c r="W240" s="1294">
        <v>350919.0</v>
      </c>
      <c r="X240" s="1294">
        <v>350919.0</v>
      </c>
      <c r="Y240" s="725">
        <v>1754595.0</v>
      </c>
    </row>
    <row r="241">
      <c r="A241" s="391"/>
      <c r="B241" s="1099"/>
      <c r="C241" s="196">
        <v>8.0</v>
      </c>
      <c r="D241" s="925" t="s">
        <v>1409</v>
      </c>
      <c r="E241" s="1324" t="s">
        <v>1409</v>
      </c>
      <c r="F241" s="1293" t="s">
        <v>186</v>
      </c>
      <c r="G241" s="1293" t="s">
        <v>103</v>
      </c>
      <c r="H241" s="1293" t="s">
        <v>86</v>
      </c>
      <c r="I241" s="1293" t="s">
        <v>86</v>
      </c>
      <c r="J241" s="1293" t="s">
        <v>253</v>
      </c>
      <c r="K241" s="1293" t="s">
        <v>1739</v>
      </c>
      <c r="L241" s="1292" t="s">
        <v>1387</v>
      </c>
      <c r="M241" s="1300"/>
      <c r="N241" s="1300"/>
      <c r="O241" s="1300"/>
      <c r="P241" s="1300"/>
      <c r="Q241" s="1300"/>
      <c r="R241" s="1294">
        <v>3004014.0</v>
      </c>
      <c r="S241" s="1294">
        <v>3004014.0</v>
      </c>
      <c r="T241" s="1294">
        <v>3004014.0</v>
      </c>
      <c r="U241" s="1294">
        <v>3004014.0</v>
      </c>
      <c r="V241" s="1294">
        <v>3004014.0</v>
      </c>
      <c r="W241" s="1294">
        <v>3004014.0</v>
      </c>
      <c r="X241" s="1294">
        <v>3004014.0</v>
      </c>
      <c r="Y241" s="725">
        <v>2.1028098E7</v>
      </c>
    </row>
    <row r="242">
      <c r="A242" s="391"/>
      <c r="B242" s="1099"/>
      <c r="C242" s="196">
        <v>9.0</v>
      </c>
      <c r="D242" s="925" t="s">
        <v>1412</v>
      </c>
      <c r="E242" s="1324" t="s">
        <v>1412</v>
      </c>
      <c r="F242" s="1293" t="s">
        <v>186</v>
      </c>
      <c r="G242" s="1293" t="s">
        <v>103</v>
      </c>
      <c r="H242" s="1293" t="s">
        <v>86</v>
      </c>
      <c r="I242" s="1293" t="s">
        <v>86</v>
      </c>
      <c r="J242" s="1293" t="s">
        <v>253</v>
      </c>
      <c r="K242" s="1293" t="s">
        <v>1739</v>
      </c>
      <c r="L242" s="1292" t="s">
        <v>1387</v>
      </c>
      <c r="M242" s="1300"/>
      <c r="N242" s="1300"/>
      <c r="O242" s="1294">
        <v>2810808.0</v>
      </c>
      <c r="P242" s="1294">
        <v>2810808.0</v>
      </c>
      <c r="Q242" s="1294">
        <v>2810808.0</v>
      </c>
      <c r="R242" s="1294">
        <v>2810808.0</v>
      </c>
      <c r="S242" s="1294">
        <v>2810808.0</v>
      </c>
      <c r="T242" s="1294">
        <v>2810808.0</v>
      </c>
      <c r="U242" s="1294">
        <v>2810808.0</v>
      </c>
      <c r="V242" s="1294">
        <v>2810808.0</v>
      </c>
      <c r="W242" s="1294">
        <v>2810808.0</v>
      </c>
      <c r="X242" s="1294">
        <v>2810808.0</v>
      </c>
      <c r="Y242" s="725">
        <v>2.810808E7</v>
      </c>
    </row>
    <row r="243">
      <c r="A243" s="391"/>
      <c r="B243" s="1099"/>
      <c r="C243" s="196">
        <v>10.0</v>
      </c>
      <c r="D243" s="925" t="s">
        <v>1415</v>
      </c>
      <c r="E243" s="1324" t="s">
        <v>1415</v>
      </c>
      <c r="F243" s="1293" t="s">
        <v>186</v>
      </c>
      <c r="G243" s="1293" t="s">
        <v>103</v>
      </c>
      <c r="H243" s="1293" t="s">
        <v>86</v>
      </c>
      <c r="I243" s="1293" t="s">
        <v>86</v>
      </c>
      <c r="J243" s="1293" t="s">
        <v>253</v>
      </c>
      <c r="K243" s="1293" t="s">
        <v>1739</v>
      </c>
      <c r="L243" s="1292" t="s">
        <v>1387</v>
      </c>
      <c r="M243" s="1300"/>
      <c r="N243" s="1300"/>
      <c r="O243" s="1300"/>
      <c r="P243" s="1300"/>
      <c r="Q243" s="1300"/>
      <c r="R243" s="1300"/>
      <c r="S243" s="1300"/>
      <c r="T243" s="1294">
        <v>3502656.0</v>
      </c>
      <c r="U243" s="1294">
        <v>3502656.0</v>
      </c>
      <c r="V243" s="1294">
        <v>3502656.0</v>
      </c>
      <c r="W243" s="1294">
        <v>3502656.0</v>
      </c>
      <c r="X243" s="1294">
        <v>3502656.0</v>
      </c>
      <c r="Y243" s="725">
        <v>1.751328E7</v>
      </c>
    </row>
    <row r="244">
      <c r="A244" s="391"/>
      <c r="B244" s="1099"/>
      <c r="C244" s="196">
        <v>11.0</v>
      </c>
      <c r="D244" s="925" t="s">
        <v>1418</v>
      </c>
      <c r="E244" s="1324" t="s">
        <v>1418</v>
      </c>
      <c r="F244" s="1293" t="s">
        <v>186</v>
      </c>
      <c r="G244" s="1293" t="s">
        <v>103</v>
      </c>
      <c r="H244" s="1293" t="s">
        <v>86</v>
      </c>
      <c r="I244" s="1293" t="s">
        <v>86</v>
      </c>
      <c r="J244" s="1293" t="s">
        <v>253</v>
      </c>
      <c r="K244" s="1293" t="s">
        <v>1739</v>
      </c>
      <c r="L244" s="1292" t="s">
        <v>1387</v>
      </c>
      <c r="M244" s="1300"/>
      <c r="N244" s="1294">
        <v>450450.0</v>
      </c>
      <c r="O244" s="1294">
        <v>450450.0</v>
      </c>
      <c r="P244" s="1294">
        <v>450450.0</v>
      </c>
      <c r="Q244" s="1294">
        <v>450450.0</v>
      </c>
      <c r="R244" s="1294">
        <v>450450.0</v>
      </c>
      <c r="S244" s="1294">
        <v>450450.0</v>
      </c>
      <c r="T244" s="1294">
        <v>450450.0</v>
      </c>
      <c r="U244" s="1294">
        <v>450450.0</v>
      </c>
      <c r="V244" s="1294">
        <v>450450.0</v>
      </c>
      <c r="W244" s="1294">
        <v>450450.0</v>
      </c>
      <c r="X244" s="1294">
        <v>450450.0</v>
      </c>
      <c r="Y244" s="725">
        <v>4954950.0</v>
      </c>
    </row>
    <row r="245">
      <c r="A245" s="391"/>
      <c r="B245" s="1099"/>
      <c r="C245" s="196">
        <v>12.0</v>
      </c>
      <c r="D245" s="925" t="s">
        <v>1421</v>
      </c>
      <c r="E245" s="1324" t="s">
        <v>1421</v>
      </c>
      <c r="F245" s="1293" t="s">
        <v>186</v>
      </c>
      <c r="G245" s="1293" t="s">
        <v>103</v>
      </c>
      <c r="H245" s="1293" t="s">
        <v>86</v>
      </c>
      <c r="I245" s="1293" t="s">
        <v>86</v>
      </c>
      <c r="J245" s="1293" t="s">
        <v>253</v>
      </c>
      <c r="K245" s="1293" t="s">
        <v>1739</v>
      </c>
      <c r="L245" s="1292" t="s">
        <v>1387</v>
      </c>
      <c r="M245" s="1300"/>
      <c r="N245" s="1300"/>
      <c r="O245" s="1300"/>
      <c r="P245" s="1300"/>
      <c r="Q245" s="1300"/>
      <c r="R245" s="1294">
        <v>3.5972076E7</v>
      </c>
      <c r="S245" s="1294">
        <v>3.5972076E7</v>
      </c>
      <c r="T245" s="1294">
        <v>3.5972076E7</v>
      </c>
      <c r="U245" s="1294">
        <v>3.5972076E7</v>
      </c>
      <c r="V245" s="1294">
        <v>3.5972076E7</v>
      </c>
      <c r="W245" s="1294">
        <v>3.5972076E7</v>
      </c>
      <c r="X245" s="1294">
        <v>3.5972076E7</v>
      </c>
      <c r="Y245" s="725">
        <v>2.51804532E8</v>
      </c>
    </row>
    <row r="246">
      <c r="A246" s="391"/>
      <c r="B246" s="1099"/>
      <c r="C246" s="196">
        <v>13.0</v>
      </c>
      <c r="D246" s="925" t="s">
        <v>1424</v>
      </c>
      <c r="E246" s="1324" t="s">
        <v>1424</v>
      </c>
      <c r="F246" s="1293" t="s">
        <v>186</v>
      </c>
      <c r="G246" s="1293" t="s">
        <v>103</v>
      </c>
      <c r="H246" s="1293" t="s">
        <v>86</v>
      </c>
      <c r="I246" s="1293" t="s">
        <v>86</v>
      </c>
      <c r="J246" s="1293" t="s">
        <v>253</v>
      </c>
      <c r="K246" s="1293" t="s">
        <v>1739</v>
      </c>
      <c r="L246" s="1292" t="s">
        <v>1387</v>
      </c>
      <c r="M246" s="1300"/>
      <c r="N246" s="1300"/>
      <c r="O246" s="1294">
        <v>291888.0</v>
      </c>
      <c r="P246" s="1294">
        <v>291888.0</v>
      </c>
      <c r="Q246" s="1294">
        <v>291888.0</v>
      </c>
      <c r="R246" s="1294">
        <v>291888.0</v>
      </c>
      <c r="S246" s="1294">
        <v>291888.0</v>
      </c>
      <c r="T246" s="1294">
        <v>291888.0</v>
      </c>
      <c r="U246" s="1294">
        <v>291888.0</v>
      </c>
      <c r="V246" s="1294">
        <v>291888.0</v>
      </c>
      <c r="W246" s="1294">
        <v>291888.0</v>
      </c>
      <c r="X246" s="1294">
        <v>291888.0</v>
      </c>
      <c r="Y246" s="725">
        <v>2918880.0</v>
      </c>
    </row>
    <row r="247">
      <c r="A247" s="391"/>
      <c r="B247" s="1099"/>
      <c r="C247" s="196">
        <v>14.0</v>
      </c>
      <c r="D247" s="925" t="s">
        <v>1427</v>
      </c>
      <c r="E247" s="1324" t="s">
        <v>1427</v>
      </c>
      <c r="F247" s="1293" t="s">
        <v>186</v>
      </c>
      <c r="G247" s="1293" t="s">
        <v>103</v>
      </c>
      <c r="H247" s="1293" t="s">
        <v>86</v>
      </c>
      <c r="I247" s="1293" t="s">
        <v>86</v>
      </c>
      <c r="J247" s="1293" t="s">
        <v>253</v>
      </c>
      <c r="K247" s="1293" t="s">
        <v>1739</v>
      </c>
      <c r="L247" s="1292" t="s">
        <v>1387</v>
      </c>
      <c r="M247" s="1300"/>
      <c r="N247" s="1294">
        <v>217560.0</v>
      </c>
      <c r="O247" s="1294">
        <v>217560.0</v>
      </c>
      <c r="P247" s="1294">
        <v>217560.0</v>
      </c>
      <c r="Q247" s="1294">
        <v>217560.0</v>
      </c>
      <c r="R247" s="1294">
        <v>217560.0</v>
      </c>
      <c r="S247" s="1294">
        <v>217560.0</v>
      </c>
      <c r="T247" s="1294">
        <v>217560.0</v>
      </c>
      <c r="U247" s="1294">
        <v>217560.0</v>
      </c>
      <c r="V247" s="1294">
        <v>217560.0</v>
      </c>
      <c r="W247" s="1294">
        <v>217560.0</v>
      </c>
      <c r="X247" s="1294">
        <v>217560.0</v>
      </c>
      <c r="Y247" s="725">
        <v>2393160.0</v>
      </c>
    </row>
    <row r="248">
      <c r="A248" s="391"/>
      <c r="B248" s="1099"/>
      <c r="C248" s="196">
        <v>15.0</v>
      </c>
      <c r="D248" s="925" t="s">
        <v>1430</v>
      </c>
      <c r="E248" s="1324" t="s">
        <v>1430</v>
      </c>
      <c r="F248" s="1293" t="s">
        <v>186</v>
      </c>
      <c r="G248" s="1293" t="s">
        <v>103</v>
      </c>
      <c r="H248" s="1293" t="s">
        <v>86</v>
      </c>
      <c r="I248" s="1293" t="s">
        <v>86</v>
      </c>
      <c r="J248" s="1293" t="s">
        <v>253</v>
      </c>
      <c r="K248" s="1293" t="s">
        <v>1739</v>
      </c>
      <c r="L248" s="1292" t="s">
        <v>1387</v>
      </c>
      <c r="M248" s="1300"/>
      <c r="N248" s="1300"/>
      <c r="O248" s="1294">
        <v>1001790.0</v>
      </c>
      <c r="P248" s="1294">
        <v>1001790.0</v>
      </c>
      <c r="Q248" s="1294">
        <v>1001790.0</v>
      </c>
      <c r="R248" s="1294">
        <v>1001790.0</v>
      </c>
      <c r="S248" s="1294">
        <v>1001790.0</v>
      </c>
      <c r="T248" s="1294">
        <v>1001790.0</v>
      </c>
      <c r="U248" s="1294">
        <v>1001790.0</v>
      </c>
      <c r="V248" s="1294">
        <v>1001790.0</v>
      </c>
      <c r="W248" s="1294">
        <v>1001790.0</v>
      </c>
      <c r="X248" s="1294">
        <v>1001790.0</v>
      </c>
      <c r="Y248" s="725">
        <v>1.00179E7</v>
      </c>
    </row>
    <row r="249">
      <c r="A249" s="391"/>
      <c r="B249" s="1099"/>
      <c r="C249" s="196">
        <v>16.0</v>
      </c>
      <c r="D249" s="925" t="s">
        <v>1433</v>
      </c>
      <c r="E249" s="1324" t="s">
        <v>1842</v>
      </c>
      <c r="F249" s="1293" t="s">
        <v>186</v>
      </c>
      <c r="G249" s="1293" t="s">
        <v>103</v>
      </c>
      <c r="H249" s="1293" t="s">
        <v>86</v>
      </c>
      <c r="I249" s="1293" t="s">
        <v>86</v>
      </c>
      <c r="J249" s="1293" t="s">
        <v>253</v>
      </c>
      <c r="K249" s="1293" t="s">
        <v>1739</v>
      </c>
      <c r="L249" s="1292" t="s">
        <v>1387</v>
      </c>
      <c r="M249" s="1300"/>
      <c r="N249" s="1300"/>
      <c r="O249" s="1300"/>
      <c r="P249" s="1300"/>
      <c r="Q249" s="1300"/>
      <c r="R249" s="1294">
        <v>4.164054E7</v>
      </c>
      <c r="S249" s="1294">
        <v>4.164054E7</v>
      </c>
      <c r="T249" s="1294">
        <v>4.164054E7</v>
      </c>
      <c r="U249" s="1294">
        <v>4.164054E7</v>
      </c>
      <c r="V249" s="1294">
        <v>4.164054E7</v>
      </c>
      <c r="W249" s="1294">
        <v>4.164054E7</v>
      </c>
      <c r="X249" s="1294">
        <v>4.164054E7</v>
      </c>
      <c r="Y249" s="725">
        <v>2.9148378E8</v>
      </c>
    </row>
    <row r="250">
      <c r="A250" s="391"/>
      <c r="B250" s="1099"/>
      <c r="C250" s="196">
        <v>17.0</v>
      </c>
      <c r="D250" s="925" t="s">
        <v>1436</v>
      </c>
      <c r="E250" s="1324" t="s">
        <v>1436</v>
      </c>
      <c r="F250" s="1293" t="s">
        <v>186</v>
      </c>
      <c r="G250" s="1293" t="s">
        <v>103</v>
      </c>
      <c r="H250" s="1293" t="s">
        <v>86</v>
      </c>
      <c r="I250" s="1293" t="s">
        <v>86</v>
      </c>
      <c r="J250" s="1293" t="s">
        <v>253</v>
      </c>
      <c r="K250" s="1293" t="s">
        <v>1739</v>
      </c>
      <c r="L250" s="1292" t="s">
        <v>1387</v>
      </c>
      <c r="M250" s="1300"/>
      <c r="N250" s="1300"/>
      <c r="O250" s="1294">
        <v>1.2599832E7</v>
      </c>
      <c r="P250" s="1294">
        <v>1.2599832E7</v>
      </c>
      <c r="Q250" s="1294">
        <v>1.2599832E7</v>
      </c>
      <c r="R250" s="1294">
        <v>1.2599832E7</v>
      </c>
      <c r="S250" s="1294">
        <v>1.2599832E7</v>
      </c>
      <c r="T250" s="1294">
        <v>1.2599832E7</v>
      </c>
      <c r="U250" s="1294">
        <v>1.2599832E7</v>
      </c>
      <c r="V250" s="1294">
        <v>1.2599832E7</v>
      </c>
      <c r="W250" s="1294">
        <v>1.2599832E7</v>
      </c>
      <c r="X250" s="1294">
        <v>1.2599832E7</v>
      </c>
      <c r="Y250" s="725">
        <v>1.2599832E8</v>
      </c>
    </row>
    <row r="251">
      <c r="A251" s="391"/>
      <c r="B251" s="1099"/>
      <c r="C251" s="196">
        <v>18.0</v>
      </c>
      <c r="D251" s="925" t="s">
        <v>1439</v>
      </c>
      <c r="E251" s="1324" t="s">
        <v>1439</v>
      </c>
      <c r="F251" s="1293" t="s">
        <v>186</v>
      </c>
      <c r="G251" s="1293" t="s">
        <v>103</v>
      </c>
      <c r="H251" s="1293" t="s">
        <v>86</v>
      </c>
      <c r="I251" s="1293" t="s">
        <v>86</v>
      </c>
      <c r="J251" s="1293" t="s">
        <v>253</v>
      </c>
      <c r="K251" s="1293" t="s">
        <v>1739</v>
      </c>
      <c r="L251" s="1292" t="s">
        <v>1387</v>
      </c>
      <c r="M251" s="1300"/>
      <c r="N251" s="1300"/>
      <c r="O251" s="1294">
        <v>7638606.0</v>
      </c>
      <c r="P251" s="1294">
        <v>7638606.0</v>
      </c>
      <c r="Q251" s="1294">
        <v>7638606.0</v>
      </c>
      <c r="R251" s="1294">
        <v>7638606.0</v>
      </c>
      <c r="S251" s="1294">
        <v>7638606.0</v>
      </c>
      <c r="T251" s="1294">
        <v>7638606.0</v>
      </c>
      <c r="U251" s="1294">
        <v>7638606.0</v>
      </c>
      <c r="V251" s="1294">
        <v>7638606.0</v>
      </c>
      <c r="W251" s="1294">
        <v>7638606.0</v>
      </c>
      <c r="X251" s="1294">
        <v>7638606.0</v>
      </c>
      <c r="Y251" s="725">
        <v>7.638606E7</v>
      </c>
    </row>
    <row r="252">
      <c r="A252" s="391"/>
      <c r="B252" s="1099"/>
      <c r="C252" s="196">
        <v>19.0</v>
      </c>
      <c r="D252" s="925" t="s">
        <v>1442</v>
      </c>
      <c r="E252" s="1324" t="s">
        <v>1442</v>
      </c>
      <c r="F252" s="1293" t="s">
        <v>186</v>
      </c>
      <c r="G252" s="1293" t="s">
        <v>103</v>
      </c>
      <c r="H252" s="1293" t="s">
        <v>86</v>
      </c>
      <c r="I252" s="1293" t="s">
        <v>86</v>
      </c>
      <c r="J252" s="1293" t="s">
        <v>253</v>
      </c>
      <c r="K252" s="1293" t="s">
        <v>1739</v>
      </c>
      <c r="L252" s="1292" t="s">
        <v>1387</v>
      </c>
      <c r="M252" s="1300"/>
      <c r="N252" s="1300"/>
      <c r="O252" s="1300"/>
      <c r="P252" s="1300"/>
      <c r="Q252" s="1300"/>
      <c r="R252" s="1300"/>
      <c r="S252" s="1300"/>
      <c r="T252" s="1294">
        <v>402273.0</v>
      </c>
      <c r="U252" s="1294">
        <v>402273.0</v>
      </c>
      <c r="V252" s="1294">
        <v>402273.0</v>
      </c>
      <c r="W252" s="1294">
        <v>402273.0</v>
      </c>
      <c r="X252" s="1294">
        <v>402273.0</v>
      </c>
      <c r="Y252" s="725">
        <v>2011365.0</v>
      </c>
    </row>
    <row r="253">
      <c r="A253" s="391"/>
      <c r="B253" s="1099"/>
      <c r="C253" s="196">
        <v>20.0</v>
      </c>
      <c r="D253" s="925" t="s">
        <v>1445</v>
      </c>
      <c r="E253" s="1324" t="s">
        <v>1445</v>
      </c>
      <c r="F253" s="1293" t="s">
        <v>186</v>
      </c>
      <c r="G253" s="1293" t="s">
        <v>103</v>
      </c>
      <c r="H253" s="1293" t="s">
        <v>86</v>
      </c>
      <c r="I253" s="1293" t="s">
        <v>86</v>
      </c>
      <c r="J253" s="1293" t="s">
        <v>253</v>
      </c>
      <c r="K253" s="1293" t="s">
        <v>1739</v>
      </c>
      <c r="L253" s="1292" t="s">
        <v>1387</v>
      </c>
      <c r="M253" s="1300"/>
      <c r="N253" s="1300"/>
      <c r="O253" s="1300"/>
      <c r="P253" s="1300"/>
      <c r="Q253" s="1300"/>
      <c r="R253" s="1294">
        <v>705396.0</v>
      </c>
      <c r="S253" s="1294">
        <v>705396.0</v>
      </c>
      <c r="T253" s="1294">
        <v>705396.0</v>
      </c>
      <c r="U253" s="1294">
        <v>705396.0</v>
      </c>
      <c r="V253" s="1294">
        <v>705396.0</v>
      </c>
      <c r="W253" s="1294">
        <v>705396.0</v>
      </c>
      <c r="X253" s="1294">
        <v>705396.0</v>
      </c>
      <c r="Y253" s="725">
        <v>4937772.0</v>
      </c>
    </row>
    <row r="254">
      <c r="A254" s="391"/>
      <c r="B254" s="1099"/>
      <c r="C254" s="196">
        <v>21.0</v>
      </c>
      <c r="D254" s="925" t="s">
        <v>1448</v>
      </c>
      <c r="E254" s="1324" t="s">
        <v>1448</v>
      </c>
      <c r="F254" s="1293" t="s">
        <v>186</v>
      </c>
      <c r="G254" s="1293" t="s">
        <v>103</v>
      </c>
      <c r="H254" s="1293" t="s">
        <v>86</v>
      </c>
      <c r="I254" s="1293" t="s">
        <v>86</v>
      </c>
      <c r="J254" s="1293" t="s">
        <v>253</v>
      </c>
      <c r="K254" s="1293" t="s">
        <v>1739</v>
      </c>
      <c r="L254" s="1292" t="s">
        <v>1387</v>
      </c>
      <c r="M254" s="1300"/>
      <c r="N254" s="1300"/>
      <c r="O254" s="1300"/>
      <c r="P254" s="1294">
        <v>994612.0</v>
      </c>
      <c r="Q254" s="1294">
        <v>994612.0</v>
      </c>
      <c r="R254" s="1294">
        <v>994612.0</v>
      </c>
      <c r="S254" s="1294">
        <v>994612.0</v>
      </c>
      <c r="T254" s="1294">
        <v>994612.0</v>
      </c>
      <c r="U254" s="1294">
        <v>994612.0</v>
      </c>
      <c r="V254" s="1294">
        <v>994612.0</v>
      </c>
      <c r="W254" s="1294">
        <v>994612.0</v>
      </c>
      <c r="X254" s="1294">
        <v>994612.0</v>
      </c>
      <c r="Y254" s="725">
        <v>8951508.0</v>
      </c>
    </row>
    <row r="255">
      <c r="A255" s="391"/>
      <c r="B255" s="1099"/>
      <c r="C255" s="196">
        <v>22.0</v>
      </c>
      <c r="D255" s="925" t="s">
        <v>1451</v>
      </c>
      <c r="E255" s="1324" t="s">
        <v>1451</v>
      </c>
      <c r="F255" s="1293" t="s">
        <v>186</v>
      </c>
      <c r="G255" s="1293" t="s">
        <v>103</v>
      </c>
      <c r="H255" s="1293" t="s">
        <v>86</v>
      </c>
      <c r="I255" s="1293" t="s">
        <v>86</v>
      </c>
      <c r="J255" s="1293" t="s">
        <v>253</v>
      </c>
      <c r="K255" s="1293" t="s">
        <v>1739</v>
      </c>
      <c r="L255" s="1292" t="s">
        <v>1387</v>
      </c>
      <c r="M255" s="1300"/>
      <c r="N255" s="1300"/>
      <c r="O255" s="1300"/>
      <c r="P255" s="1294">
        <v>3794544.0</v>
      </c>
      <c r="Q255" s="1294">
        <v>3794544.0</v>
      </c>
      <c r="R255" s="1294">
        <v>3794544.0</v>
      </c>
      <c r="S255" s="1294">
        <v>3794544.0</v>
      </c>
      <c r="T255" s="1294">
        <v>3794544.0</v>
      </c>
      <c r="U255" s="1294">
        <v>3794544.0</v>
      </c>
      <c r="V255" s="1294">
        <v>3794544.0</v>
      </c>
      <c r="W255" s="1294">
        <v>3794544.0</v>
      </c>
      <c r="X255" s="1294">
        <v>3794544.0</v>
      </c>
      <c r="Y255" s="725">
        <v>3.4150896E7</v>
      </c>
    </row>
    <row r="256">
      <c r="A256" s="391"/>
      <c r="B256" s="1099"/>
      <c r="C256" s="196">
        <v>23.0</v>
      </c>
      <c r="D256" s="925" t="s">
        <v>1454</v>
      </c>
      <c r="E256" s="1324" t="s">
        <v>1454</v>
      </c>
      <c r="F256" s="1293" t="s">
        <v>186</v>
      </c>
      <c r="G256" s="1293" t="s">
        <v>103</v>
      </c>
      <c r="H256" s="1293" t="s">
        <v>86</v>
      </c>
      <c r="I256" s="1293" t="s">
        <v>86</v>
      </c>
      <c r="J256" s="1293" t="s">
        <v>253</v>
      </c>
      <c r="K256" s="1293" t="s">
        <v>1739</v>
      </c>
      <c r="L256" s="1292" t="s">
        <v>1387</v>
      </c>
      <c r="M256" s="1300"/>
      <c r="N256" s="1300"/>
      <c r="O256" s="1300"/>
      <c r="P256" s="1300"/>
      <c r="Q256" s="1300"/>
      <c r="R256" s="1300"/>
      <c r="S256" s="1294">
        <v>496422.0</v>
      </c>
      <c r="T256" s="1294">
        <v>496422.0</v>
      </c>
      <c r="U256" s="1294">
        <v>496422.0</v>
      </c>
      <c r="V256" s="1294">
        <v>496422.0</v>
      </c>
      <c r="W256" s="1294">
        <v>496422.0</v>
      </c>
      <c r="X256" s="1294">
        <v>496422.0</v>
      </c>
      <c r="Y256" s="725">
        <v>2978532.0</v>
      </c>
    </row>
    <row r="257">
      <c r="A257" s="391"/>
      <c r="B257" s="1099"/>
      <c r="C257" s="196">
        <v>24.0</v>
      </c>
      <c r="D257" s="925" t="s">
        <v>1457</v>
      </c>
      <c r="E257" s="1324" t="s">
        <v>1457</v>
      </c>
      <c r="F257" s="1293" t="s">
        <v>186</v>
      </c>
      <c r="G257" s="1293" t="s">
        <v>103</v>
      </c>
      <c r="H257" s="1293" t="s">
        <v>86</v>
      </c>
      <c r="I257" s="1293" t="s">
        <v>86</v>
      </c>
      <c r="J257" s="1293" t="s">
        <v>253</v>
      </c>
      <c r="K257" s="1293" t="s">
        <v>1739</v>
      </c>
      <c r="L257" s="1292" t="s">
        <v>1387</v>
      </c>
      <c r="M257" s="1300"/>
      <c r="N257" s="1300"/>
      <c r="O257" s="1300"/>
      <c r="P257" s="1300"/>
      <c r="Q257" s="1300"/>
      <c r="R257" s="1300"/>
      <c r="S257" s="1300"/>
      <c r="T257" s="1294">
        <v>222534.0</v>
      </c>
      <c r="U257" s="1294">
        <v>222534.0</v>
      </c>
      <c r="V257" s="1294">
        <v>222534.0</v>
      </c>
      <c r="W257" s="1294">
        <v>222534.0</v>
      </c>
      <c r="X257" s="1294">
        <v>222534.0</v>
      </c>
      <c r="Y257" s="725">
        <v>1112670.0</v>
      </c>
    </row>
    <row r="258">
      <c r="A258" s="391"/>
      <c r="B258" s="1099"/>
      <c r="C258" s="196">
        <v>25.0</v>
      </c>
      <c r="D258" s="925" t="s">
        <v>1460</v>
      </c>
      <c r="E258" s="1324" t="s">
        <v>1460</v>
      </c>
      <c r="F258" s="1293" t="s">
        <v>186</v>
      </c>
      <c r="G258" s="1293" t="s">
        <v>103</v>
      </c>
      <c r="H258" s="1293" t="s">
        <v>86</v>
      </c>
      <c r="I258" s="1293" t="s">
        <v>86</v>
      </c>
      <c r="J258" s="1293" t="s">
        <v>253</v>
      </c>
      <c r="K258" s="1293" t="s">
        <v>1739</v>
      </c>
      <c r="L258" s="1292" t="s">
        <v>1387</v>
      </c>
      <c r="M258" s="1300"/>
      <c r="N258" s="1300"/>
      <c r="O258" s="1300"/>
      <c r="P258" s="1300"/>
      <c r="Q258" s="1294">
        <v>1495926.0</v>
      </c>
      <c r="R258" s="1294">
        <v>1495926.0</v>
      </c>
      <c r="S258" s="1294">
        <v>1495926.0</v>
      </c>
      <c r="T258" s="1294">
        <v>1495926.0</v>
      </c>
      <c r="U258" s="1294">
        <v>1495926.0</v>
      </c>
      <c r="V258" s="1294">
        <v>1495926.0</v>
      </c>
      <c r="W258" s="1294">
        <v>1495926.0</v>
      </c>
      <c r="X258" s="1294">
        <v>1495926.0</v>
      </c>
      <c r="Y258" s="725">
        <v>1.1967408E7</v>
      </c>
    </row>
    <row r="259">
      <c r="A259" s="391"/>
      <c r="B259" s="1099"/>
      <c r="C259" s="196">
        <v>26.0</v>
      </c>
      <c r="D259" s="925" t="s">
        <v>1463</v>
      </c>
      <c r="E259" s="1324" t="s">
        <v>1463</v>
      </c>
      <c r="F259" s="1293" t="s">
        <v>186</v>
      </c>
      <c r="G259" s="1293" t="s">
        <v>103</v>
      </c>
      <c r="H259" s="1293" t="s">
        <v>86</v>
      </c>
      <c r="I259" s="1293" t="s">
        <v>86</v>
      </c>
      <c r="J259" s="1293" t="s">
        <v>253</v>
      </c>
      <c r="K259" s="1293" t="s">
        <v>1739</v>
      </c>
      <c r="L259" s="1292" t="s">
        <v>1387</v>
      </c>
      <c r="M259" s="1300"/>
      <c r="N259" s="1300"/>
      <c r="O259" s="1300"/>
      <c r="P259" s="1300"/>
      <c r="Q259" s="1300"/>
      <c r="R259" s="1294">
        <v>3502656.0</v>
      </c>
      <c r="S259" s="1294">
        <v>3502656.0</v>
      </c>
      <c r="T259" s="1294">
        <v>3502656.0</v>
      </c>
      <c r="U259" s="1294">
        <v>3502656.0</v>
      </c>
      <c r="V259" s="1294">
        <v>3502656.0</v>
      </c>
      <c r="W259" s="1294">
        <v>3502656.0</v>
      </c>
      <c r="X259" s="1294">
        <v>3502656.0</v>
      </c>
      <c r="Y259" s="725">
        <v>2.4518592E7</v>
      </c>
    </row>
    <row r="260">
      <c r="A260" s="391"/>
      <c r="B260" s="1099"/>
      <c r="C260" s="196">
        <v>27.0</v>
      </c>
      <c r="D260" s="925" t="s">
        <v>1454</v>
      </c>
      <c r="E260" s="1324" t="s">
        <v>1454</v>
      </c>
      <c r="F260" s="1293" t="s">
        <v>186</v>
      </c>
      <c r="G260" s="1293" t="s">
        <v>103</v>
      </c>
      <c r="H260" s="1293" t="s">
        <v>86</v>
      </c>
      <c r="I260" s="1293" t="s">
        <v>86</v>
      </c>
      <c r="J260" s="1293" t="s">
        <v>253</v>
      </c>
      <c r="K260" s="1293" t="s">
        <v>1739</v>
      </c>
      <c r="L260" s="1292" t="s">
        <v>1387</v>
      </c>
      <c r="M260" s="1300"/>
      <c r="N260" s="1300"/>
      <c r="O260" s="1300"/>
      <c r="P260" s="1300"/>
      <c r="Q260" s="1300"/>
      <c r="R260" s="1300"/>
      <c r="S260" s="1294">
        <v>496422.0</v>
      </c>
      <c r="T260" s="1294">
        <v>496422.0</v>
      </c>
      <c r="U260" s="1294">
        <v>496422.0</v>
      </c>
      <c r="V260" s="1294">
        <v>496422.0</v>
      </c>
      <c r="W260" s="1294">
        <v>496422.0</v>
      </c>
      <c r="X260" s="1294">
        <v>496422.0</v>
      </c>
      <c r="Y260" s="725">
        <v>2978532.0</v>
      </c>
    </row>
    <row r="261">
      <c r="A261" s="391"/>
      <c r="B261" s="1099"/>
      <c r="C261" s="196">
        <v>28.0</v>
      </c>
      <c r="D261" s="925" t="s">
        <v>1468</v>
      </c>
      <c r="E261" s="1324" t="s">
        <v>1468</v>
      </c>
      <c r="F261" s="1293" t="s">
        <v>186</v>
      </c>
      <c r="G261" s="1293" t="s">
        <v>103</v>
      </c>
      <c r="H261" s="1293" t="s">
        <v>86</v>
      </c>
      <c r="I261" s="1293" t="s">
        <v>86</v>
      </c>
      <c r="J261" s="1293" t="s">
        <v>253</v>
      </c>
      <c r="K261" s="1293" t="s">
        <v>1739</v>
      </c>
      <c r="L261" s="1292" t="s">
        <v>1387</v>
      </c>
      <c r="M261" s="1300"/>
      <c r="N261" s="1294">
        <v>5071554.0</v>
      </c>
      <c r="O261" s="1294">
        <v>5071554.0</v>
      </c>
      <c r="P261" s="1294">
        <v>5071554.0</v>
      </c>
      <c r="Q261" s="1294">
        <v>5071554.0</v>
      </c>
      <c r="R261" s="1294">
        <v>5071554.0</v>
      </c>
      <c r="S261" s="1294">
        <v>5071554.0</v>
      </c>
      <c r="T261" s="1294">
        <v>5071554.0</v>
      </c>
      <c r="U261" s="1294">
        <v>5071554.0</v>
      </c>
      <c r="V261" s="1294">
        <v>5071554.0</v>
      </c>
      <c r="W261" s="1294">
        <v>5071554.0</v>
      </c>
      <c r="X261" s="1294">
        <v>5071554.0</v>
      </c>
      <c r="Y261" s="725">
        <v>5.5787094E7</v>
      </c>
    </row>
    <row r="262">
      <c r="A262" s="391"/>
      <c r="B262" s="185"/>
      <c r="C262" s="196">
        <v>29.0</v>
      </c>
      <c r="D262" s="184" t="s">
        <v>1471</v>
      </c>
      <c r="E262" s="198" t="s">
        <v>1471</v>
      </c>
      <c r="F262" s="1293" t="s">
        <v>186</v>
      </c>
      <c r="G262" s="1293" t="s">
        <v>103</v>
      </c>
      <c r="H262" s="1293" t="s">
        <v>86</v>
      </c>
      <c r="I262" s="1293" t="s">
        <v>86</v>
      </c>
      <c r="J262" s="1293" t="s">
        <v>253</v>
      </c>
      <c r="K262" s="1293" t="s">
        <v>1739</v>
      </c>
      <c r="L262" s="1292" t="s">
        <v>1387</v>
      </c>
      <c r="M262" s="1294">
        <v>2.08333333E8</v>
      </c>
      <c r="N262" s="1294">
        <v>2.08333333E8</v>
      </c>
      <c r="O262" s="1294">
        <v>2.08333333E8</v>
      </c>
      <c r="P262" s="1294">
        <v>2.08333333E8</v>
      </c>
      <c r="Q262" s="1294">
        <v>2.08333333E8</v>
      </c>
      <c r="R262" s="1294">
        <v>2.08333333E8</v>
      </c>
      <c r="S262" s="1294">
        <v>2.08333333E8</v>
      </c>
      <c r="T262" s="1294">
        <v>2.08333333E8</v>
      </c>
      <c r="U262" s="1294">
        <v>2.08333333E8</v>
      </c>
      <c r="V262" s="1294">
        <v>2.08333333E8</v>
      </c>
      <c r="W262" s="1294">
        <v>2.08333333E8</v>
      </c>
      <c r="X262" s="1294">
        <v>2.08333333E8</v>
      </c>
      <c r="Y262" s="725">
        <v>2.5E9</v>
      </c>
    </row>
    <row r="263">
      <c r="A263" s="391"/>
      <c r="B263" s="185"/>
      <c r="C263" s="196" t="s">
        <v>1834</v>
      </c>
      <c r="D263" s="996" t="s">
        <v>1474</v>
      </c>
      <c r="E263" s="198" t="s">
        <v>1474</v>
      </c>
      <c r="F263" s="1293" t="s">
        <v>186</v>
      </c>
      <c r="G263" s="1293" t="s">
        <v>305</v>
      </c>
      <c r="H263" s="1293" t="s">
        <v>94</v>
      </c>
      <c r="I263" s="1293" t="s">
        <v>963</v>
      </c>
      <c r="J263" s="1293" t="s">
        <v>187</v>
      </c>
      <c r="K263" s="1293" t="s">
        <v>1736</v>
      </c>
      <c r="L263" s="1292" t="s">
        <v>1387</v>
      </c>
      <c r="M263" s="1300"/>
      <c r="N263" s="1300"/>
      <c r="O263" s="1300"/>
      <c r="P263" s="1300"/>
      <c r="Q263" s="1300"/>
      <c r="R263" s="1300"/>
      <c r="S263" s="1294">
        <v>1.5E9</v>
      </c>
      <c r="T263" s="1294">
        <v>1.5E9</v>
      </c>
      <c r="U263" s="1294">
        <v>1.5E9</v>
      </c>
      <c r="V263" s="1294">
        <v>1.5E9</v>
      </c>
      <c r="W263" s="1300"/>
      <c r="X263" s="1300"/>
      <c r="Y263" s="725">
        <v>6.0E9</v>
      </c>
    </row>
    <row r="264">
      <c r="A264" s="391"/>
      <c r="B264" s="1301"/>
      <c r="C264" s="433">
        <v>30.0</v>
      </c>
      <c r="D264" s="528" t="s">
        <v>1477</v>
      </c>
      <c r="E264" s="86"/>
      <c r="F264" s="1291"/>
      <c r="G264" s="1291"/>
      <c r="H264" s="1291"/>
      <c r="I264" s="1291"/>
      <c r="J264" s="1291"/>
      <c r="K264" s="1291"/>
      <c r="L264" s="107" t="s">
        <v>1387</v>
      </c>
      <c r="M264" s="754"/>
      <c r="N264" s="754"/>
      <c r="O264" s="754"/>
      <c r="P264" s="754"/>
      <c r="Q264" s="754"/>
      <c r="R264" s="754"/>
      <c r="S264" s="754"/>
      <c r="T264" s="754"/>
      <c r="U264" s="754"/>
      <c r="V264" s="754"/>
      <c r="W264" s="754"/>
      <c r="X264" s="754"/>
      <c r="Y264" s="754"/>
    </row>
    <row r="265">
      <c r="A265" s="391"/>
      <c r="B265" s="1325">
        <v>19.0</v>
      </c>
      <c r="C265" s="329" t="s">
        <v>50</v>
      </c>
      <c r="D265" s="724"/>
      <c r="E265" s="1302"/>
      <c r="F265" s="1291"/>
      <c r="G265" s="1291"/>
      <c r="H265" s="1291"/>
      <c r="I265" s="1291"/>
      <c r="J265" s="1291"/>
      <c r="K265" s="1291"/>
      <c r="L265" s="107" t="s">
        <v>1486</v>
      </c>
      <c r="M265" s="1289" t="str">
        <f t="shared" ref="M265:Y265" si="22">M266</f>
        <v/>
      </c>
      <c r="N265" s="1289" t="str">
        <f t="shared" si="22"/>
        <v/>
      </c>
      <c r="O265" s="1289" t="str">
        <f t="shared" si="22"/>
        <v/>
      </c>
      <c r="P265" s="1289">
        <f t="shared" si="22"/>
        <v>47369000</v>
      </c>
      <c r="Q265" s="1289">
        <f t="shared" si="22"/>
        <v>47369000</v>
      </c>
      <c r="R265" s="1289">
        <f t="shared" si="22"/>
        <v>47369000</v>
      </c>
      <c r="S265" s="1289">
        <f t="shared" si="22"/>
        <v>47369000</v>
      </c>
      <c r="T265" s="1289">
        <f t="shared" si="22"/>
        <v>47369000</v>
      </c>
      <c r="U265" s="1289">
        <f t="shared" si="22"/>
        <v>47369000</v>
      </c>
      <c r="V265" s="1289">
        <f t="shared" si="22"/>
        <v>47369000</v>
      </c>
      <c r="W265" s="1289">
        <f t="shared" si="22"/>
        <v>47369000</v>
      </c>
      <c r="X265" s="1289">
        <f t="shared" si="22"/>
        <v>47369000</v>
      </c>
      <c r="Y265" s="1289">
        <f t="shared" si="22"/>
        <v>426321000</v>
      </c>
    </row>
    <row r="266">
      <c r="A266" s="391"/>
      <c r="B266" s="1099"/>
      <c r="C266" s="196">
        <v>1.0</v>
      </c>
      <c r="D266" s="925" t="s">
        <v>1487</v>
      </c>
      <c r="E266" s="1324" t="s">
        <v>1487</v>
      </c>
      <c r="F266" s="1293" t="s">
        <v>186</v>
      </c>
      <c r="G266" s="1293" t="s">
        <v>135</v>
      </c>
      <c r="H266" s="1293" t="s">
        <v>135</v>
      </c>
      <c r="I266" s="1293" t="s">
        <v>203</v>
      </c>
      <c r="J266" s="1293" t="s">
        <v>187</v>
      </c>
      <c r="K266" s="1293" t="s">
        <v>1736</v>
      </c>
      <c r="L266" s="1292" t="s">
        <v>1486</v>
      </c>
      <c r="M266" s="1300"/>
      <c r="N266" s="1300"/>
      <c r="O266" s="1300"/>
      <c r="P266" s="1294">
        <v>4.7369E7</v>
      </c>
      <c r="Q266" s="1294">
        <v>4.7369E7</v>
      </c>
      <c r="R266" s="1294">
        <v>4.7369E7</v>
      </c>
      <c r="S266" s="1294">
        <v>4.7369E7</v>
      </c>
      <c r="T266" s="1294">
        <v>4.7369E7</v>
      </c>
      <c r="U266" s="1294">
        <v>4.7369E7</v>
      </c>
      <c r="V266" s="1294">
        <v>4.7369E7</v>
      </c>
      <c r="W266" s="1294">
        <v>4.7369E7</v>
      </c>
      <c r="X266" s="1294">
        <v>4.7369E7</v>
      </c>
      <c r="Y266" s="725">
        <v>4.26321E8</v>
      </c>
    </row>
    <row r="267">
      <c r="A267" s="391"/>
      <c r="B267" s="1325">
        <v>20.0</v>
      </c>
      <c r="C267" s="656" t="s">
        <v>1494</v>
      </c>
      <c r="D267" s="724"/>
      <c r="E267" s="1302"/>
      <c r="F267" s="1291"/>
      <c r="G267" s="1291"/>
      <c r="H267" s="1291"/>
      <c r="I267" s="1291"/>
      <c r="J267" s="1291"/>
      <c r="K267" s="1291"/>
      <c r="L267" s="107" t="s">
        <v>1843</v>
      </c>
      <c r="M267" s="1289">
        <f t="shared" ref="M267:Y267" si="23">M268+M269</f>
        <v>833333333</v>
      </c>
      <c r="N267" s="1289">
        <f t="shared" si="23"/>
        <v>833333333</v>
      </c>
      <c r="O267" s="1289">
        <f t="shared" si="23"/>
        <v>833333333</v>
      </c>
      <c r="P267" s="1289">
        <f t="shared" si="23"/>
        <v>890169517</v>
      </c>
      <c r="Q267" s="1289">
        <f t="shared" si="23"/>
        <v>890169517</v>
      </c>
      <c r="R267" s="1289">
        <f t="shared" si="23"/>
        <v>890169517</v>
      </c>
      <c r="S267" s="1289">
        <f t="shared" si="23"/>
        <v>890169517</v>
      </c>
      <c r="T267" s="1289">
        <f t="shared" si="23"/>
        <v>890169517</v>
      </c>
      <c r="U267" s="1289">
        <f t="shared" si="23"/>
        <v>890169517</v>
      </c>
      <c r="V267" s="1289">
        <f t="shared" si="23"/>
        <v>890169517</v>
      </c>
      <c r="W267" s="1289">
        <f t="shared" si="23"/>
        <v>890169517</v>
      </c>
      <c r="X267" s="1289">
        <f t="shared" si="23"/>
        <v>890169517</v>
      </c>
      <c r="Y267" s="1289">
        <f t="shared" si="23"/>
        <v>10511525656</v>
      </c>
    </row>
    <row r="268">
      <c r="A268" s="391"/>
      <c r="B268" s="1099"/>
      <c r="C268" s="196">
        <v>1.0</v>
      </c>
      <c r="D268" s="925" t="s">
        <v>1496</v>
      </c>
      <c r="E268" s="1324" t="s">
        <v>1496</v>
      </c>
      <c r="F268" s="1293" t="s">
        <v>186</v>
      </c>
      <c r="G268" s="1293" t="s">
        <v>103</v>
      </c>
      <c r="H268" s="1293" t="s">
        <v>86</v>
      </c>
      <c r="I268" s="1293" t="s">
        <v>86</v>
      </c>
      <c r="J268" s="1293" t="s">
        <v>187</v>
      </c>
      <c r="K268" s="1293" t="s">
        <v>1736</v>
      </c>
      <c r="L268" s="1292" t="s">
        <v>1497</v>
      </c>
      <c r="M268" s="1300"/>
      <c r="N268" s="1300"/>
      <c r="O268" s="1300"/>
      <c r="P268" s="1294">
        <v>5.6836184E7</v>
      </c>
      <c r="Q268" s="1294">
        <v>5.6836184E7</v>
      </c>
      <c r="R268" s="1294">
        <v>5.6836184E7</v>
      </c>
      <c r="S268" s="1294">
        <v>5.6836184E7</v>
      </c>
      <c r="T268" s="1294">
        <v>5.6836184E7</v>
      </c>
      <c r="U268" s="1294">
        <v>5.6836184E7</v>
      </c>
      <c r="V268" s="1294">
        <v>5.6836184E7</v>
      </c>
      <c r="W268" s="1294">
        <v>5.6836184E7</v>
      </c>
      <c r="X268" s="1294">
        <v>5.6836184E7</v>
      </c>
      <c r="Y268" s="725">
        <v>5.11525656E8</v>
      </c>
    </row>
    <row r="269">
      <c r="A269" s="391"/>
      <c r="B269" s="185"/>
      <c r="C269" s="196">
        <v>2.0</v>
      </c>
      <c r="D269" s="730" t="s">
        <v>1500</v>
      </c>
      <c r="E269" s="198" t="s">
        <v>1844</v>
      </c>
      <c r="F269" s="1293" t="s">
        <v>186</v>
      </c>
      <c r="G269" s="1293" t="s">
        <v>135</v>
      </c>
      <c r="H269" s="1293" t="s">
        <v>135</v>
      </c>
      <c r="I269" s="1293" t="s">
        <v>203</v>
      </c>
      <c r="J269" s="1293" t="s">
        <v>1010</v>
      </c>
      <c r="K269" s="1293" t="s">
        <v>1747</v>
      </c>
      <c r="L269" s="1292" t="s">
        <v>1501</v>
      </c>
      <c r="M269" s="1294">
        <v>8.33333333E8</v>
      </c>
      <c r="N269" s="1294">
        <v>8.33333333E8</v>
      </c>
      <c r="O269" s="1294">
        <v>8.33333333E8</v>
      </c>
      <c r="P269" s="1294">
        <v>8.33333333E8</v>
      </c>
      <c r="Q269" s="1294">
        <v>8.33333333E8</v>
      </c>
      <c r="R269" s="1294">
        <v>8.33333333E8</v>
      </c>
      <c r="S269" s="1294">
        <v>8.33333333E8</v>
      </c>
      <c r="T269" s="1294">
        <v>8.33333333E8</v>
      </c>
      <c r="U269" s="1294">
        <v>8.33333333E8</v>
      </c>
      <c r="V269" s="1294">
        <v>8.33333333E8</v>
      </c>
      <c r="W269" s="1294">
        <v>8.33333333E8</v>
      </c>
      <c r="X269" s="1294">
        <v>8.33333333E8</v>
      </c>
      <c r="Y269" s="725">
        <v>1.0E10</v>
      </c>
    </row>
    <row r="270">
      <c r="A270" s="391"/>
      <c r="B270" s="1330" t="s">
        <v>52</v>
      </c>
      <c r="C270" s="1005" t="s">
        <v>53</v>
      </c>
      <c r="D270" s="679"/>
      <c r="E270" s="1302"/>
      <c r="F270" s="1291"/>
      <c r="G270" s="1291"/>
      <c r="H270" s="1291"/>
      <c r="I270" s="1291"/>
      <c r="J270" s="1291"/>
      <c r="K270" s="1291"/>
      <c r="L270" s="1288"/>
      <c r="M270" s="1289">
        <f t="shared" ref="M270:Y270" si="24">M271+M275+M281+M286+M290</f>
        <v>1257804823</v>
      </c>
      <c r="N270" s="1289">
        <f t="shared" si="24"/>
        <v>1257804823</v>
      </c>
      <c r="O270" s="1289">
        <f t="shared" si="24"/>
        <v>2789320823</v>
      </c>
      <c r="P270" s="1289">
        <f t="shared" si="24"/>
        <v>2958349363</v>
      </c>
      <c r="Q270" s="1289">
        <f t="shared" si="24"/>
        <v>2958349363</v>
      </c>
      <c r="R270" s="1289">
        <f t="shared" si="24"/>
        <v>3113057696</v>
      </c>
      <c r="S270" s="1289">
        <f t="shared" si="24"/>
        <v>3113057696</v>
      </c>
      <c r="T270" s="1289">
        <f t="shared" si="24"/>
        <v>3113057696</v>
      </c>
      <c r="U270" s="1289">
        <f t="shared" si="24"/>
        <v>3187257696</v>
      </c>
      <c r="V270" s="1289">
        <f t="shared" si="24"/>
        <v>3128057696</v>
      </c>
      <c r="W270" s="1289">
        <f t="shared" si="24"/>
        <v>3167057696</v>
      </c>
      <c r="X270" s="1289">
        <f t="shared" si="24"/>
        <v>3128057696</v>
      </c>
      <c r="Y270" s="1289">
        <f t="shared" si="24"/>
        <v>33171233067</v>
      </c>
    </row>
    <row r="271">
      <c r="A271" s="391"/>
      <c r="B271" s="1325">
        <v>21.0</v>
      </c>
      <c r="C271" s="182" t="s">
        <v>54</v>
      </c>
      <c r="D271" s="684"/>
      <c r="E271" s="1302"/>
      <c r="F271" s="1291"/>
      <c r="G271" s="1291"/>
      <c r="H271" s="1291"/>
      <c r="I271" s="1291"/>
      <c r="J271" s="1291"/>
      <c r="K271" s="1291"/>
      <c r="L271" s="107" t="s">
        <v>1509</v>
      </c>
      <c r="M271" s="1289">
        <f t="shared" ref="M271:Y271" si="25">SUM(M272:M274)</f>
        <v>0</v>
      </c>
      <c r="N271" s="1289">
        <f t="shared" si="25"/>
        <v>0</v>
      </c>
      <c r="O271" s="1289">
        <f t="shared" si="25"/>
        <v>1531516000</v>
      </c>
      <c r="P271" s="1289">
        <f t="shared" si="25"/>
        <v>1531516000</v>
      </c>
      <c r="Q271" s="1289">
        <f t="shared" si="25"/>
        <v>1531516000</v>
      </c>
      <c r="R271" s="1289">
        <f t="shared" si="25"/>
        <v>1686224333</v>
      </c>
      <c r="S271" s="1289">
        <f t="shared" si="25"/>
        <v>1686224333</v>
      </c>
      <c r="T271" s="1289">
        <f t="shared" si="25"/>
        <v>1686224333</v>
      </c>
      <c r="U271" s="1289">
        <f t="shared" si="25"/>
        <v>1686224333</v>
      </c>
      <c r="V271" s="1289">
        <f t="shared" si="25"/>
        <v>1686224333</v>
      </c>
      <c r="W271" s="1289">
        <f t="shared" si="25"/>
        <v>1686224333</v>
      </c>
      <c r="X271" s="1289">
        <f t="shared" si="25"/>
        <v>1686224333</v>
      </c>
      <c r="Y271" s="1289">
        <f t="shared" si="25"/>
        <v>16398118331</v>
      </c>
    </row>
    <row r="272">
      <c r="A272" s="391"/>
      <c r="B272" s="1099"/>
      <c r="C272" s="196">
        <v>1.0</v>
      </c>
      <c r="D272" s="925" t="s">
        <v>1510</v>
      </c>
      <c r="E272" s="1324" t="s">
        <v>1510</v>
      </c>
      <c r="F272" s="1293" t="s">
        <v>186</v>
      </c>
      <c r="G272" s="1293" t="s">
        <v>103</v>
      </c>
      <c r="H272" s="1293" t="s">
        <v>86</v>
      </c>
      <c r="I272" s="1293" t="s">
        <v>86</v>
      </c>
      <c r="J272" s="1293" t="s">
        <v>187</v>
      </c>
      <c r="K272" s="1293" t="s">
        <v>1736</v>
      </c>
      <c r="L272" s="1292" t="s">
        <v>1509</v>
      </c>
      <c r="M272" s="1300"/>
      <c r="N272" s="1300"/>
      <c r="O272" s="1294">
        <v>1.531516E9</v>
      </c>
      <c r="P272" s="1294">
        <v>1.531516E9</v>
      </c>
      <c r="Q272" s="1294">
        <v>1.531516E9</v>
      </c>
      <c r="R272" s="1294">
        <v>1.531516E9</v>
      </c>
      <c r="S272" s="1294">
        <v>1.531516E9</v>
      </c>
      <c r="T272" s="1294">
        <v>1.531516E9</v>
      </c>
      <c r="U272" s="1294">
        <v>1.531516E9</v>
      </c>
      <c r="V272" s="1294">
        <v>1.531516E9</v>
      </c>
      <c r="W272" s="1294">
        <v>1.531516E9</v>
      </c>
      <c r="X272" s="1294">
        <v>1.531516E9</v>
      </c>
      <c r="Y272" s="725">
        <v>1.531516E10</v>
      </c>
    </row>
    <row r="273">
      <c r="A273" s="391"/>
      <c r="B273" s="1099"/>
      <c r="C273" s="196">
        <v>2.0</v>
      </c>
      <c r="D273" s="925" t="s">
        <v>1513</v>
      </c>
      <c r="E273" s="1324" t="s">
        <v>1845</v>
      </c>
      <c r="F273" s="1293" t="s">
        <v>186</v>
      </c>
      <c r="G273" s="1293" t="s">
        <v>103</v>
      </c>
      <c r="H273" s="1293" t="s">
        <v>84</v>
      </c>
      <c r="I273" s="1293" t="s">
        <v>84</v>
      </c>
      <c r="J273" s="1293" t="s">
        <v>187</v>
      </c>
      <c r="K273" s="1293" t="s">
        <v>1736</v>
      </c>
      <c r="L273" s="1292" t="s">
        <v>1509</v>
      </c>
      <c r="M273" s="1300"/>
      <c r="N273" s="1300"/>
      <c r="O273" s="1300"/>
      <c r="P273" s="1300"/>
      <c r="Q273" s="1300"/>
      <c r="R273" s="1294">
        <v>1.54708333E8</v>
      </c>
      <c r="S273" s="1294">
        <v>1.54708333E8</v>
      </c>
      <c r="T273" s="1294">
        <v>1.54708333E8</v>
      </c>
      <c r="U273" s="1294">
        <v>1.54708333E8</v>
      </c>
      <c r="V273" s="1294">
        <v>1.54708333E8</v>
      </c>
      <c r="W273" s="1294">
        <v>1.54708333E8</v>
      </c>
      <c r="X273" s="1294">
        <v>1.54708333E8</v>
      </c>
      <c r="Y273" s="725">
        <v>1.082958331E9</v>
      </c>
    </row>
    <row r="274">
      <c r="A274" s="391"/>
      <c r="B274" s="1301"/>
      <c r="C274" s="433">
        <v>3.0</v>
      </c>
      <c r="D274" s="528" t="s">
        <v>1516</v>
      </c>
      <c r="E274" s="1302"/>
      <c r="F274" s="1291"/>
      <c r="G274" s="1291"/>
      <c r="H274" s="1291"/>
      <c r="I274" s="1291"/>
      <c r="J274" s="1291"/>
      <c r="K274" s="1291"/>
      <c r="L274" s="1292" t="s">
        <v>1509</v>
      </c>
      <c r="M274" s="754"/>
      <c r="N274" s="754"/>
      <c r="O274" s="754"/>
      <c r="P274" s="754"/>
      <c r="Q274" s="754"/>
      <c r="R274" s="754"/>
      <c r="S274" s="754"/>
      <c r="T274" s="754"/>
      <c r="U274" s="754"/>
      <c r="V274" s="754"/>
      <c r="W274" s="754"/>
      <c r="X274" s="754"/>
      <c r="Y274" s="754"/>
    </row>
    <row r="275">
      <c r="A275" s="391"/>
      <c r="B275" s="1331">
        <v>22.0</v>
      </c>
      <c r="C275" s="312" t="s">
        <v>55</v>
      </c>
      <c r="D275" s="684"/>
      <c r="E275" s="1302"/>
      <c r="F275" s="1291"/>
      <c r="G275" s="1291"/>
      <c r="H275" s="1291"/>
      <c r="I275" s="1291"/>
      <c r="J275" s="1291"/>
      <c r="K275" s="1291"/>
      <c r="L275" s="107" t="s">
        <v>784</v>
      </c>
      <c r="M275" s="1289">
        <f t="shared" ref="M275:Y275" si="26">SUM(M276:M280)</f>
        <v>629366436</v>
      </c>
      <c r="N275" s="1289">
        <f t="shared" si="26"/>
        <v>629366436</v>
      </c>
      <c r="O275" s="1289">
        <f t="shared" si="26"/>
        <v>629366436</v>
      </c>
      <c r="P275" s="1289">
        <f t="shared" si="26"/>
        <v>629366436</v>
      </c>
      <c r="Q275" s="1289">
        <f t="shared" si="26"/>
        <v>629366436</v>
      </c>
      <c r="R275" s="1289">
        <f t="shared" si="26"/>
        <v>629366436</v>
      </c>
      <c r="S275" s="1289">
        <f t="shared" si="26"/>
        <v>629366436</v>
      </c>
      <c r="T275" s="1289">
        <f t="shared" si="26"/>
        <v>629366436</v>
      </c>
      <c r="U275" s="1289">
        <f t="shared" si="26"/>
        <v>629366436</v>
      </c>
      <c r="V275" s="1289">
        <f t="shared" si="26"/>
        <v>629366436</v>
      </c>
      <c r="W275" s="1289">
        <f t="shared" si="26"/>
        <v>629366436</v>
      </c>
      <c r="X275" s="1289">
        <f t="shared" si="26"/>
        <v>629366436</v>
      </c>
      <c r="Y275" s="1289">
        <f t="shared" si="26"/>
        <v>7552397232</v>
      </c>
    </row>
    <row r="276">
      <c r="A276" s="391"/>
      <c r="B276" s="1332"/>
      <c r="C276" s="1008">
        <v>1.0</v>
      </c>
      <c r="D276" s="184" t="s">
        <v>1525</v>
      </c>
      <c r="E276" s="198" t="s">
        <v>1525</v>
      </c>
      <c r="F276" s="1293" t="s">
        <v>186</v>
      </c>
      <c r="G276" s="1293" t="s">
        <v>103</v>
      </c>
      <c r="H276" s="1293" t="s">
        <v>86</v>
      </c>
      <c r="I276" s="1293" t="s">
        <v>86</v>
      </c>
      <c r="J276" s="1293" t="s">
        <v>187</v>
      </c>
      <c r="K276" s="1293" t="s">
        <v>1736</v>
      </c>
      <c r="L276" s="1292" t="s">
        <v>784</v>
      </c>
      <c r="M276" s="1294">
        <v>3.30427E8</v>
      </c>
      <c r="N276" s="1294">
        <v>3.30427E8</v>
      </c>
      <c r="O276" s="1294">
        <v>3.30427E8</v>
      </c>
      <c r="P276" s="1294">
        <v>3.30427E8</v>
      </c>
      <c r="Q276" s="1294">
        <v>3.30427E8</v>
      </c>
      <c r="R276" s="1294">
        <v>3.30427E8</v>
      </c>
      <c r="S276" s="1294">
        <v>3.30427E8</v>
      </c>
      <c r="T276" s="1294">
        <v>3.30427E8</v>
      </c>
      <c r="U276" s="1294">
        <v>3.30427E8</v>
      </c>
      <c r="V276" s="1294">
        <v>3.30427E8</v>
      </c>
      <c r="W276" s="1294">
        <v>3.30427E8</v>
      </c>
      <c r="X276" s="1294">
        <v>3.30427E8</v>
      </c>
      <c r="Y276" s="725">
        <v>3.965124E9</v>
      </c>
    </row>
    <row r="277">
      <c r="A277" s="391"/>
      <c r="B277" s="185"/>
      <c r="C277" s="196">
        <v>2.0</v>
      </c>
      <c r="D277" s="184" t="s">
        <v>1530</v>
      </c>
      <c r="E277" s="198" t="s">
        <v>1846</v>
      </c>
      <c r="F277" s="1293" t="s">
        <v>186</v>
      </c>
      <c r="G277" s="1293" t="s">
        <v>88</v>
      </c>
      <c r="H277" s="1293" t="s">
        <v>88</v>
      </c>
      <c r="I277" s="1293" t="s">
        <v>218</v>
      </c>
      <c r="J277" s="1293" t="s">
        <v>187</v>
      </c>
      <c r="K277" s="1293" t="s">
        <v>1736</v>
      </c>
      <c r="L277" s="1292" t="s">
        <v>784</v>
      </c>
      <c r="M277" s="1294">
        <v>2.98939436E8</v>
      </c>
      <c r="N277" s="1294">
        <v>2.98939436E8</v>
      </c>
      <c r="O277" s="1294">
        <v>2.98939436E8</v>
      </c>
      <c r="P277" s="1294">
        <v>2.98939436E8</v>
      </c>
      <c r="Q277" s="1294">
        <v>2.98939436E8</v>
      </c>
      <c r="R277" s="1294">
        <v>2.98939436E8</v>
      </c>
      <c r="S277" s="1294">
        <v>2.98939436E8</v>
      </c>
      <c r="T277" s="1294">
        <v>2.98939436E8</v>
      </c>
      <c r="U277" s="1294">
        <v>2.98939436E8</v>
      </c>
      <c r="V277" s="1294">
        <v>2.98939436E8</v>
      </c>
      <c r="W277" s="1294">
        <v>2.98939436E8</v>
      </c>
      <c r="X277" s="1294">
        <v>2.98939436E8</v>
      </c>
      <c r="Y277" s="725">
        <v>3.587273232E9</v>
      </c>
    </row>
    <row r="278">
      <c r="A278" s="391"/>
      <c r="B278" s="1333"/>
      <c r="C278" s="1023">
        <v>3.0</v>
      </c>
      <c r="D278" s="528" t="s">
        <v>1537</v>
      </c>
      <c r="E278" s="1302"/>
      <c r="F278" s="1291"/>
      <c r="G278" s="1291"/>
      <c r="H278" s="1291"/>
      <c r="I278" s="1291"/>
      <c r="J278" s="1291"/>
      <c r="K278" s="1291"/>
      <c r="L278" s="1292" t="s">
        <v>784</v>
      </c>
      <c r="M278" s="754"/>
      <c r="N278" s="754"/>
      <c r="O278" s="754"/>
      <c r="P278" s="754"/>
      <c r="Q278" s="754"/>
      <c r="R278" s="754"/>
      <c r="S278" s="754"/>
      <c r="T278" s="754"/>
      <c r="U278" s="754"/>
      <c r="V278" s="754"/>
      <c r="W278" s="754"/>
      <c r="X278" s="754"/>
      <c r="Y278" s="754"/>
    </row>
    <row r="279">
      <c r="A279" s="391"/>
      <c r="B279" s="1311"/>
      <c r="C279" s="475">
        <v>6.0</v>
      </c>
      <c r="D279" s="976" t="s">
        <v>1543</v>
      </c>
      <c r="E279" s="1302"/>
      <c r="F279" s="1291"/>
      <c r="G279" s="1291"/>
      <c r="H279" s="1291"/>
      <c r="I279" s="1291"/>
      <c r="J279" s="1291"/>
      <c r="K279" s="1291"/>
      <c r="L279" s="1292" t="s">
        <v>784</v>
      </c>
      <c r="M279" s="754"/>
      <c r="N279" s="754"/>
      <c r="O279" s="754"/>
      <c r="P279" s="754"/>
      <c r="Q279" s="754"/>
      <c r="R279" s="754"/>
      <c r="S279" s="754"/>
      <c r="T279" s="754"/>
      <c r="U279" s="754"/>
      <c r="V279" s="754"/>
      <c r="W279" s="754"/>
      <c r="X279" s="754"/>
      <c r="Y279" s="754"/>
    </row>
    <row r="280">
      <c r="A280" s="391"/>
      <c r="B280" s="1311"/>
      <c r="C280" s="475">
        <v>7.0</v>
      </c>
      <c r="D280" s="976" t="s">
        <v>1546</v>
      </c>
      <c r="E280" s="1302"/>
      <c r="F280" s="1291"/>
      <c r="G280" s="1291"/>
      <c r="H280" s="1291"/>
      <c r="I280" s="1291"/>
      <c r="J280" s="1291"/>
      <c r="K280" s="1291"/>
      <c r="L280" s="1292" t="s">
        <v>784</v>
      </c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</row>
    <row r="281">
      <c r="A281" s="391"/>
      <c r="B281" s="1313">
        <v>23.0</v>
      </c>
      <c r="C281" s="329" t="s">
        <v>56</v>
      </c>
      <c r="D281" s="724"/>
      <c r="E281" s="1302"/>
      <c r="F281" s="1291"/>
      <c r="G281" s="1291"/>
      <c r="H281" s="1291"/>
      <c r="I281" s="1291"/>
      <c r="J281" s="1291"/>
      <c r="K281" s="1291"/>
      <c r="L281" s="107" t="s">
        <v>1553</v>
      </c>
      <c r="M281" s="1289">
        <f t="shared" ref="M281:Y281" si="27">SUM(M282:M285)</f>
        <v>628438387</v>
      </c>
      <c r="N281" s="1289">
        <f t="shared" si="27"/>
        <v>628438387</v>
      </c>
      <c r="O281" s="1289">
        <f t="shared" si="27"/>
        <v>628438387</v>
      </c>
      <c r="P281" s="1289">
        <f t="shared" si="27"/>
        <v>628438387</v>
      </c>
      <c r="Q281" s="1289">
        <f t="shared" si="27"/>
        <v>628438387</v>
      </c>
      <c r="R281" s="1289">
        <f t="shared" si="27"/>
        <v>628438387</v>
      </c>
      <c r="S281" s="1289">
        <f t="shared" si="27"/>
        <v>628438387</v>
      </c>
      <c r="T281" s="1289">
        <f t="shared" si="27"/>
        <v>628438387</v>
      </c>
      <c r="U281" s="1289">
        <f t="shared" si="27"/>
        <v>628438387</v>
      </c>
      <c r="V281" s="1289">
        <f t="shared" si="27"/>
        <v>628438387</v>
      </c>
      <c r="W281" s="1289">
        <f t="shared" si="27"/>
        <v>628438387</v>
      </c>
      <c r="X281" s="1289">
        <f t="shared" si="27"/>
        <v>628438387</v>
      </c>
      <c r="Y281" s="1289">
        <f t="shared" si="27"/>
        <v>7541260644</v>
      </c>
    </row>
    <row r="282">
      <c r="A282" s="391"/>
      <c r="B282" s="185"/>
      <c r="C282" s="196">
        <v>1.0</v>
      </c>
      <c r="D282" s="197" t="s">
        <v>1554</v>
      </c>
      <c r="E282" s="198" t="s">
        <v>1554</v>
      </c>
      <c r="F282" s="1293" t="s">
        <v>186</v>
      </c>
      <c r="G282" s="1293" t="s">
        <v>103</v>
      </c>
      <c r="H282" s="1293" t="s">
        <v>86</v>
      </c>
      <c r="I282" s="1293" t="s">
        <v>86</v>
      </c>
      <c r="J282" s="1293" t="s">
        <v>187</v>
      </c>
      <c r="K282" s="1293" t="s">
        <v>1736</v>
      </c>
      <c r="L282" s="1292" t="s">
        <v>1553</v>
      </c>
      <c r="M282" s="1294">
        <v>1.977E8</v>
      </c>
      <c r="N282" s="1294">
        <v>1.977E8</v>
      </c>
      <c r="O282" s="1294">
        <v>1.977E8</v>
      </c>
      <c r="P282" s="1294">
        <v>1.977E8</v>
      </c>
      <c r="Q282" s="1294">
        <v>1.977E8</v>
      </c>
      <c r="R282" s="1294">
        <v>1.977E8</v>
      </c>
      <c r="S282" s="1294">
        <v>1.977E8</v>
      </c>
      <c r="T282" s="1294">
        <v>1.977E8</v>
      </c>
      <c r="U282" s="1294">
        <v>1.977E8</v>
      </c>
      <c r="V282" s="1294">
        <v>1.977E8</v>
      </c>
      <c r="W282" s="1294">
        <v>1.977E8</v>
      </c>
      <c r="X282" s="1294">
        <v>1.977E8</v>
      </c>
      <c r="Y282" s="725">
        <v>2.3724E9</v>
      </c>
    </row>
    <row r="283">
      <c r="A283" s="391"/>
      <c r="B283" s="185"/>
      <c r="C283" s="196">
        <v>2.0</v>
      </c>
      <c r="D283" s="1028" t="s">
        <v>1561</v>
      </c>
      <c r="E283" s="198" t="s">
        <v>1847</v>
      </c>
      <c r="F283" s="1293" t="s">
        <v>186</v>
      </c>
      <c r="G283" s="1293" t="s">
        <v>88</v>
      </c>
      <c r="H283" s="1293" t="s">
        <v>88</v>
      </c>
      <c r="I283" s="1293" t="s">
        <v>218</v>
      </c>
      <c r="J283" s="1293" t="s">
        <v>187</v>
      </c>
      <c r="K283" s="1293" t="s">
        <v>1736</v>
      </c>
      <c r="L283" s="1292" t="s">
        <v>1553</v>
      </c>
      <c r="M283" s="1294">
        <v>1.68762587E8</v>
      </c>
      <c r="N283" s="1294">
        <v>1.68762587E8</v>
      </c>
      <c r="O283" s="1294">
        <v>1.68762587E8</v>
      </c>
      <c r="P283" s="1294">
        <v>1.68762587E8</v>
      </c>
      <c r="Q283" s="1294">
        <v>1.68762587E8</v>
      </c>
      <c r="R283" s="1294">
        <v>1.68762587E8</v>
      </c>
      <c r="S283" s="1294">
        <v>1.68762587E8</v>
      </c>
      <c r="T283" s="1294">
        <v>1.68762587E8</v>
      </c>
      <c r="U283" s="1294">
        <v>1.68762587E8</v>
      </c>
      <c r="V283" s="1294">
        <v>1.68762587E8</v>
      </c>
      <c r="W283" s="1294">
        <v>1.68762587E8</v>
      </c>
      <c r="X283" s="1294">
        <v>1.68762587E8</v>
      </c>
      <c r="Y283" s="725">
        <v>2.025151044E9</v>
      </c>
    </row>
    <row r="284">
      <c r="A284" s="391"/>
      <c r="B284" s="185"/>
      <c r="C284" s="196">
        <v>3.0</v>
      </c>
      <c r="D284" s="730" t="s">
        <v>1565</v>
      </c>
      <c r="E284" s="198" t="s">
        <v>1848</v>
      </c>
      <c r="F284" s="1293" t="s">
        <v>186</v>
      </c>
      <c r="G284" s="1293" t="s">
        <v>88</v>
      </c>
      <c r="H284" s="1293" t="s">
        <v>88</v>
      </c>
      <c r="I284" s="1293" t="s">
        <v>218</v>
      </c>
      <c r="J284" s="1293" t="s">
        <v>187</v>
      </c>
      <c r="K284" s="1293" t="s">
        <v>1736</v>
      </c>
      <c r="L284" s="1292" t="s">
        <v>1553</v>
      </c>
      <c r="M284" s="1294">
        <v>2.619758E8</v>
      </c>
      <c r="N284" s="1294">
        <v>2.619758E8</v>
      </c>
      <c r="O284" s="1294">
        <v>2.619758E8</v>
      </c>
      <c r="P284" s="1294">
        <v>2.619758E8</v>
      </c>
      <c r="Q284" s="1294">
        <v>2.619758E8</v>
      </c>
      <c r="R284" s="1294">
        <v>2.619758E8</v>
      </c>
      <c r="S284" s="1294">
        <v>2.619758E8</v>
      </c>
      <c r="T284" s="1294">
        <v>2.619758E8</v>
      </c>
      <c r="U284" s="1294">
        <v>2.619758E8</v>
      </c>
      <c r="V284" s="1294">
        <v>2.619758E8</v>
      </c>
      <c r="W284" s="1294">
        <v>2.619758E8</v>
      </c>
      <c r="X284" s="1294">
        <v>2.619758E8</v>
      </c>
      <c r="Y284" s="725">
        <v>3.1437096E9</v>
      </c>
    </row>
    <row r="285">
      <c r="D285" s="1334" t="s">
        <v>662</v>
      </c>
      <c r="E285" s="198" t="s">
        <v>1849</v>
      </c>
      <c r="F285" s="1293" t="s">
        <v>326</v>
      </c>
      <c r="G285" s="1293" t="s">
        <v>305</v>
      </c>
      <c r="H285" s="1293" t="s">
        <v>327</v>
      </c>
      <c r="I285" s="1293" t="s">
        <v>328</v>
      </c>
      <c r="J285" s="1293" t="s">
        <v>187</v>
      </c>
      <c r="K285" s="1293" t="s">
        <v>1736</v>
      </c>
      <c r="L285" s="1292" t="s">
        <v>1553</v>
      </c>
      <c r="M285" s="1300"/>
      <c r="N285" s="1300"/>
      <c r="O285" s="1300"/>
      <c r="P285" s="1294"/>
      <c r="Q285" s="1300"/>
      <c r="R285" s="1300"/>
      <c r="S285" s="1300"/>
      <c r="T285" s="1300"/>
      <c r="U285" s="1300"/>
      <c r="V285" s="1300"/>
      <c r="W285" s="1300"/>
      <c r="X285" s="1300"/>
      <c r="Y285" s="725"/>
    </row>
    <row r="286">
      <c r="A286" s="391"/>
      <c r="B286" s="1325">
        <v>24.0</v>
      </c>
      <c r="C286" s="329" t="s">
        <v>57</v>
      </c>
      <c r="D286" s="724"/>
      <c r="E286" s="198"/>
      <c r="F286" s="1293"/>
      <c r="G286" s="1293"/>
      <c r="H286" s="1293"/>
      <c r="I286" s="1293"/>
      <c r="J286" s="1293"/>
      <c r="K286" s="1293"/>
      <c r="L286" s="1292" t="s">
        <v>1576</v>
      </c>
      <c r="M286" s="1335">
        <f t="shared" ref="M286:Y286" si="28">SUM(M287:M289)</f>
        <v>0</v>
      </c>
      <c r="N286" s="1335">
        <f t="shared" si="28"/>
        <v>0</v>
      </c>
      <c r="O286" s="1335">
        <f t="shared" si="28"/>
        <v>0</v>
      </c>
      <c r="P286" s="1335">
        <f t="shared" si="28"/>
        <v>169028540</v>
      </c>
      <c r="Q286" s="1335">
        <f t="shared" si="28"/>
        <v>169028540</v>
      </c>
      <c r="R286" s="1335">
        <f t="shared" si="28"/>
        <v>169028540</v>
      </c>
      <c r="S286" s="1335">
        <f t="shared" si="28"/>
        <v>169028540</v>
      </c>
      <c r="T286" s="1335">
        <f t="shared" si="28"/>
        <v>169028540</v>
      </c>
      <c r="U286" s="1335">
        <f t="shared" si="28"/>
        <v>243228540</v>
      </c>
      <c r="V286" s="1335">
        <f t="shared" si="28"/>
        <v>184028540</v>
      </c>
      <c r="W286" s="1335">
        <f t="shared" si="28"/>
        <v>223028540</v>
      </c>
      <c r="X286" s="1335">
        <f t="shared" si="28"/>
        <v>184028540</v>
      </c>
      <c r="Y286" s="1335">
        <f t="shared" si="28"/>
        <v>1679456860</v>
      </c>
    </row>
    <row r="287">
      <c r="A287" s="391"/>
      <c r="B287" s="1099"/>
      <c r="C287" s="196">
        <v>1.0</v>
      </c>
      <c r="D287" s="925" t="s">
        <v>1577</v>
      </c>
      <c r="E287" s="1324" t="s">
        <v>1577</v>
      </c>
      <c r="F287" s="1293" t="s">
        <v>186</v>
      </c>
      <c r="G287" s="1293" t="s">
        <v>103</v>
      </c>
      <c r="H287" s="1293" t="s">
        <v>84</v>
      </c>
      <c r="I287" s="1293" t="s">
        <v>84</v>
      </c>
      <c r="J287" s="1293" t="s">
        <v>187</v>
      </c>
      <c r="K287" s="1293" t="s">
        <v>1736</v>
      </c>
      <c r="L287" s="1292" t="s">
        <v>1576</v>
      </c>
      <c r="M287" s="1300"/>
      <c r="N287" s="1300"/>
      <c r="O287" s="1300"/>
      <c r="P287" s="1294">
        <v>8.140854E7</v>
      </c>
      <c r="Q287" s="1294">
        <v>8.140854E7</v>
      </c>
      <c r="R287" s="1294">
        <v>8.140854E7</v>
      </c>
      <c r="S287" s="1294">
        <v>8.140854E7</v>
      </c>
      <c r="T287" s="1294">
        <v>8.140854E7</v>
      </c>
      <c r="U287" s="1294">
        <v>8.140854E7</v>
      </c>
      <c r="V287" s="1294">
        <v>8.140854E7</v>
      </c>
      <c r="W287" s="1294">
        <v>8.140854E7</v>
      </c>
      <c r="X287" s="1294">
        <v>8.140854E7</v>
      </c>
      <c r="Y287" s="725">
        <v>7.3267686E8</v>
      </c>
    </row>
    <row r="288">
      <c r="A288" s="391"/>
      <c r="B288" s="1099"/>
      <c r="C288" s="196">
        <v>2.0</v>
      </c>
      <c r="D288" s="925" t="s">
        <v>1580</v>
      </c>
      <c r="E288" s="1324" t="s">
        <v>1850</v>
      </c>
      <c r="F288" s="1293" t="s">
        <v>186</v>
      </c>
      <c r="G288" s="1293" t="s">
        <v>103</v>
      </c>
      <c r="H288" s="1293" t="s">
        <v>84</v>
      </c>
      <c r="I288" s="1293" t="s">
        <v>84</v>
      </c>
      <c r="J288" s="1293" t="s">
        <v>187</v>
      </c>
      <c r="K288" s="1293" t="s">
        <v>1736</v>
      </c>
      <c r="L288" s="1292" t="s">
        <v>1576</v>
      </c>
      <c r="M288" s="1300"/>
      <c r="N288" s="1300"/>
      <c r="O288" s="1300"/>
      <c r="P288" s="1300"/>
      <c r="Q288" s="1300"/>
      <c r="R288" s="1300"/>
      <c r="S288" s="1300"/>
      <c r="T288" s="1300"/>
      <c r="U288" s="1294">
        <v>7.42E7</v>
      </c>
      <c r="V288" s="1294">
        <v>1.5E7</v>
      </c>
      <c r="W288" s="1294">
        <v>5.4E7</v>
      </c>
      <c r="X288" s="1294">
        <v>1.5E7</v>
      </c>
      <c r="Y288" s="725">
        <v>1.582E8</v>
      </c>
    </row>
    <row r="289">
      <c r="A289" s="391"/>
      <c r="B289" s="1099"/>
      <c r="C289" s="196">
        <v>3.0</v>
      </c>
      <c r="D289" s="925" t="s">
        <v>1583</v>
      </c>
      <c r="E289" s="1324" t="s">
        <v>1583</v>
      </c>
      <c r="F289" s="1293" t="s">
        <v>186</v>
      </c>
      <c r="G289" s="1293" t="s">
        <v>103</v>
      </c>
      <c r="H289" s="1293" t="s">
        <v>86</v>
      </c>
      <c r="I289" s="1293" t="s">
        <v>86</v>
      </c>
      <c r="J289" s="1293" t="s">
        <v>187</v>
      </c>
      <c r="K289" s="1293" t="s">
        <v>1736</v>
      </c>
      <c r="L289" s="1292" t="s">
        <v>1576</v>
      </c>
      <c r="M289" s="1300"/>
      <c r="N289" s="1300"/>
      <c r="O289" s="1300"/>
      <c r="P289" s="1294">
        <v>8.762E7</v>
      </c>
      <c r="Q289" s="1294">
        <v>8.762E7</v>
      </c>
      <c r="R289" s="1294">
        <v>8.762E7</v>
      </c>
      <c r="S289" s="1294">
        <v>8.762E7</v>
      </c>
      <c r="T289" s="1294">
        <v>8.762E7</v>
      </c>
      <c r="U289" s="1294">
        <v>8.762E7</v>
      </c>
      <c r="V289" s="1294">
        <v>8.762E7</v>
      </c>
      <c r="W289" s="1294">
        <v>8.762E7</v>
      </c>
      <c r="X289" s="1294">
        <v>8.762E7</v>
      </c>
      <c r="Y289" s="725">
        <v>7.8858E8</v>
      </c>
    </row>
    <row r="290">
      <c r="A290" s="391"/>
      <c r="B290" s="1313">
        <v>25.0</v>
      </c>
      <c r="C290" s="329" t="s">
        <v>58</v>
      </c>
      <c r="D290" s="724"/>
      <c r="E290" s="1302"/>
      <c r="F290" s="1291"/>
      <c r="G290" s="1291"/>
      <c r="H290" s="1291"/>
      <c r="I290" s="1291"/>
      <c r="J290" s="1291"/>
      <c r="K290" s="1291"/>
      <c r="L290" s="1288"/>
      <c r="M290" s="1289"/>
      <c r="N290" s="1289"/>
      <c r="O290" s="1289"/>
      <c r="P290" s="1289"/>
      <c r="Q290" s="1289"/>
      <c r="R290" s="1289"/>
      <c r="S290" s="1289"/>
      <c r="T290" s="1289"/>
      <c r="U290" s="1289"/>
      <c r="V290" s="1289"/>
      <c r="W290" s="1289"/>
      <c r="X290" s="1289"/>
      <c r="Y290" s="1289"/>
    </row>
    <row r="291">
      <c r="A291" s="391"/>
      <c r="B291" s="1286" t="s">
        <v>59</v>
      </c>
      <c r="C291" s="1032" t="s">
        <v>61</v>
      </c>
      <c r="D291" s="1033"/>
      <c r="E291" s="1302"/>
      <c r="F291" s="1291"/>
      <c r="G291" s="1291"/>
      <c r="H291" s="1291"/>
      <c r="I291" s="1291"/>
      <c r="J291" s="1291"/>
      <c r="K291" s="1291"/>
      <c r="L291" s="1288"/>
      <c r="M291" s="1289">
        <f t="shared" ref="M291:Y291" si="29">M292+M295+M296+M299+M304</f>
        <v>1040259976</v>
      </c>
      <c r="N291" s="1289">
        <f t="shared" si="29"/>
        <v>1040259976</v>
      </c>
      <c r="O291" s="1289">
        <f t="shared" si="29"/>
        <v>1040259976</v>
      </c>
      <c r="P291" s="1289">
        <f t="shared" si="29"/>
        <v>1070824582</v>
      </c>
      <c r="Q291" s="1289">
        <f t="shared" si="29"/>
        <v>1162654170</v>
      </c>
      <c r="R291" s="1289">
        <f t="shared" si="29"/>
        <v>1221104255</v>
      </c>
      <c r="S291" s="1289">
        <f t="shared" si="29"/>
        <v>1221471655</v>
      </c>
      <c r="T291" s="1289">
        <f t="shared" si="29"/>
        <v>1221918255</v>
      </c>
      <c r="U291" s="1289">
        <f t="shared" si="29"/>
        <v>1284950319</v>
      </c>
      <c r="V291" s="1289">
        <f t="shared" si="29"/>
        <v>1284950319</v>
      </c>
      <c r="W291" s="1289">
        <f t="shared" si="29"/>
        <v>1285719219</v>
      </c>
      <c r="X291" s="1289">
        <f t="shared" si="29"/>
        <v>1285719219</v>
      </c>
      <c r="Y291" s="1289">
        <f t="shared" si="29"/>
        <v>14160091921</v>
      </c>
    </row>
    <row r="292">
      <c r="A292" s="391"/>
      <c r="B292" s="1325">
        <v>26.0</v>
      </c>
      <c r="C292" s="1036" t="s">
        <v>1590</v>
      </c>
      <c r="D292" s="684"/>
      <c r="E292" s="1302"/>
      <c r="F292" s="1291"/>
      <c r="G292" s="1291"/>
      <c r="H292" s="1291"/>
      <c r="I292" s="1291"/>
      <c r="J292" s="1291"/>
      <c r="K292" s="1291"/>
      <c r="L292" s="107" t="s">
        <v>1591</v>
      </c>
      <c r="M292" s="1289">
        <f t="shared" ref="M292:Y292" si="30">SUM(M293:M294)</f>
        <v>0</v>
      </c>
      <c r="N292" s="1289">
        <f t="shared" si="30"/>
        <v>0</v>
      </c>
      <c r="O292" s="1289">
        <f t="shared" si="30"/>
        <v>0</v>
      </c>
      <c r="P292" s="1289">
        <f t="shared" si="30"/>
        <v>0</v>
      </c>
      <c r="Q292" s="1289">
        <f t="shared" si="30"/>
        <v>91829588</v>
      </c>
      <c r="R292" s="1289">
        <f t="shared" si="30"/>
        <v>91829588</v>
      </c>
      <c r="S292" s="1289">
        <f t="shared" si="30"/>
        <v>91829588</v>
      </c>
      <c r="T292" s="1289">
        <f t="shared" si="30"/>
        <v>91829588</v>
      </c>
      <c r="U292" s="1289">
        <f t="shared" si="30"/>
        <v>150829588</v>
      </c>
      <c r="V292" s="1289">
        <f t="shared" si="30"/>
        <v>150829588</v>
      </c>
      <c r="W292" s="1289">
        <f t="shared" si="30"/>
        <v>150829588</v>
      </c>
      <c r="X292" s="1289">
        <f t="shared" si="30"/>
        <v>150829588</v>
      </c>
      <c r="Y292" s="1289">
        <f t="shared" si="30"/>
        <v>970636704</v>
      </c>
    </row>
    <row r="293">
      <c r="A293" s="391"/>
      <c r="B293" s="1099"/>
      <c r="C293" s="196">
        <v>1.0</v>
      </c>
      <c r="D293" s="925" t="s">
        <v>1592</v>
      </c>
      <c r="E293" s="1324" t="s">
        <v>1592</v>
      </c>
      <c r="F293" s="1293" t="s">
        <v>186</v>
      </c>
      <c r="G293" s="1293" t="s">
        <v>103</v>
      </c>
      <c r="H293" s="1293" t="s">
        <v>86</v>
      </c>
      <c r="I293" s="1293" t="s">
        <v>86</v>
      </c>
      <c r="J293" s="1293" t="s">
        <v>187</v>
      </c>
      <c r="K293" s="1293" t="s">
        <v>1736</v>
      </c>
      <c r="L293" s="1292" t="s">
        <v>1591</v>
      </c>
      <c r="M293" s="1300"/>
      <c r="N293" s="1300"/>
      <c r="O293" s="1300"/>
      <c r="P293" s="1300"/>
      <c r="Q293" s="1300"/>
      <c r="R293" s="1300"/>
      <c r="S293" s="1300"/>
      <c r="T293" s="1300"/>
      <c r="U293" s="1294">
        <v>5.9E7</v>
      </c>
      <c r="V293" s="1294">
        <v>5.9E7</v>
      </c>
      <c r="W293" s="1294">
        <v>5.9E7</v>
      </c>
      <c r="X293" s="1294">
        <v>5.9E7</v>
      </c>
      <c r="Y293" s="725">
        <v>2.36E8</v>
      </c>
    </row>
    <row r="294">
      <c r="A294" s="391"/>
      <c r="B294" s="1099"/>
      <c r="C294" s="196">
        <v>2.0</v>
      </c>
      <c r="D294" s="925" t="s">
        <v>1595</v>
      </c>
      <c r="E294" s="1324" t="s">
        <v>1595</v>
      </c>
      <c r="F294" s="1293" t="s">
        <v>186</v>
      </c>
      <c r="G294" s="1293" t="s">
        <v>305</v>
      </c>
      <c r="H294" s="1293" t="s">
        <v>92</v>
      </c>
      <c r="I294" s="1293" t="s">
        <v>306</v>
      </c>
      <c r="J294" s="1293" t="s">
        <v>187</v>
      </c>
      <c r="K294" s="1293" t="s">
        <v>1736</v>
      </c>
      <c r="L294" s="1292" t="s">
        <v>1591</v>
      </c>
      <c r="M294" s="1300"/>
      <c r="N294" s="1300"/>
      <c r="O294" s="1300"/>
      <c r="P294" s="1300"/>
      <c r="Q294" s="1294">
        <v>9.1829588E7</v>
      </c>
      <c r="R294" s="1294">
        <v>9.1829588E7</v>
      </c>
      <c r="S294" s="1294">
        <v>9.1829588E7</v>
      </c>
      <c r="T294" s="1294">
        <v>9.1829588E7</v>
      </c>
      <c r="U294" s="1294">
        <v>9.1829588E7</v>
      </c>
      <c r="V294" s="1294">
        <v>9.1829588E7</v>
      </c>
      <c r="W294" s="1294">
        <v>9.1829588E7</v>
      </c>
      <c r="X294" s="1294">
        <v>9.1829588E7</v>
      </c>
      <c r="Y294" s="725">
        <v>7.34636704E8</v>
      </c>
    </row>
    <row r="295">
      <c r="A295" s="391"/>
      <c r="B295" s="1313">
        <v>27.0</v>
      </c>
      <c r="C295" s="329" t="s">
        <v>62</v>
      </c>
      <c r="D295" s="724"/>
      <c r="E295" s="1302"/>
      <c r="F295" s="1291"/>
      <c r="G295" s="1291"/>
      <c r="H295" s="1291"/>
      <c r="I295" s="1291"/>
      <c r="J295" s="1291"/>
      <c r="K295" s="1291"/>
      <c r="L295" s="1288"/>
      <c r="M295" s="1289"/>
      <c r="N295" s="1289"/>
      <c r="O295" s="1289"/>
      <c r="P295" s="1289"/>
      <c r="Q295" s="1289"/>
      <c r="R295" s="1289"/>
      <c r="S295" s="1289"/>
      <c r="T295" s="1289"/>
      <c r="U295" s="1289"/>
      <c r="V295" s="1289"/>
      <c r="W295" s="1289"/>
      <c r="X295" s="1289"/>
      <c r="Y295" s="1289"/>
    </row>
    <row r="296">
      <c r="A296" s="391"/>
      <c r="B296" s="1313">
        <v>28.0</v>
      </c>
      <c r="C296" s="182" t="s">
        <v>63</v>
      </c>
      <c r="D296" s="684"/>
      <c r="E296" s="1302"/>
      <c r="F296" s="1291"/>
      <c r="G296" s="1291"/>
      <c r="H296" s="1291"/>
      <c r="I296" s="1291"/>
      <c r="J296" s="1291"/>
      <c r="K296" s="1291"/>
      <c r="L296" s="107" t="s">
        <v>1602</v>
      </c>
      <c r="M296" s="1289">
        <f t="shared" ref="M296:Y296" si="31">M297</f>
        <v>142243008</v>
      </c>
      <c r="N296" s="1289">
        <f t="shared" si="31"/>
        <v>142243008</v>
      </c>
      <c r="O296" s="1289">
        <f t="shared" si="31"/>
        <v>142243008</v>
      </c>
      <c r="P296" s="1289">
        <f t="shared" si="31"/>
        <v>142243008</v>
      </c>
      <c r="Q296" s="1289">
        <f t="shared" si="31"/>
        <v>142243008</v>
      </c>
      <c r="R296" s="1289">
        <f t="shared" si="31"/>
        <v>142243008</v>
      </c>
      <c r="S296" s="1289">
        <f t="shared" si="31"/>
        <v>142243008</v>
      </c>
      <c r="T296" s="1289">
        <f t="shared" si="31"/>
        <v>142243008</v>
      </c>
      <c r="U296" s="1289">
        <f t="shared" si="31"/>
        <v>142243008</v>
      </c>
      <c r="V296" s="1289">
        <f t="shared" si="31"/>
        <v>142243008</v>
      </c>
      <c r="W296" s="1289">
        <f t="shared" si="31"/>
        <v>142243008</v>
      </c>
      <c r="X296" s="1289">
        <f t="shared" si="31"/>
        <v>142243008</v>
      </c>
      <c r="Y296" s="1289">
        <f t="shared" si="31"/>
        <v>1706916096</v>
      </c>
    </row>
    <row r="297">
      <c r="A297" s="391"/>
      <c r="B297" s="185"/>
      <c r="C297" s="196">
        <v>1.0</v>
      </c>
      <c r="D297" s="730" t="s">
        <v>1603</v>
      </c>
      <c r="E297" s="198" t="s">
        <v>1851</v>
      </c>
      <c r="F297" s="1293" t="s">
        <v>186</v>
      </c>
      <c r="G297" s="1293" t="s">
        <v>88</v>
      </c>
      <c r="H297" s="1293" t="s">
        <v>88</v>
      </c>
      <c r="I297" s="1293" t="s">
        <v>218</v>
      </c>
      <c r="J297" s="1293" t="s">
        <v>253</v>
      </c>
      <c r="K297" s="1293" t="s">
        <v>1739</v>
      </c>
      <c r="L297" s="1292" t="s">
        <v>1602</v>
      </c>
      <c r="M297" s="1294">
        <v>1.42243008E8</v>
      </c>
      <c r="N297" s="1294">
        <v>1.42243008E8</v>
      </c>
      <c r="O297" s="1294">
        <v>1.42243008E8</v>
      </c>
      <c r="P297" s="1294">
        <v>1.42243008E8</v>
      </c>
      <c r="Q297" s="1294">
        <v>1.42243008E8</v>
      </c>
      <c r="R297" s="1294">
        <v>1.42243008E8</v>
      </c>
      <c r="S297" s="1294">
        <v>1.42243008E8</v>
      </c>
      <c r="T297" s="1294">
        <v>1.42243008E8</v>
      </c>
      <c r="U297" s="1294">
        <v>1.42243008E8</v>
      </c>
      <c r="V297" s="1294">
        <v>1.42243008E8</v>
      </c>
      <c r="W297" s="1294">
        <v>1.42243008E8</v>
      </c>
      <c r="X297" s="1294">
        <v>1.42243008E8</v>
      </c>
      <c r="Y297" s="725">
        <v>1.706916096E9</v>
      </c>
    </row>
    <row r="298">
      <c r="A298" s="391"/>
      <c r="B298" s="1313">
        <v>29.0</v>
      </c>
      <c r="C298" s="329" t="s">
        <v>64</v>
      </c>
      <c r="D298" s="724"/>
      <c r="E298" s="1302"/>
      <c r="F298" s="1291"/>
      <c r="G298" s="1291"/>
      <c r="H298" s="1291"/>
      <c r="I298" s="1291"/>
      <c r="J298" s="1291"/>
      <c r="K298" s="1291"/>
      <c r="L298" s="1288"/>
      <c r="M298" s="1289"/>
      <c r="N298" s="1289"/>
      <c r="O298" s="1289"/>
      <c r="P298" s="1289"/>
      <c r="Q298" s="1289"/>
      <c r="R298" s="1289"/>
      <c r="S298" s="1289"/>
      <c r="T298" s="1289"/>
      <c r="U298" s="1289"/>
      <c r="V298" s="1289"/>
      <c r="W298" s="1289"/>
      <c r="X298" s="1289"/>
      <c r="Y298" s="1289"/>
    </row>
    <row r="299">
      <c r="A299" s="391"/>
      <c r="B299" s="1313">
        <v>30.0</v>
      </c>
      <c r="C299" s="182" t="s">
        <v>65</v>
      </c>
      <c r="D299" s="684"/>
      <c r="E299" s="1302"/>
      <c r="F299" s="1291"/>
      <c r="G299" s="1291"/>
      <c r="H299" s="1291"/>
      <c r="I299" s="1291"/>
      <c r="J299" s="1291"/>
      <c r="K299" s="1291"/>
      <c r="L299" s="107" t="s">
        <v>1852</v>
      </c>
      <c r="M299" s="1289">
        <f t="shared" ref="M299:Y299" si="32">M300+M301</f>
        <v>898016968</v>
      </c>
      <c r="N299" s="1289">
        <f t="shared" si="32"/>
        <v>898016968</v>
      </c>
      <c r="O299" s="1289">
        <f t="shared" si="32"/>
        <v>898016968</v>
      </c>
      <c r="P299" s="1289">
        <f t="shared" si="32"/>
        <v>898016968</v>
      </c>
      <c r="Q299" s="1289">
        <f t="shared" si="32"/>
        <v>898016968</v>
      </c>
      <c r="R299" s="1289">
        <f t="shared" si="32"/>
        <v>898016968</v>
      </c>
      <c r="S299" s="1289">
        <f t="shared" si="32"/>
        <v>898016968</v>
      </c>
      <c r="T299" s="1289">
        <f t="shared" si="32"/>
        <v>898016968</v>
      </c>
      <c r="U299" s="1289">
        <f t="shared" si="32"/>
        <v>898016968</v>
      </c>
      <c r="V299" s="1289">
        <f t="shared" si="32"/>
        <v>898016968</v>
      </c>
      <c r="W299" s="1289">
        <f t="shared" si="32"/>
        <v>898016968</v>
      </c>
      <c r="X299" s="1289">
        <f t="shared" si="32"/>
        <v>898016968</v>
      </c>
      <c r="Y299" s="1289">
        <f t="shared" si="32"/>
        <v>10776203616</v>
      </c>
    </row>
    <row r="300">
      <c r="A300" s="391"/>
      <c r="B300" s="185"/>
      <c r="C300" s="196">
        <v>1.0</v>
      </c>
      <c r="D300" s="634" t="s">
        <v>1612</v>
      </c>
      <c r="E300" s="198" t="s">
        <v>1853</v>
      </c>
      <c r="F300" s="1293" t="s">
        <v>186</v>
      </c>
      <c r="G300" s="1293" t="s">
        <v>88</v>
      </c>
      <c r="H300" s="1293" t="s">
        <v>88</v>
      </c>
      <c r="I300" s="1293" t="s">
        <v>218</v>
      </c>
      <c r="J300" s="1293" t="s">
        <v>253</v>
      </c>
      <c r="K300" s="1293" t="s">
        <v>1739</v>
      </c>
      <c r="L300" s="1292" t="s">
        <v>1613</v>
      </c>
      <c r="M300" s="1294">
        <v>6.84538922E8</v>
      </c>
      <c r="N300" s="1294">
        <v>6.84538922E8</v>
      </c>
      <c r="O300" s="1294">
        <v>6.84538922E8</v>
      </c>
      <c r="P300" s="1294">
        <v>6.84538922E8</v>
      </c>
      <c r="Q300" s="1294">
        <v>6.84538922E8</v>
      </c>
      <c r="R300" s="1294">
        <v>6.84538922E8</v>
      </c>
      <c r="S300" s="1294">
        <v>6.84538922E8</v>
      </c>
      <c r="T300" s="1294">
        <v>6.84538922E8</v>
      </c>
      <c r="U300" s="1294">
        <v>6.84538922E8</v>
      </c>
      <c r="V300" s="1294">
        <v>6.84538922E8</v>
      </c>
      <c r="W300" s="1294">
        <v>6.84538922E8</v>
      </c>
      <c r="X300" s="1294">
        <v>6.84538922E8</v>
      </c>
      <c r="Y300" s="725">
        <v>8.214467064E9</v>
      </c>
    </row>
    <row r="301">
      <c r="A301" s="391"/>
      <c r="B301" s="185"/>
      <c r="C301" s="196">
        <v>2.0</v>
      </c>
      <c r="D301" s="1040" t="s">
        <v>1854</v>
      </c>
      <c r="E301" s="198" t="s">
        <v>1855</v>
      </c>
      <c r="F301" s="1293" t="s">
        <v>186</v>
      </c>
      <c r="G301" s="1293" t="s">
        <v>88</v>
      </c>
      <c r="H301" s="1293" t="s">
        <v>88</v>
      </c>
      <c r="I301" s="1293" t="s">
        <v>218</v>
      </c>
      <c r="J301" s="1293" t="s">
        <v>253</v>
      </c>
      <c r="K301" s="1293" t="s">
        <v>1739</v>
      </c>
      <c r="L301" s="1292" t="s">
        <v>1624</v>
      </c>
      <c r="M301" s="1294">
        <v>2.13478046E8</v>
      </c>
      <c r="N301" s="1294">
        <v>2.13478046E8</v>
      </c>
      <c r="O301" s="1294">
        <v>2.13478046E8</v>
      </c>
      <c r="P301" s="1294">
        <v>2.13478046E8</v>
      </c>
      <c r="Q301" s="1294">
        <v>2.13478046E8</v>
      </c>
      <c r="R301" s="1294">
        <v>2.13478046E8</v>
      </c>
      <c r="S301" s="1294">
        <v>2.13478046E8</v>
      </c>
      <c r="T301" s="1294">
        <v>2.13478046E8</v>
      </c>
      <c r="U301" s="1294">
        <v>2.13478046E8</v>
      </c>
      <c r="V301" s="1294">
        <v>2.13478046E8</v>
      </c>
      <c r="W301" s="1294">
        <v>2.13478046E8</v>
      </c>
      <c r="X301" s="1294">
        <v>2.13478046E8</v>
      </c>
      <c r="Y301" s="725">
        <v>2.561736552E9</v>
      </c>
    </row>
    <row r="302">
      <c r="A302" s="391"/>
      <c r="B302" s="1301"/>
      <c r="C302" s="433">
        <v>3.0</v>
      </c>
      <c r="D302" s="1041" t="s">
        <v>1629</v>
      </c>
      <c r="E302" s="1302"/>
      <c r="F302" s="1291"/>
      <c r="G302" s="1291"/>
      <c r="H302" s="1291"/>
      <c r="I302" s="1291"/>
      <c r="J302" s="1291"/>
      <c r="K302" s="1291"/>
      <c r="L302" s="1288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</row>
    <row r="303">
      <c r="A303" s="391"/>
      <c r="B303" s="1301"/>
      <c r="C303" s="1043">
        <v>4.0</v>
      </c>
      <c r="D303" s="476" t="s">
        <v>1635</v>
      </c>
      <c r="E303" s="1302"/>
      <c r="F303" s="1291"/>
      <c r="G303" s="1291"/>
      <c r="H303" s="1291"/>
      <c r="I303" s="1291"/>
      <c r="J303" s="1291"/>
      <c r="K303" s="1291"/>
      <c r="L303" s="1288"/>
      <c r="M303" s="754"/>
      <c r="N303" s="754"/>
      <c r="O303" s="754"/>
      <c r="P303" s="754"/>
      <c r="Q303" s="754"/>
      <c r="R303" s="754"/>
      <c r="S303" s="754"/>
      <c r="T303" s="754"/>
      <c r="U303" s="754"/>
      <c r="V303" s="754"/>
      <c r="W303" s="754"/>
      <c r="X303" s="754"/>
      <c r="Y303" s="754"/>
    </row>
    <row r="304">
      <c r="A304" s="391"/>
      <c r="B304" s="1325">
        <v>31.0</v>
      </c>
      <c r="C304" s="329" t="s">
        <v>66</v>
      </c>
      <c r="D304" s="724"/>
      <c r="E304" s="1302"/>
      <c r="F304" s="1291"/>
      <c r="G304" s="1291"/>
      <c r="H304" s="1291"/>
      <c r="I304" s="1291"/>
      <c r="J304" s="1291"/>
      <c r="K304" s="1291"/>
      <c r="L304" s="107" t="s">
        <v>1644</v>
      </c>
      <c r="M304" s="1289">
        <f t="shared" ref="M304:Y304" si="33">SUM(M305:M312)</f>
        <v>0</v>
      </c>
      <c r="N304" s="1289">
        <f t="shared" si="33"/>
        <v>0</v>
      </c>
      <c r="O304" s="1289">
        <f t="shared" si="33"/>
        <v>0</v>
      </c>
      <c r="P304" s="1289">
        <f t="shared" si="33"/>
        <v>30564606</v>
      </c>
      <c r="Q304" s="1289">
        <f t="shared" si="33"/>
        <v>30564606</v>
      </c>
      <c r="R304" s="1289">
        <f t="shared" si="33"/>
        <v>89014691</v>
      </c>
      <c r="S304" s="1289">
        <f t="shared" si="33"/>
        <v>89382091</v>
      </c>
      <c r="T304" s="1289">
        <f t="shared" si="33"/>
        <v>89828691</v>
      </c>
      <c r="U304" s="1289">
        <f t="shared" si="33"/>
        <v>93860755</v>
      </c>
      <c r="V304" s="1289">
        <f t="shared" si="33"/>
        <v>93860755</v>
      </c>
      <c r="W304" s="1289">
        <f t="shared" si="33"/>
        <v>94629655</v>
      </c>
      <c r="X304" s="1289">
        <f t="shared" si="33"/>
        <v>94629655</v>
      </c>
      <c r="Y304" s="1289">
        <f t="shared" si="33"/>
        <v>706335505</v>
      </c>
    </row>
    <row r="305">
      <c r="A305" s="391"/>
      <c r="B305" s="1099"/>
      <c r="C305" s="196">
        <v>1.0</v>
      </c>
      <c r="D305" s="925" t="s">
        <v>1645</v>
      </c>
      <c r="E305" s="1324" t="s">
        <v>1645</v>
      </c>
      <c r="F305" s="1293" t="s">
        <v>186</v>
      </c>
      <c r="G305" s="1293" t="s">
        <v>88</v>
      </c>
      <c r="H305" s="1293" t="s">
        <v>88</v>
      </c>
      <c r="I305" s="1293" t="s">
        <v>218</v>
      </c>
      <c r="J305" s="1293" t="s">
        <v>253</v>
      </c>
      <c r="K305" s="1293" t="s">
        <v>1739</v>
      </c>
      <c r="L305" s="1292" t="s">
        <v>1644</v>
      </c>
      <c r="M305" s="1300"/>
      <c r="N305" s="1300"/>
      <c r="O305" s="1300"/>
      <c r="P305" s="1294">
        <v>3.0564606E7</v>
      </c>
      <c r="Q305" s="1294">
        <v>3.0564606E7</v>
      </c>
      <c r="R305" s="1294">
        <v>3.0564606E7</v>
      </c>
      <c r="S305" s="1294">
        <v>3.0564606E7</v>
      </c>
      <c r="T305" s="1294">
        <v>3.0564606E7</v>
      </c>
      <c r="U305" s="1294">
        <v>3.0564606E7</v>
      </c>
      <c r="V305" s="1294">
        <v>3.0564606E7</v>
      </c>
      <c r="W305" s="1294">
        <v>3.0564606E7</v>
      </c>
      <c r="X305" s="1294">
        <v>3.0564606E7</v>
      </c>
      <c r="Y305" s="725">
        <v>2.75081454E8</v>
      </c>
    </row>
    <row r="306">
      <c r="A306" s="391"/>
      <c r="B306" s="1099"/>
      <c r="C306" s="196">
        <v>2.0</v>
      </c>
      <c r="D306" s="925" t="s">
        <v>1648</v>
      </c>
      <c r="E306" s="1324" t="s">
        <v>1648</v>
      </c>
      <c r="F306" s="1293" t="s">
        <v>186</v>
      </c>
      <c r="G306" s="1293" t="s">
        <v>103</v>
      </c>
      <c r="H306" s="1293" t="s">
        <v>86</v>
      </c>
      <c r="I306" s="1293" t="s">
        <v>86</v>
      </c>
      <c r="J306" s="1293" t="s">
        <v>253</v>
      </c>
      <c r="K306" s="1293" t="s">
        <v>1739</v>
      </c>
      <c r="L306" s="1292" t="s">
        <v>1644</v>
      </c>
      <c r="M306" s="1300"/>
      <c r="N306" s="1300"/>
      <c r="O306" s="1300"/>
      <c r="P306" s="1300"/>
      <c r="Q306" s="1300"/>
      <c r="R306" s="1294">
        <v>5.8450085E7</v>
      </c>
      <c r="S306" s="1294">
        <v>5.8450085E7</v>
      </c>
      <c r="T306" s="1294">
        <v>5.8450085E7</v>
      </c>
      <c r="U306" s="1294">
        <v>5.8450085E7</v>
      </c>
      <c r="V306" s="1294">
        <v>5.8450085E7</v>
      </c>
      <c r="W306" s="1294">
        <v>5.8450085E7</v>
      </c>
      <c r="X306" s="1294">
        <v>5.8450085E7</v>
      </c>
      <c r="Y306" s="725">
        <v>4.09150595E8</v>
      </c>
    </row>
    <row r="307">
      <c r="A307" s="391"/>
      <c r="B307" s="1099"/>
      <c r="C307" s="196">
        <v>3.0</v>
      </c>
      <c r="D307" s="925" t="s">
        <v>1651</v>
      </c>
      <c r="E307" s="1324" t="s">
        <v>1856</v>
      </c>
      <c r="F307" s="1293" t="s">
        <v>186</v>
      </c>
      <c r="G307" s="1293" t="s">
        <v>103</v>
      </c>
      <c r="H307" s="1293" t="s">
        <v>86</v>
      </c>
      <c r="I307" s="1293" t="s">
        <v>86</v>
      </c>
      <c r="J307" s="1293" t="s">
        <v>253</v>
      </c>
      <c r="K307" s="1293" t="s">
        <v>1739</v>
      </c>
      <c r="L307" s="1292" t="s">
        <v>1644</v>
      </c>
      <c r="M307" s="1300"/>
      <c r="N307" s="1300"/>
      <c r="O307" s="1300"/>
      <c r="P307" s="1300"/>
      <c r="Q307" s="1300"/>
      <c r="R307" s="1300"/>
      <c r="S307" s="1300"/>
      <c r="T307" s="1300"/>
      <c r="U307" s="1294">
        <v>3244464.0</v>
      </c>
      <c r="V307" s="1294">
        <v>3244464.0</v>
      </c>
      <c r="W307" s="1294">
        <v>3244464.0</v>
      </c>
      <c r="X307" s="1294">
        <v>3244464.0</v>
      </c>
      <c r="Y307" s="725">
        <v>1.2977856E7</v>
      </c>
    </row>
    <row r="308">
      <c r="A308" s="126"/>
      <c r="B308" s="1099"/>
      <c r="C308" s="196">
        <v>4.0</v>
      </c>
      <c r="D308" s="925" t="s">
        <v>1654</v>
      </c>
      <c r="E308" s="1324" t="s">
        <v>1654</v>
      </c>
      <c r="F308" s="1293" t="s">
        <v>186</v>
      </c>
      <c r="G308" s="1293" t="s">
        <v>103</v>
      </c>
      <c r="H308" s="1293" t="s">
        <v>86</v>
      </c>
      <c r="I308" s="1293" t="s">
        <v>86</v>
      </c>
      <c r="J308" s="1293" t="s">
        <v>253</v>
      </c>
      <c r="K308" s="1293" t="s">
        <v>1739</v>
      </c>
      <c r="L308" s="1292" t="s">
        <v>1644</v>
      </c>
      <c r="M308" s="1300"/>
      <c r="N308" s="1300"/>
      <c r="O308" s="1300"/>
      <c r="P308" s="1300"/>
      <c r="Q308" s="1300"/>
      <c r="R308" s="1300"/>
      <c r="S308" s="1294">
        <v>367400.0</v>
      </c>
      <c r="T308" s="1294">
        <v>367400.0</v>
      </c>
      <c r="U308" s="1294">
        <v>367400.0</v>
      </c>
      <c r="V308" s="1294">
        <v>367400.0</v>
      </c>
      <c r="W308" s="1294">
        <v>367400.0</v>
      </c>
      <c r="X308" s="1294">
        <v>367400.0</v>
      </c>
      <c r="Y308" s="725">
        <v>2204400.0</v>
      </c>
    </row>
    <row r="309">
      <c r="A309" s="126"/>
      <c r="B309" s="1099"/>
      <c r="C309" s="196">
        <v>5.0</v>
      </c>
      <c r="D309" s="925" t="s">
        <v>1657</v>
      </c>
      <c r="E309" s="1324" t="s">
        <v>1857</v>
      </c>
      <c r="F309" s="1293" t="s">
        <v>186</v>
      </c>
      <c r="G309" s="1293" t="s">
        <v>103</v>
      </c>
      <c r="H309" s="1293" t="s">
        <v>86</v>
      </c>
      <c r="I309" s="1293" t="s">
        <v>86</v>
      </c>
      <c r="J309" s="1293" t="s">
        <v>253</v>
      </c>
      <c r="K309" s="1293" t="s">
        <v>1739</v>
      </c>
      <c r="L309" s="1292" t="s">
        <v>1644</v>
      </c>
      <c r="M309" s="1300"/>
      <c r="N309" s="1300"/>
      <c r="O309" s="1300"/>
      <c r="P309" s="1300"/>
      <c r="Q309" s="1300"/>
      <c r="R309" s="1300"/>
      <c r="S309" s="1300"/>
      <c r="T309" s="1294">
        <v>446600.0</v>
      </c>
      <c r="U309" s="1294">
        <v>446600.0</v>
      </c>
      <c r="V309" s="1294">
        <v>446600.0</v>
      </c>
      <c r="W309" s="1294">
        <v>446600.0</v>
      </c>
      <c r="X309" s="1294">
        <v>446600.0</v>
      </c>
      <c r="Y309" s="725">
        <v>2233000.0</v>
      </c>
    </row>
    <row r="310">
      <c r="A310" s="126"/>
      <c r="B310" s="1099"/>
      <c r="C310" s="196">
        <v>6.0</v>
      </c>
      <c r="D310" s="925" t="s">
        <v>1660</v>
      </c>
      <c r="E310" s="1324" t="s">
        <v>1660</v>
      </c>
      <c r="F310" s="1293" t="s">
        <v>186</v>
      </c>
      <c r="G310" s="1293" t="s">
        <v>103</v>
      </c>
      <c r="H310" s="1293" t="s">
        <v>86</v>
      </c>
      <c r="I310" s="1293" t="s">
        <v>86</v>
      </c>
      <c r="J310" s="1293" t="s">
        <v>752</v>
      </c>
      <c r="K310" s="1293" t="s">
        <v>1747</v>
      </c>
      <c r="L310" s="1292" t="s">
        <v>1644</v>
      </c>
      <c r="M310" s="1300"/>
      <c r="N310" s="1300"/>
      <c r="O310" s="1300"/>
      <c r="P310" s="1300"/>
      <c r="Q310" s="1300"/>
      <c r="R310" s="1300"/>
      <c r="S310" s="1300"/>
      <c r="T310" s="1300"/>
      <c r="U310" s="1300"/>
      <c r="V310" s="1300"/>
      <c r="W310" s="1294">
        <v>768900.0</v>
      </c>
      <c r="X310" s="1294">
        <v>768900.0</v>
      </c>
      <c r="Y310" s="725">
        <v>1537800.0</v>
      </c>
    </row>
    <row r="311">
      <c r="A311" s="126"/>
      <c r="B311" s="1099"/>
      <c r="C311" s="196">
        <v>7.0</v>
      </c>
      <c r="D311" s="925" t="s">
        <v>1663</v>
      </c>
      <c r="E311" s="1324" t="s">
        <v>1663</v>
      </c>
      <c r="F311" s="1293" t="s">
        <v>186</v>
      </c>
      <c r="G311" s="1293" t="s">
        <v>103</v>
      </c>
      <c r="H311" s="1293" t="s">
        <v>86</v>
      </c>
      <c r="I311" s="1293" t="s">
        <v>86</v>
      </c>
      <c r="J311" s="1293" t="s">
        <v>253</v>
      </c>
      <c r="K311" s="1293" t="s">
        <v>1739</v>
      </c>
      <c r="L311" s="1292" t="s">
        <v>1644</v>
      </c>
      <c r="M311" s="1300"/>
      <c r="N311" s="1300"/>
      <c r="O311" s="1300"/>
      <c r="P311" s="1300"/>
      <c r="Q311" s="1300"/>
      <c r="R311" s="1300"/>
      <c r="S311" s="1300"/>
      <c r="T311" s="1300"/>
      <c r="U311" s="1294">
        <v>787600.0</v>
      </c>
      <c r="V311" s="1294">
        <v>787600.0</v>
      </c>
      <c r="W311" s="1294">
        <v>787600.0</v>
      </c>
      <c r="X311" s="1294">
        <v>787600.0</v>
      </c>
      <c r="Y311" s="725">
        <v>3150400.0</v>
      </c>
    </row>
    <row r="312">
      <c r="A312" s="126"/>
      <c r="B312" s="1329"/>
      <c r="C312" s="971">
        <v>8.0</v>
      </c>
      <c r="D312" s="976" t="s">
        <v>1666</v>
      </c>
      <c r="E312" s="1302"/>
      <c r="F312" s="1291"/>
      <c r="G312" s="1291"/>
      <c r="H312" s="1291"/>
      <c r="I312" s="1291"/>
      <c r="J312" s="1291"/>
      <c r="K312" s="1291"/>
      <c r="L312" s="107" t="s">
        <v>1644</v>
      </c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</row>
    <row r="313">
      <c r="A313" s="126"/>
      <c r="B313" s="1286" t="s">
        <v>67</v>
      </c>
      <c r="C313" s="678" t="s">
        <v>68</v>
      </c>
      <c r="D313" s="679"/>
      <c r="E313" s="1302"/>
      <c r="F313" s="1291"/>
      <c r="G313" s="1291"/>
      <c r="H313" s="1291"/>
      <c r="I313" s="1291"/>
      <c r="J313" s="1291"/>
      <c r="K313" s="1291"/>
      <c r="L313" s="1288"/>
      <c r="M313" s="1289">
        <f t="shared" ref="M313:Y313" si="34">M314+M315</f>
        <v>0</v>
      </c>
      <c r="N313" s="1289">
        <f t="shared" si="34"/>
        <v>0</v>
      </c>
      <c r="O313" s="1289">
        <f t="shared" si="34"/>
        <v>0</v>
      </c>
      <c r="P313" s="1289">
        <f t="shared" si="34"/>
        <v>0</v>
      </c>
      <c r="Q313" s="1289">
        <f t="shared" si="34"/>
        <v>0</v>
      </c>
      <c r="R313" s="1289">
        <f t="shared" si="34"/>
        <v>0</v>
      </c>
      <c r="S313" s="1289">
        <f t="shared" si="34"/>
        <v>0</v>
      </c>
      <c r="T313" s="1289">
        <f t="shared" si="34"/>
        <v>0</v>
      </c>
      <c r="U313" s="1289">
        <f t="shared" si="34"/>
        <v>0</v>
      </c>
      <c r="V313" s="1289">
        <f t="shared" si="34"/>
        <v>0</v>
      </c>
      <c r="W313" s="1289">
        <f t="shared" si="34"/>
        <v>0</v>
      </c>
      <c r="X313" s="1289">
        <f t="shared" si="34"/>
        <v>0</v>
      </c>
      <c r="Y313" s="1289">
        <f t="shared" si="34"/>
        <v>0</v>
      </c>
    </row>
    <row r="314">
      <c r="A314" s="126"/>
      <c r="B314" s="1313">
        <v>32.0</v>
      </c>
      <c r="C314" s="182" t="s">
        <v>1673</v>
      </c>
      <c r="D314" s="684"/>
      <c r="E314" s="1302"/>
      <c r="F314" s="1291"/>
      <c r="G314" s="1291"/>
      <c r="H314" s="1291"/>
      <c r="I314" s="1291"/>
      <c r="J314" s="1291"/>
      <c r="K314" s="1291"/>
      <c r="L314" s="1288"/>
      <c r="M314" s="1289"/>
      <c r="N314" s="1289"/>
      <c r="O314" s="1289"/>
      <c r="P314" s="1289"/>
      <c r="Q314" s="1289"/>
      <c r="R314" s="1289"/>
      <c r="S314" s="1289"/>
      <c r="T314" s="1289"/>
      <c r="U314" s="1289"/>
      <c r="V314" s="1289"/>
      <c r="W314" s="1289"/>
      <c r="X314" s="1289"/>
      <c r="Y314" s="1289"/>
    </row>
    <row r="315">
      <c r="A315" s="126"/>
      <c r="B315" s="1313">
        <v>33.0</v>
      </c>
      <c r="C315" s="182" t="s">
        <v>70</v>
      </c>
      <c r="D315" s="684"/>
      <c r="E315" s="1302"/>
      <c r="F315" s="1291"/>
      <c r="G315" s="1291"/>
      <c r="H315" s="1291"/>
      <c r="I315" s="1291"/>
      <c r="J315" s="1291"/>
      <c r="K315" s="1291"/>
      <c r="L315" s="1288"/>
      <c r="M315" s="1289"/>
      <c r="N315" s="1289"/>
      <c r="O315" s="1289"/>
      <c r="P315" s="1289"/>
      <c r="Q315" s="1289"/>
      <c r="R315" s="1289"/>
      <c r="S315" s="1289"/>
      <c r="T315" s="1289"/>
      <c r="U315" s="1289"/>
      <c r="V315" s="1289"/>
      <c r="W315" s="1289"/>
      <c r="X315" s="1289"/>
      <c r="Y315" s="1289"/>
    </row>
    <row r="316">
      <c r="A316" s="126"/>
      <c r="B316" s="1336" t="s">
        <v>71</v>
      </c>
      <c r="C316" s="1032" t="s">
        <v>72</v>
      </c>
      <c r="D316" s="1033"/>
      <c r="E316" s="1302"/>
      <c r="F316" s="1291"/>
      <c r="G316" s="1291"/>
      <c r="H316" s="1291"/>
      <c r="I316" s="1291"/>
      <c r="J316" s="1291"/>
      <c r="K316" s="1291"/>
      <c r="L316" s="1288"/>
      <c r="M316" s="1289">
        <f t="shared" ref="M316:Y316" si="35">M317+M318+M320+M322+M323+M324</f>
        <v>0</v>
      </c>
      <c r="N316" s="1289">
        <f t="shared" si="35"/>
        <v>160177410</v>
      </c>
      <c r="O316" s="1289">
        <f t="shared" si="35"/>
        <v>160177410</v>
      </c>
      <c r="P316" s="1289">
        <f t="shared" si="35"/>
        <v>160177410</v>
      </c>
      <c r="Q316" s="1289">
        <f t="shared" si="35"/>
        <v>160177410</v>
      </c>
      <c r="R316" s="1289">
        <f t="shared" si="35"/>
        <v>160177410</v>
      </c>
      <c r="S316" s="1289">
        <f t="shared" si="35"/>
        <v>237239682</v>
      </c>
      <c r="T316" s="1289">
        <f t="shared" si="35"/>
        <v>237239682</v>
      </c>
      <c r="U316" s="1289">
        <f t="shared" si="35"/>
        <v>237239682</v>
      </c>
      <c r="V316" s="1289">
        <f t="shared" si="35"/>
        <v>237239682</v>
      </c>
      <c r="W316" s="1289">
        <f t="shared" si="35"/>
        <v>237239682</v>
      </c>
      <c r="X316" s="1289">
        <f t="shared" si="35"/>
        <v>237239682</v>
      </c>
      <c r="Y316" s="1289">
        <f t="shared" si="35"/>
        <v>2224325142</v>
      </c>
    </row>
    <row r="317">
      <c r="A317" s="126"/>
      <c r="B317" s="1313">
        <v>34.0</v>
      </c>
      <c r="C317" s="182" t="s">
        <v>73</v>
      </c>
      <c r="D317" s="684"/>
      <c r="E317" s="1302"/>
      <c r="F317" s="1291"/>
      <c r="G317" s="1291"/>
      <c r="H317" s="1291"/>
      <c r="I317" s="1291"/>
      <c r="J317" s="1291"/>
      <c r="K317" s="1291"/>
      <c r="L317" s="1288"/>
      <c r="M317" s="1289"/>
      <c r="N317" s="1289"/>
      <c r="O317" s="1289"/>
      <c r="P317" s="1289"/>
      <c r="Q317" s="1289"/>
      <c r="R317" s="1289"/>
      <c r="S317" s="1289"/>
      <c r="T317" s="1289"/>
      <c r="U317" s="1289"/>
      <c r="V317" s="1289"/>
      <c r="W317" s="1289"/>
      <c r="X317" s="1289"/>
      <c r="Y317" s="1289"/>
    </row>
    <row r="318">
      <c r="A318" s="126"/>
      <c r="B318" s="1337">
        <v>35.0</v>
      </c>
      <c r="C318" s="182" t="s">
        <v>74</v>
      </c>
      <c r="D318" s="684"/>
      <c r="E318" s="1302"/>
      <c r="F318" s="1291"/>
      <c r="G318" s="1291"/>
      <c r="H318" s="1291"/>
      <c r="I318" s="1291"/>
      <c r="J318" s="1291"/>
      <c r="K318" s="1291"/>
      <c r="L318" s="107" t="s">
        <v>1674</v>
      </c>
      <c r="M318" s="1289" t="str">
        <f t="shared" ref="M318:Y318" si="36">M319</f>
        <v/>
      </c>
      <c r="N318" s="1289">
        <f t="shared" si="36"/>
        <v>160177410</v>
      </c>
      <c r="O318" s="1289">
        <f t="shared" si="36"/>
        <v>160177410</v>
      </c>
      <c r="P318" s="1289">
        <f t="shared" si="36"/>
        <v>160177410</v>
      </c>
      <c r="Q318" s="1289">
        <f t="shared" si="36"/>
        <v>160177410</v>
      </c>
      <c r="R318" s="1289">
        <f t="shared" si="36"/>
        <v>160177410</v>
      </c>
      <c r="S318" s="1289">
        <f t="shared" si="36"/>
        <v>160177410</v>
      </c>
      <c r="T318" s="1289">
        <f t="shared" si="36"/>
        <v>160177410</v>
      </c>
      <c r="U318" s="1289">
        <f t="shared" si="36"/>
        <v>160177410</v>
      </c>
      <c r="V318" s="1289">
        <f t="shared" si="36"/>
        <v>160177410</v>
      </c>
      <c r="W318" s="1289">
        <f t="shared" si="36"/>
        <v>160177410</v>
      </c>
      <c r="X318" s="1289">
        <f t="shared" si="36"/>
        <v>160177410</v>
      </c>
      <c r="Y318" s="1289">
        <f t="shared" si="36"/>
        <v>1761951510</v>
      </c>
    </row>
    <row r="319">
      <c r="A319" s="126"/>
      <c r="B319" s="1099"/>
      <c r="C319" s="196">
        <v>1.0</v>
      </c>
      <c r="D319" s="925" t="s">
        <v>1675</v>
      </c>
      <c r="E319" s="1324" t="s">
        <v>1675</v>
      </c>
      <c r="F319" s="1293" t="s">
        <v>186</v>
      </c>
      <c r="G319" s="1293" t="s">
        <v>88</v>
      </c>
      <c r="H319" s="1293" t="s">
        <v>88</v>
      </c>
      <c r="I319" s="1293" t="s">
        <v>218</v>
      </c>
      <c r="J319" s="1293" t="s">
        <v>253</v>
      </c>
      <c r="K319" s="1293" t="s">
        <v>1739</v>
      </c>
      <c r="L319" s="1292" t="s">
        <v>1674</v>
      </c>
      <c r="M319" s="1300"/>
      <c r="N319" s="1294">
        <v>1.6017741E8</v>
      </c>
      <c r="O319" s="1294">
        <v>1.6017741E8</v>
      </c>
      <c r="P319" s="1294">
        <v>1.6017741E8</v>
      </c>
      <c r="Q319" s="1294">
        <v>1.6017741E8</v>
      </c>
      <c r="R319" s="1294">
        <v>1.6017741E8</v>
      </c>
      <c r="S319" s="1294">
        <v>1.6017741E8</v>
      </c>
      <c r="T319" s="1294">
        <v>1.6017741E8</v>
      </c>
      <c r="U319" s="1294">
        <v>1.6017741E8</v>
      </c>
      <c r="V319" s="1294">
        <v>1.6017741E8</v>
      </c>
      <c r="W319" s="1294">
        <v>1.6017741E8</v>
      </c>
      <c r="X319" s="1294">
        <v>1.6017741E8</v>
      </c>
      <c r="Y319" s="725">
        <v>1.76195151E9</v>
      </c>
    </row>
    <row r="320">
      <c r="A320" s="126"/>
      <c r="B320" s="1337">
        <v>36.0</v>
      </c>
      <c r="C320" s="329" t="s">
        <v>75</v>
      </c>
      <c r="D320" s="724"/>
      <c r="E320" s="1302"/>
      <c r="F320" s="1291"/>
      <c r="G320" s="1291"/>
      <c r="H320" s="1291"/>
      <c r="I320" s="1291"/>
      <c r="J320" s="1291"/>
      <c r="K320" s="1291"/>
      <c r="L320" s="107" t="s">
        <v>1674</v>
      </c>
      <c r="M320" s="1289" t="str">
        <f t="shared" ref="M320:Y320" si="37">M321</f>
        <v/>
      </c>
      <c r="N320" s="1289" t="str">
        <f t="shared" si="37"/>
        <v/>
      </c>
      <c r="O320" s="1289" t="str">
        <f t="shared" si="37"/>
        <v/>
      </c>
      <c r="P320" s="1289" t="str">
        <f t="shared" si="37"/>
        <v/>
      </c>
      <c r="Q320" s="1289" t="str">
        <f t="shared" si="37"/>
        <v/>
      </c>
      <c r="R320" s="1289" t="str">
        <f t="shared" si="37"/>
        <v/>
      </c>
      <c r="S320" s="1289">
        <f t="shared" si="37"/>
        <v>77062272</v>
      </c>
      <c r="T320" s="1289">
        <f t="shared" si="37"/>
        <v>77062272</v>
      </c>
      <c r="U320" s="1289">
        <f t="shared" si="37"/>
        <v>77062272</v>
      </c>
      <c r="V320" s="1289">
        <f t="shared" si="37"/>
        <v>77062272</v>
      </c>
      <c r="W320" s="1289">
        <f t="shared" si="37"/>
        <v>77062272</v>
      </c>
      <c r="X320" s="1289">
        <f t="shared" si="37"/>
        <v>77062272</v>
      </c>
      <c r="Y320" s="1289">
        <f t="shared" si="37"/>
        <v>462373632</v>
      </c>
    </row>
    <row r="321">
      <c r="A321" s="126"/>
      <c r="B321" s="1099"/>
      <c r="C321" s="196">
        <v>1.0</v>
      </c>
      <c r="D321" s="925" t="s">
        <v>1858</v>
      </c>
      <c r="E321" s="1324" t="s">
        <v>1858</v>
      </c>
      <c r="F321" s="1293" t="s">
        <v>186</v>
      </c>
      <c r="G321" s="1293" t="s">
        <v>88</v>
      </c>
      <c r="H321" s="1293" t="s">
        <v>88</v>
      </c>
      <c r="I321" s="1293" t="s">
        <v>218</v>
      </c>
      <c r="J321" s="1293" t="s">
        <v>253</v>
      </c>
      <c r="K321" s="1293" t="s">
        <v>1739</v>
      </c>
      <c r="L321" s="1292" t="s">
        <v>1674</v>
      </c>
      <c r="M321" s="1300"/>
      <c r="N321" s="1300"/>
      <c r="O321" s="1300"/>
      <c r="P321" s="1300"/>
      <c r="Q321" s="1300"/>
      <c r="R321" s="1300"/>
      <c r="S321" s="1294">
        <v>7.7062272E7</v>
      </c>
      <c r="T321" s="1294">
        <v>7.7062272E7</v>
      </c>
      <c r="U321" s="1294">
        <v>7.7062272E7</v>
      </c>
      <c r="V321" s="1294">
        <v>7.7062272E7</v>
      </c>
      <c r="W321" s="1294">
        <v>7.7062272E7</v>
      </c>
      <c r="X321" s="1294">
        <v>7.7062272E7</v>
      </c>
      <c r="Y321" s="725">
        <v>4.62373632E8</v>
      </c>
    </row>
    <row r="322">
      <c r="A322" s="126"/>
      <c r="B322" s="1313">
        <v>37.0</v>
      </c>
      <c r="C322" s="329" t="s">
        <v>76</v>
      </c>
      <c r="D322" s="724"/>
      <c r="E322" s="1302"/>
      <c r="F322" s="1291"/>
      <c r="G322" s="1291"/>
      <c r="H322" s="1291"/>
      <c r="I322" s="1291"/>
      <c r="J322" s="1291"/>
      <c r="K322" s="1291"/>
      <c r="L322" s="1288"/>
      <c r="M322" s="1289"/>
      <c r="N322" s="1289"/>
      <c r="O322" s="1289"/>
      <c r="P322" s="1289"/>
      <c r="Q322" s="1289"/>
      <c r="R322" s="1289"/>
      <c r="S322" s="1289"/>
      <c r="T322" s="1289"/>
      <c r="U322" s="1289"/>
      <c r="V322" s="1289"/>
      <c r="W322" s="1289"/>
      <c r="X322" s="1289"/>
      <c r="Y322" s="1289"/>
    </row>
    <row r="323">
      <c r="A323" s="126"/>
      <c r="B323" s="1313">
        <v>38.0</v>
      </c>
      <c r="C323" s="182" t="s">
        <v>77</v>
      </c>
      <c r="D323" s="684"/>
      <c r="E323" s="1302"/>
      <c r="F323" s="1291"/>
      <c r="G323" s="1291"/>
      <c r="H323" s="1291"/>
      <c r="I323" s="1291"/>
      <c r="J323" s="1291"/>
      <c r="K323" s="1291"/>
      <c r="L323" s="1288"/>
      <c r="M323" s="1289"/>
      <c r="N323" s="1289"/>
      <c r="O323" s="1289"/>
      <c r="P323" s="1289"/>
      <c r="Q323" s="1289"/>
      <c r="R323" s="1289"/>
      <c r="S323" s="1289"/>
      <c r="T323" s="1289"/>
      <c r="U323" s="1289"/>
      <c r="V323" s="1289"/>
      <c r="W323" s="1289"/>
      <c r="X323" s="1289"/>
      <c r="Y323" s="1289"/>
    </row>
    <row r="324">
      <c r="A324" s="118"/>
      <c r="B324" s="1338">
        <v>39.0</v>
      </c>
      <c r="C324" s="1339" t="s">
        <v>78</v>
      </c>
      <c r="D324" s="1340"/>
      <c r="E324" s="1302"/>
      <c r="F324" s="1291"/>
      <c r="G324" s="1291"/>
      <c r="H324" s="1291"/>
      <c r="I324" s="1291"/>
      <c r="J324" s="1291"/>
      <c r="K324" s="1291"/>
      <c r="L324" s="1288"/>
      <c r="M324" s="1289"/>
      <c r="N324" s="1289"/>
      <c r="O324" s="1289"/>
      <c r="P324" s="1289"/>
      <c r="Q324" s="1289"/>
      <c r="R324" s="1289"/>
      <c r="S324" s="1289"/>
      <c r="T324" s="1289"/>
      <c r="U324" s="1289"/>
      <c r="V324" s="1289"/>
      <c r="W324" s="1289"/>
      <c r="X324" s="1289"/>
      <c r="Y324" s="1289"/>
    </row>
    <row r="325">
      <c r="A325" s="118"/>
      <c r="B325" s="1341" t="s">
        <v>27</v>
      </c>
      <c r="C325" s="7"/>
      <c r="D325" s="1124" t="s">
        <v>1690</v>
      </c>
      <c r="E325" s="1342"/>
      <c r="F325" s="1291"/>
      <c r="G325" s="1291"/>
      <c r="H325" s="1291"/>
      <c r="I325" s="1291"/>
      <c r="J325" s="1291"/>
      <c r="K325" s="1291"/>
      <c r="L325" s="86"/>
      <c r="M325" s="754">
        <f t="shared" ref="M325:Y325" si="38">M327-M326</f>
        <v>94375708369</v>
      </c>
      <c r="N325" s="754">
        <f t="shared" si="38"/>
        <v>93333808842</v>
      </c>
      <c r="O325" s="754">
        <f t="shared" si="38"/>
        <v>100237086405</v>
      </c>
      <c r="P325" s="754">
        <f t="shared" si="38"/>
        <v>86213745521</v>
      </c>
      <c r="Q325" s="754">
        <f t="shared" si="38"/>
        <v>85870035683</v>
      </c>
      <c r="R325" s="754">
        <f t="shared" si="38"/>
        <v>90773153765</v>
      </c>
      <c r="S325" s="754">
        <f t="shared" si="38"/>
        <v>92053628328</v>
      </c>
      <c r="T325" s="754">
        <f t="shared" si="38"/>
        <v>92888382163</v>
      </c>
      <c r="U325" s="754">
        <f t="shared" si="38"/>
        <v>87074351000</v>
      </c>
      <c r="V325" s="754">
        <f t="shared" si="38"/>
        <v>86784215497</v>
      </c>
      <c r="W325" s="754">
        <f t="shared" si="38"/>
        <v>85524351001</v>
      </c>
      <c r="X325" s="754">
        <f t="shared" si="38"/>
        <v>91600882165</v>
      </c>
      <c r="Y325" s="754">
        <f t="shared" si="38"/>
        <v>1086729348749</v>
      </c>
      <c r="Z325" s="46">
        <f>'DB Monitoring'!AF1764</f>
        <v>1086729348749</v>
      </c>
    </row>
    <row r="326">
      <c r="A326" s="118"/>
      <c r="B326" s="1343" t="s">
        <v>39</v>
      </c>
      <c r="C326" s="7"/>
      <c r="D326" s="1107" t="s">
        <v>1695</v>
      </c>
      <c r="E326" s="1342"/>
      <c r="F326" s="1291"/>
      <c r="G326" s="1291"/>
      <c r="H326" s="1291"/>
      <c r="I326" s="1291"/>
      <c r="J326" s="1291"/>
      <c r="K326" s="1291"/>
      <c r="L326" s="86"/>
      <c r="M326" s="1344">
        <f t="shared" ref="M326:Y326" si="39">M191+M190+M210+M211+M212+M216+M217+M218+M220+M234+M235+M236+M237+M238+M239+M240+M241+M242+M243+M244+M245+M246+M247+M248+M249+M250+M251+M252+M253+M254+M255+M256+M257+M258+M259+M260+M261+M266+M268+M272+M273+M287+M288+M289+M293+M294+M305+M306+M307+M308+M309+M310+M311+M319+M321</f>
        <v>0</v>
      </c>
      <c r="N326" s="1344">
        <f t="shared" si="39"/>
        <v>5082971965</v>
      </c>
      <c r="O326" s="1344">
        <f t="shared" si="39"/>
        <v>6638830889</v>
      </c>
      <c r="P326" s="1344">
        <f t="shared" si="39"/>
        <v>6979833792</v>
      </c>
      <c r="Q326" s="1344">
        <f t="shared" si="39"/>
        <v>7307118535</v>
      </c>
      <c r="R326" s="1344">
        <f t="shared" si="39"/>
        <v>7628733020</v>
      </c>
      <c r="S326" s="1344">
        <f t="shared" si="39"/>
        <v>7707155536</v>
      </c>
      <c r="T326" s="1344">
        <f t="shared" si="39"/>
        <v>7712630056</v>
      </c>
      <c r="U326" s="1344">
        <f t="shared" si="39"/>
        <v>8092219363</v>
      </c>
      <c r="V326" s="1344">
        <f t="shared" si="39"/>
        <v>8033019363</v>
      </c>
      <c r="W326" s="1344">
        <f t="shared" si="39"/>
        <v>8083288263</v>
      </c>
      <c r="X326" s="1344">
        <f t="shared" si="39"/>
        <v>8044288263</v>
      </c>
      <c r="Y326" s="1344">
        <f t="shared" si="39"/>
        <v>81310089045</v>
      </c>
      <c r="Z326" s="46">
        <f>'DB Monitoring'!AF1769</f>
        <v>81310089045</v>
      </c>
    </row>
    <row r="327">
      <c r="A327" s="118"/>
      <c r="B327" s="1341" t="s">
        <v>47</v>
      </c>
      <c r="C327" s="7"/>
      <c r="D327" s="1124" t="s">
        <v>1700</v>
      </c>
      <c r="E327" s="1345"/>
      <c r="F327" s="1345"/>
      <c r="G327" s="1345"/>
      <c r="H327" s="1345"/>
      <c r="I327" s="1345"/>
      <c r="J327" s="1345"/>
      <c r="K327" s="1345"/>
      <c r="L327" s="1345"/>
      <c r="M327" s="754">
        <f t="shared" ref="M327:Y327" si="40">M5+M86+M232+M270+M291+M313+M316</f>
        <v>94375708369</v>
      </c>
      <c r="N327" s="754">
        <f t="shared" si="40"/>
        <v>98416780807</v>
      </c>
      <c r="O327" s="754">
        <f t="shared" si="40"/>
        <v>106875917294</v>
      </c>
      <c r="P327" s="754">
        <f t="shared" si="40"/>
        <v>93193579313</v>
      </c>
      <c r="Q327" s="754">
        <f t="shared" si="40"/>
        <v>93177154218</v>
      </c>
      <c r="R327" s="754">
        <f t="shared" si="40"/>
        <v>98401886785</v>
      </c>
      <c r="S327" s="754">
        <f t="shared" si="40"/>
        <v>99760783864</v>
      </c>
      <c r="T327" s="754">
        <f t="shared" si="40"/>
        <v>100601012219</v>
      </c>
      <c r="U327" s="754">
        <f t="shared" si="40"/>
        <v>95166570363</v>
      </c>
      <c r="V327" s="754">
        <f t="shared" si="40"/>
        <v>94817234860</v>
      </c>
      <c r="W327" s="754">
        <f t="shared" si="40"/>
        <v>93607639264</v>
      </c>
      <c r="X327" s="754">
        <f t="shared" si="40"/>
        <v>99645170428</v>
      </c>
      <c r="Y327" s="754">
        <f t="shared" si="40"/>
        <v>1168039437794</v>
      </c>
      <c r="Z327" s="46">
        <f>Z325+Z326</f>
        <v>1168039437794</v>
      </c>
    </row>
    <row r="328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Z328" s="46">
        <f>'DB Monitoring'!AF1774</f>
        <v>1168039437794</v>
      </c>
      <c r="AA328" s="1346" t="s">
        <v>1859</v>
      </c>
      <c r="AB328" s="1347" t="s">
        <v>1860</v>
      </c>
      <c r="AC328" s="1347" t="s">
        <v>1861</v>
      </c>
      <c r="AD328" s="1347" t="s">
        <v>83</v>
      </c>
      <c r="AE328" s="1347" t="s">
        <v>1862</v>
      </c>
      <c r="AF328" s="1347" t="s">
        <v>1863</v>
      </c>
      <c r="AG328" s="1348" t="s">
        <v>1864</v>
      </c>
      <c r="AH328" s="1349"/>
      <c r="AI328" s="1349"/>
      <c r="AJ328" s="1350"/>
    </row>
    <row r="329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Z329" s="46">
        <f>Z327-Z328</f>
        <v>0</v>
      </c>
      <c r="AB329" s="10"/>
      <c r="AC329" s="10"/>
      <c r="AD329" s="10"/>
      <c r="AE329" s="10"/>
      <c r="AF329" s="10"/>
      <c r="AG329" s="1347" t="s">
        <v>1865</v>
      </c>
      <c r="AH329" s="1347" t="s">
        <v>1866</v>
      </c>
      <c r="AI329" s="1347" t="s">
        <v>1867</v>
      </c>
      <c r="AJ329" s="1347" t="s">
        <v>1868</v>
      </c>
    </row>
    <row r="330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</row>
    <row r="33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AA331" s="1351" t="s">
        <v>135</v>
      </c>
      <c r="AB331" s="1352">
        <v>1.0</v>
      </c>
      <c r="AC331" s="1353" t="s">
        <v>1211</v>
      </c>
      <c r="AD331" s="1354">
        <v>2000.0</v>
      </c>
      <c r="AE331" s="1354">
        <v>1800.0</v>
      </c>
      <c r="AF331" s="1355">
        <v>0.1</v>
      </c>
      <c r="AG331" s="1356"/>
      <c r="AH331" s="1357"/>
      <c r="AI331" s="1357"/>
      <c r="AJ331" s="1357"/>
      <c r="AK331" s="1358"/>
    </row>
    <row r="332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AA332" s="10"/>
      <c r="AB332" s="1352">
        <v>2.0</v>
      </c>
      <c r="AC332" s="1353" t="s">
        <v>1869</v>
      </c>
      <c r="AD332" s="1354">
        <v>50000.0</v>
      </c>
      <c r="AE332" s="1354">
        <v>47500.0</v>
      </c>
      <c r="AF332" s="1355">
        <v>0.05</v>
      </c>
      <c r="AG332" s="1356"/>
      <c r="AH332" s="1357"/>
      <c r="AI332" s="1357"/>
      <c r="AJ332" s="1357"/>
      <c r="AK332" s="1358"/>
    </row>
    <row r="333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AA333" s="10"/>
      <c r="AB333" s="1352">
        <v>3.0</v>
      </c>
      <c r="AC333" s="1353" t="s">
        <v>1870</v>
      </c>
      <c r="AD333" s="1352">
        <v>310.0</v>
      </c>
      <c r="AE333" s="1352">
        <v>295.0</v>
      </c>
      <c r="AF333" s="1355">
        <v>0.05</v>
      </c>
      <c r="AG333" s="1356"/>
      <c r="AH333" s="1356"/>
      <c r="AI333" s="1357"/>
      <c r="AJ333" s="1357"/>
      <c r="AK333" s="1358"/>
    </row>
    <row r="334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AA334" s="10"/>
      <c r="AB334" s="1352">
        <v>4.0</v>
      </c>
      <c r="AC334" s="1353" t="s">
        <v>1871</v>
      </c>
      <c r="AD334" s="1352">
        <v>150.0</v>
      </c>
      <c r="AE334" s="1352">
        <v>143.0</v>
      </c>
      <c r="AF334" s="1355">
        <v>0.05</v>
      </c>
      <c r="AG334" s="1357"/>
      <c r="AH334" s="1357"/>
      <c r="AI334" s="1357"/>
      <c r="AJ334" s="1357"/>
      <c r="AK334" s="1358"/>
    </row>
    <row r="335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AA335" s="10"/>
      <c r="AB335" s="1352">
        <v>5.0</v>
      </c>
      <c r="AC335" s="1359" t="s">
        <v>1872</v>
      </c>
      <c r="AD335" s="1354">
        <v>18000.0</v>
      </c>
      <c r="AE335" s="1354">
        <v>17460.0</v>
      </c>
      <c r="AF335" s="1355">
        <v>0.03</v>
      </c>
      <c r="AG335" s="1356"/>
      <c r="AH335" s="1356"/>
      <c r="AI335" s="1357"/>
      <c r="AJ335" s="1357"/>
      <c r="AK335" s="1358"/>
    </row>
    <row r="336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AA336" s="18"/>
      <c r="AB336" s="1352">
        <v>6.0</v>
      </c>
      <c r="AC336" s="1359" t="s">
        <v>1666</v>
      </c>
      <c r="AD336" s="1354">
        <v>1600.0</v>
      </c>
      <c r="AE336" s="1354">
        <v>1552.0</v>
      </c>
      <c r="AF336" s="1355">
        <v>0.03</v>
      </c>
      <c r="AG336" s="1356"/>
      <c r="AH336" s="1356"/>
      <c r="AI336" s="1356"/>
      <c r="AJ336" s="1357"/>
      <c r="AK336" s="1358"/>
    </row>
    <row r="337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AA337" s="1351"/>
      <c r="AB337" s="1360">
        <v>7.0</v>
      </c>
      <c r="AC337" s="1353" t="s">
        <v>1205</v>
      </c>
      <c r="AD337" s="1354">
        <v>2000.0</v>
      </c>
      <c r="AE337" s="1354">
        <v>1900.0</v>
      </c>
      <c r="AF337" s="1355">
        <v>0.05</v>
      </c>
      <c r="AG337" s="1356"/>
      <c r="AH337" s="1357"/>
      <c r="AI337" s="1357"/>
      <c r="AJ337" s="1357"/>
      <c r="AK337" s="1358"/>
    </row>
    <row r="338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AA338" s="10"/>
      <c r="AB338" s="1352">
        <v>8.0</v>
      </c>
      <c r="AC338" s="1359" t="s">
        <v>1873</v>
      </c>
      <c r="AD338" s="1354">
        <v>4000.0</v>
      </c>
      <c r="AE338" s="1354">
        <v>3720.0</v>
      </c>
      <c r="AF338" s="1355">
        <v>0.07</v>
      </c>
      <c r="AG338" s="1356"/>
      <c r="AH338" s="1357"/>
      <c r="AI338" s="1357"/>
      <c r="AJ338" s="1357"/>
      <c r="AK338" s="1358"/>
    </row>
    <row r="339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AA339" s="1351" t="s">
        <v>84</v>
      </c>
      <c r="AB339" s="1352">
        <v>9.0</v>
      </c>
      <c r="AC339" s="1359" t="s">
        <v>1874</v>
      </c>
      <c r="AD339" s="1354">
        <v>5000.0</v>
      </c>
      <c r="AE339" s="1354">
        <v>4400.0</v>
      </c>
      <c r="AF339" s="1355">
        <v>0.12</v>
      </c>
      <c r="AG339" s="1356"/>
      <c r="AH339" s="1357"/>
      <c r="AI339" s="1356"/>
      <c r="AJ339" s="1356"/>
      <c r="AK339" s="1361"/>
    </row>
    <row r="340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AA340" s="10"/>
      <c r="AB340" s="1352">
        <v>10.0</v>
      </c>
      <c r="AC340" s="1353" t="s">
        <v>1875</v>
      </c>
      <c r="AD340" s="1354">
        <v>50000.0</v>
      </c>
      <c r="AE340" s="1354">
        <v>47500.0</v>
      </c>
      <c r="AF340" s="1355">
        <v>0.05</v>
      </c>
      <c r="AG340" s="1356"/>
      <c r="AH340" s="1357"/>
      <c r="AI340" s="1357"/>
      <c r="AJ340" s="1357"/>
      <c r="AK340" s="1358"/>
    </row>
    <row r="34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AA341" s="10"/>
      <c r="AB341" s="1352">
        <v>11.0</v>
      </c>
      <c r="AC341" s="1359" t="s">
        <v>1201</v>
      </c>
      <c r="AD341" s="1354">
        <v>13500.0</v>
      </c>
      <c r="AE341" s="1354">
        <v>9000.0</v>
      </c>
      <c r="AF341" s="1355">
        <v>0.33</v>
      </c>
      <c r="AG341" s="1356"/>
      <c r="AH341" s="1357"/>
      <c r="AI341" s="1357"/>
      <c r="AJ341" s="1357"/>
      <c r="AK341" s="1358"/>
    </row>
    <row r="342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AA342" s="10"/>
      <c r="AB342" s="1352">
        <v>12.0</v>
      </c>
      <c r="AC342" s="1359" t="s">
        <v>1876</v>
      </c>
      <c r="AD342" s="1354">
        <v>4200.0</v>
      </c>
      <c r="AE342" s="1354">
        <v>3738.0</v>
      </c>
      <c r="AF342" s="1355">
        <v>0.11</v>
      </c>
      <c r="AG342" s="1356"/>
      <c r="AH342" s="1357"/>
      <c r="AI342" s="1357"/>
      <c r="AJ342" s="1357"/>
      <c r="AK342" s="1358"/>
    </row>
    <row r="343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AA343" s="1362" t="s">
        <v>100</v>
      </c>
      <c r="AB343" s="1349"/>
      <c r="AC343" s="1350"/>
      <c r="AD343" s="1363">
        <v>150760.0</v>
      </c>
      <c r="AE343" s="1363">
        <v>139007.0</v>
      </c>
      <c r="AF343" s="1355">
        <v>0.08</v>
      </c>
      <c r="AG343" s="1356"/>
      <c r="AH343" s="1356"/>
      <c r="AI343" s="1356"/>
      <c r="AJ343" s="1356"/>
      <c r="AK343" s="1361"/>
    </row>
    <row r="344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</row>
    <row r="345">
      <c r="C345" s="1270"/>
      <c r="D345" s="1270"/>
      <c r="E345" s="1270"/>
      <c r="F345" s="1251"/>
      <c r="G345" s="1251"/>
      <c r="H345" s="1251"/>
      <c r="I345" s="1251"/>
      <c r="J345" s="1251"/>
      <c r="K345" s="1251"/>
    </row>
    <row r="346">
      <c r="C346" s="1270"/>
      <c r="D346" s="1270"/>
      <c r="E346" s="1270"/>
      <c r="F346" s="1251"/>
      <c r="G346" s="1251"/>
      <c r="H346" s="1251"/>
      <c r="I346" s="1251"/>
      <c r="J346" s="1251"/>
      <c r="K346" s="1251"/>
    </row>
    <row r="347">
      <c r="C347" s="1270"/>
      <c r="D347" s="1270"/>
      <c r="E347" s="1270"/>
      <c r="F347" s="1251"/>
      <c r="G347" s="1251"/>
      <c r="H347" s="1251"/>
      <c r="I347" s="1251"/>
      <c r="J347" s="1251"/>
      <c r="K347" s="1251"/>
    </row>
    <row r="348">
      <c r="C348" s="1270"/>
      <c r="D348" s="1270"/>
      <c r="E348" s="1270"/>
      <c r="F348" s="1251"/>
      <c r="G348" s="1251"/>
      <c r="H348" s="1251"/>
      <c r="I348" s="1251"/>
      <c r="J348" s="1251"/>
      <c r="K348" s="1251"/>
    </row>
    <row r="349">
      <c r="C349" s="1270"/>
      <c r="D349" s="1270"/>
      <c r="E349" s="1270"/>
      <c r="F349" s="1251"/>
      <c r="G349" s="1251"/>
      <c r="H349" s="1251"/>
      <c r="I349" s="1251"/>
      <c r="J349" s="1251"/>
      <c r="K349" s="1251"/>
    </row>
    <row r="350">
      <c r="C350" s="1270"/>
      <c r="D350" s="1270"/>
      <c r="E350" s="1270"/>
      <c r="F350" s="1251"/>
      <c r="G350" s="1251"/>
      <c r="H350" s="1251"/>
      <c r="I350" s="1251"/>
      <c r="J350" s="1251"/>
      <c r="K350" s="1251"/>
    </row>
    <row r="351">
      <c r="C351" s="1270"/>
      <c r="D351" s="1270"/>
      <c r="E351" s="1270"/>
      <c r="F351" s="1251"/>
      <c r="G351" s="1251"/>
      <c r="H351" s="1251"/>
      <c r="I351" s="1251"/>
      <c r="J351" s="1251"/>
      <c r="K351" s="1251"/>
    </row>
    <row r="352">
      <c r="C352" s="1270"/>
      <c r="D352" s="1270"/>
      <c r="E352" s="1270"/>
      <c r="F352" s="1251"/>
      <c r="G352" s="1251"/>
      <c r="H352" s="1251"/>
      <c r="I352" s="1251"/>
      <c r="J352" s="1251"/>
      <c r="K352" s="1251"/>
    </row>
    <row r="353">
      <c r="C353" s="1270"/>
      <c r="D353" s="1270"/>
      <c r="E353" s="1270"/>
      <c r="F353" s="1251"/>
      <c r="G353" s="1251"/>
      <c r="H353" s="1251"/>
      <c r="I353" s="1251"/>
      <c r="J353" s="1251"/>
      <c r="K353" s="1251"/>
    </row>
    <row r="354">
      <c r="C354" s="1270"/>
      <c r="D354" s="1270"/>
      <c r="E354" s="1270"/>
      <c r="F354" s="1251"/>
      <c r="G354" s="1251"/>
      <c r="H354" s="1251"/>
      <c r="I354" s="1251"/>
      <c r="J354" s="1251"/>
      <c r="K354" s="1251"/>
    </row>
    <row r="355">
      <c r="C355" s="1270"/>
      <c r="D355" s="1270"/>
      <c r="E355" s="1270"/>
      <c r="F355" s="1251"/>
      <c r="G355" s="1251"/>
      <c r="H355" s="1251"/>
      <c r="I355" s="1251"/>
      <c r="J355" s="1251"/>
      <c r="K355" s="1251"/>
    </row>
    <row r="356">
      <c r="C356" s="1270"/>
      <c r="D356" s="1270"/>
      <c r="E356" s="1270"/>
      <c r="F356" s="1251"/>
      <c r="G356" s="1251"/>
      <c r="H356" s="1251"/>
      <c r="I356" s="1251"/>
      <c r="J356" s="1251"/>
      <c r="K356" s="1251"/>
    </row>
    <row r="357">
      <c r="C357" s="1270"/>
      <c r="D357" s="1270"/>
      <c r="E357" s="1270"/>
      <c r="F357" s="1251"/>
      <c r="G357" s="1251"/>
      <c r="H357" s="1251"/>
      <c r="I357" s="1251"/>
      <c r="J357" s="1251"/>
      <c r="K357" s="1251"/>
    </row>
    <row r="358">
      <c r="C358" s="1270"/>
      <c r="D358" s="1270"/>
      <c r="E358" s="1270"/>
      <c r="F358" s="1251"/>
      <c r="G358" s="1251"/>
      <c r="H358" s="1251"/>
      <c r="I358" s="1251"/>
      <c r="J358" s="1251"/>
      <c r="K358" s="1251"/>
    </row>
    <row r="359">
      <c r="C359" s="1270"/>
      <c r="D359" s="1270"/>
      <c r="E359" s="1270"/>
      <c r="F359" s="1251"/>
      <c r="G359" s="1251"/>
      <c r="H359" s="1251"/>
      <c r="I359" s="1251"/>
      <c r="J359" s="1251"/>
      <c r="K359" s="1251"/>
    </row>
    <row r="360">
      <c r="C360" s="1270"/>
      <c r="D360" s="1270"/>
      <c r="E360" s="1270"/>
      <c r="F360" s="1251"/>
      <c r="G360" s="1251"/>
      <c r="H360" s="1251"/>
      <c r="I360" s="1251"/>
      <c r="J360" s="1251"/>
      <c r="K360" s="1251"/>
    </row>
    <row r="361">
      <c r="C361" s="1270"/>
      <c r="D361" s="1270"/>
      <c r="E361" s="1270"/>
      <c r="F361" s="1251"/>
      <c r="G361" s="1251"/>
      <c r="H361" s="1251"/>
      <c r="I361" s="1251"/>
      <c r="J361" s="1251"/>
      <c r="K361" s="1251"/>
    </row>
    <row r="362">
      <c r="C362" s="1270"/>
      <c r="D362" s="1270"/>
      <c r="E362" s="1270"/>
      <c r="F362" s="1251"/>
      <c r="G362" s="1251"/>
      <c r="H362" s="1251"/>
      <c r="I362" s="1251"/>
      <c r="J362" s="1251"/>
      <c r="K362" s="1251"/>
    </row>
    <row r="363">
      <c r="C363" s="1270"/>
      <c r="D363" s="1270"/>
      <c r="E363" s="1270"/>
      <c r="F363" s="1251"/>
      <c r="G363" s="1251"/>
      <c r="H363" s="1251"/>
      <c r="I363" s="1251"/>
      <c r="J363" s="1251"/>
      <c r="K363" s="1251"/>
    </row>
    <row r="364">
      <c r="C364" s="1270"/>
      <c r="D364" s="1270"/>
      <c r="E364" s="1270"/>
      <c r="F364" s="1251"/>
      <c r="G364" s="1251"/>
      <c r="H364" s="1251"/>
      <c r="I364" s="1251"/>
      <c r="J364" s="1251"/>
      <c r="K364" s="1251"/>
    </row>
    <row r="365">
      <c r="C365" s="1270"/>
      <c r="D365" s="1270"/>
      <c r="E365" s="1270"/>
      <c r="F365" s="1251"/>
      <c r="G365" s="1251"/>
      <c r="H365" s="1251"/>
      <c r="I365" s="1251"/>
      <c r="J365" s="1251"/>
      <c r="K365" s="1251"/>
    </row>
    <row r="366">
      <c r="C366" s="1270"/>
      <c r="D366" s="1270"/>
      <c r="E366" s="1270"/>
      <c r="F366" s="1251"/>
      <c r="G366" s="1251"/>
      <c r="H366" s="1251"/>
      <c r="I366" s="1251"/>
      <c r="J366" s="1251"/>
      <c r="K366" s="1251"/>
    </row>
    <row r="367">
      <c r="C367" s="1270"/>
      <c r="D367" s="1270"/>
      <c r="E367" s="1270"/>
      <c r="F367" s="1251"/>
      <c r="G367" s="1251"/>
      <c r="H367" s="1251"/>
      <c r="I367" s="1251"/>
      <c r="J367" s="1251"/>
      <c r="K367" s="1251"/>
    </row>
    <row r="368">
      <c r="C368" s="1270"/>
      <c r="D368" s="1270"/>
      <c r="E368" s="1270"/>
      <c r="F368" s="1251"/>
      <c r="G368" s="1251"/>
      <c r="H368" s="1251"/>
      <c r="I368" s="1251"/>
      <c r="J368" s="1251"/>
      <c r="K368" s="1251"/>
    </row>
    <row r="369">
      <c r="C369" s="1270"/>
      <c r="D369" s="1270"/>
      <c r="E369" s="1270"/>
      <c r="F369" s="1251"/>
      <c r="G369" s="1251"/>
      <c r="H369" s="1251"/>
      <c r="I369" s="1251"/>
      <c r="J369" s="1251"/>
      <c r="K369" s="1251"/>
    </row>
    <row r="370">
      <c r="C370" s="1270"/>
      <c r="D370" s="1270"/>
      <c r="E370" s="1270"/>
      <c r="F370" s="1251"/>
      <c r="G370" s="1251"/>
      <c r="H370" s="1251"/>
      <c r="I370" s="1251"/>
      <c r="J370" s="1251"/>
      <c r="K370" s="1251"/>
    </row>
    <row r="371">
      <c r="C371" s="1270"/>
      <c r="D371" s="1270"/>
      <c r="E371" s="1270"/>
      <c r="F371" s="1251"/>
      <c r="G371" s="1251"/>
      <c r="H371" s="1251"/>
      <c r="I371" s="1251"/>
      <c r="J371" s="1251"/>
      <c r="K371" s="1251"/>
    </row>
    <row r="372">
      <c r="C372" s="1270"/>
      <c r="D372" s="1270"/>
      <c r="E372" s="1270"/>
      <c r="F372" s="1251"/>
      <c r="G372" s="1251"/>
      <c r="H372" s="1251"/>
      <c r="I372" s="1251"/>
      <c r="J372" s="1251"/>
      <c r="K372" s="1251"/>
    </row>
    <row r="373">
      <c r="C373" s="1270"/>
      <c r="D373" s="1270"/>
      <c r="E373" s="1270"/>
      <c r="F373" s="1251"/>
      <c r="G373" s="1251"/>
      <c r="H373" s="1251"/>
      <c r="I373" s="1251"/>
      <c r="J373" s="1251"/>
      <c r="K373" s="1251"/>
    </row>
    <row r="374">
      <c r="C374" s="1270"/>
      <c r="D374" s="1270"/>
      <c r="E374" s="1270"/>
      <c r="F374" s="1251"/>
      <c r="G374" s="1251"/>
      <c r="H374" s="1251"/>
      <c r="I374" s="1251"/>
      <c r="J374" s="1251"/>
      <c r="K374" s="1251"/>
    </row>
    <row r="375">
      <c r="C375" s="1270"/>
      <c r="D375" s="1270"/>
      <c r="E375" s="1270"/>
      <c r="F375" s="1251"/>
      <c r="G375" s="1251"/>
      <c r="H375" s="1251"/>
      <c r="I375" s="1251"/>
      <c r="J375" s="1251"/>
      <c r="K375" s="1251"/>
    </row>
    <row r="376">
      <c r="C376" s="1270"/>
      <c r="D376" s="1270"/>
      <c r="E376" s="1270"/>
      <c r="F376" s="1251"/>
      <c r="G376" s="1251"/>
      <c r="H376" s="1251"/>
      <c r="I376" s="1251"/>
      <c r="J376" s="1251"/>
      <c r="K376" s="1251"/>
    </row>
    <row r="377">
      <c r="C377" s="1270"/>
      <c r="D377" s="1270"/>
      <c r="E377" s="1270"/>
      <c r="F377" s="1251"/>
      <c r="G377" s="1251"/>
      <c r="H377" s="1251"/>
      <c r="I377" s="1251"/>
      <c r="J377" s="1251"/>
      <c r="K377" s="1251"/>
    </row>
    <row r="378">
      <c r="C378" s="1270"/>
      <c r="D378" s="1270"/>
      <c r="E378" s="1270"/>
      <c r="F378" s="1251"/>
      <c r="G378" s="1251"/>
      <c r="H378" s="1251"/>
      <c r="I378" s="1251"/>
      <c r="J378" s="1251"/>
      <c r="K378" s="1251"/>
    </row>
    <row r="379">
      <c r="C379" s="1270"/>
      <c r="D379" s="1270"/>
      <c r="E379" s="1270"/>
      <c r="F379" s="1251"/>
      <c r="G379" s="1251"/>
      <c r="H379" s="1251"/>
      <c r="I379" s="1251"/>
      <c r="J379" s="1251"/>
      <c r="K379" s="1251"/>
    </row>
    <row r="380">
      <c r="C380" s="1270"/>
      <c r="D380" s="1270"/>
      <c r="E380" s="1270"/>
      <c r="F380" s="1251"/>
      <c r="G380" s="1251"/>
      <c r="H380" s="1251"/>
      <c r="I380" s="1251"/>
      <c r="J380" s="1251"/>
      <c r="K380" s="1251"/>
    </row>
    <row r="381">
      <c r="C381" s="1270"/>
      <c r="D381" s="1270"/>
      <c r="E381" s="1270"/>
      <c r="F381" s="1251"/>
      <c r="G381" s="1251"/>
      <c r="H381" s="1251"/>
      <c r="I381" s="1251"/>
      <c r="J381" s="1251"/>
      <c r="K381" s="1251"/>
    </row>
    <row r="382">
      <c r="C382" s="1270"/>
      <c r="D382" s="1270"/>
      <c r="E382" s="1270"/>
      <c r="F382" s="1251"/>
      <c r="G382" s="1251"/>
      <c r="H382" s="1251"/>
      <c r="I382" s="1251"/>
      <c r="J382" s="1251"/>
      <c r="K382" s="1251"/>
    </row>
    <row r="383">
      <c r="C383" s="1270"/>
      <c r="D383" s="1270"/>
      <c r="E383" s="1270"/>
      <c r="F383" s="1251"/>
      <c r="G383" s="1251"/>
      <c r="H383" s="1251"/>
      <c r="I383" s="1251"/>
      <c r="J383" s="1251"/>
      <c r="K383" s="1251"/>
    </row>
    <row r="384">
      <c r="C384" s="1270"/>
      <c r="D384" s="1270"/>
      <c r="E384" s="1270"/>
      <c r="F384" s="1251"/>
      <c r="G384" s="1251"/>
      <c r="H384" s="1251"/>
      <c r="I384" s="1251"/>
      <c r="J384" s="1251"/>
      <c r="K384" s="1251"/>
    </row>
    <row r="385">
      <c r="C385" s="1270"/>
      <c r="D385" s="1270"/>
      <c r="E385" s="1270"/>
      <c r="F385" s="1251"/>
      <c r="G385" s="1251"/>
      <c r="H385" s="1251"/>
      <c r="I385" s="1251"/>
      <c r="J385" s="1251"/>
      <c r="K385" s="1251"/>
    </row>
    <row r="386">
      <c r="C386" s="1270"/>
      <c r="D386" s="1270"/>
      <c r="E386" s="1270"/>
      <c r="F386" s="1251"/>
      <c r="G386" s="1251"/>
      <c r="H386" s="1251"/>
      <c r="I386" s="1251"/>
      <c r="J386" s="1251"/>
      <c r="K386" s="1251"/>
    </row>
    <row r="387">
      <c r="C387" s="1270"/>
      <c r="D387" s="1270"/>
      <c r="E387" s="1270"/>
      <c r="F387" s="1251"/>
      <c r="G387" s="1251"/>
      <c r="H387" s="1251"/>
      <c r="I387" s="1251"/>
      <c r="J387" s="1251"/>
      <c r="K387" s="1251"/>
    </row>
    <row r="388">
      <c r="C388" s="1270"/>
      <c r="D388" s="1270"/>
      <c r="E388" s="1270"/>
      <c r="F388" s="1251"/>
      <c r="G388" s="1251"/>
      <c r="H388" s="1251"/>
      <c r="I388" s="1251"/>
      <c r="J388" s="1251"/>
      <c r="K388" s="1251"/>
    </row>
    <row r="389">
      <c r="C389" s="1270"/>
      <c r="D389" s="1270"/>
      <c r="E389" s="1270"/>
      <c r="F389" s="1251"/>
      <c r="G389" s="1251"/>
      <c r="H389" s="1251"/>
      <c r="I389" s="1251"/>
      <c r="J389" s="1251"/>
      <c r="K389" s="1251"/>
    </row>
    <row r="390">
      <c r="C390" s="1270"/>
      <c r="D390" s="1270"/>
      <c r="E390" s="1270"/>
      <c r="F390" s="1251"/>
      <c r="G390" s="1251"/>
      <c r="H390" s="1251"/>
      <c r="I390" s="1251"/>
      <c r="J390" s="1251"/>
      <c r="K390" s="1251"/>
    </row>
    <row r="391">
      <c r="C391" s="1270"/>
      <c r="D391" s="1270"/>
      <c r="E391" s="1270"/>
      <c r="F391" s="1251"/>
      <c r="G391" s="1251"/>
      <c r="H391" s="1251"/>
      <c r="I391" s="1251"/>
      <c r="J391" s="1251"/>
      <c r="K391" s="1251"/>
    </row>
    <row r="392">
      <c r="C392" s="1270"/>
      <c r="D392" s="1270"/>
      <c r="E392" s="1270"/>
      <c r="F392" s="1251"/>
      <c r="G392" s="1251"/>
      <c r="H392" s="1251"/>
      <c r="I392" s="1251"/>
      <c r="J392" s="1251"/>
      <c r="K392" s="1251"/>
    </row>
    <row r="393">
      <c r="C393" s="1270"/>
      <c r="D393" s="1270"/>
      <c r="E393" s="1270"/>
      <c r="F393" s="1251"/>
      <c r="G393" s="1251"/>
      <c r="H393" s="1251"/>
      <c r="I393" s="1251"/>
      <c r="J393" s="1251"/>
      <c r="K393" s="1251"/>
    </row>
    <row r="394">
      <c r="C394" s="1270"/>
      <c r="D394" s="1270"/>
      <c r="E394" s="1270"/>
      <c r="F394" s="1251"/>
      <c r="G394" s="1251"/>
      <c r="H394" s="1251"/>
      <c r="I394" s="1251"/>
      <c r="J394" s="1251"/>
      <c r="K394" s="1251"/>
    </row>
    <row r="395">
      <c r="C395" s="1270"/>
      <c r="D395" s="1270"/>
      <c r="E395" s="1270"/>
      <c r="F395" s="1251"/>
      <c r="G395" s="1251"/>
      <c r="H395" s="1251"/>
      <c r="I395" s="1251"/>
      <c r="J395" s="1251"/>
      <c r="K395" s="1251"/>
    </row>
    <row r="396">
      <c r="C396" s="1270"/>
      <c r="D396" s="1270"/>
      <c r="E396" s="1270"/>
      <c r="F396" s="1251"/>
      <c r="G396" s="1251"/>
      <c r="H396" s="1251"/>
      <c r="I396" s="1251"/>
      <c r="J396" s="1251"/>
      <c r="K396" s="1251"/>
    </row>
    <row r="397">
      <c r="C397" s="1270"/>
      <c r="D397" s="1270"/>
      <c r="E397" s="1270"/>
      <c r="F397" s="1251"/>
      <c r="G397" s="1251"/>
      <c r="H397" s="1251"/>
      <c r="I397" s="1251"/>
      <c r="J397" s="1251"/>
      <c r="K397" s="1251"/>
    </row>
    <row r="398">
      <c r="C398" s="1270"/>
      <c r="D398" s="1270"/>
      <c r="E398" s="1270"/>
      <c r="F398" s="1251"/>
      <c r="G398" s="1251"/>
      <c r="H398" s="1251"/>
      <c r="I398" s="1251"/>
      <c r="J398" s="1251"/>
      <c r="K398" s="1251"/>
    </row>
    <row r="399">
      <c r="C399" s="1270"/>
      <c r="D399" s="1270"/>
      <c r="E399" s="1270"/>
      <c r="F399" s="1251"/>
      <c r="G399" s="1251"/>
      <c r="H399" s="1251"/>
      <c r="I399" s="1251"/>
      <c r="J399" s="1251"/>
      <c r="K399" s="1251"/>
    </row>
    <row r="400">
      <c r="C400" s="1270"/>
      <c r="D400" s="1270"/>
      <c r="E400" s="1270"/>
      <c r="F400" s="1251"/>
      <c r="G400" s="1251"/>
      <c r="H400" s="1251"/>
      <c r="I400" s="1251"/>
      <c r="J400" s="1251"/>
      <c r="K400" s="1251"/>
    </row>
    <row r="401">
      <c r="C401" s="1270"/>
      <c r="D401" s="1270"/>
      <c r="E401" s="1270"/>
      <c r="F401" s="1251"/>
      <c r="G401" s="1251"/>
      <c r="H401" s="1251"/>
      <c r="I401" s="1251"/>
      <c r="J401" s="1251"/>
      <c r="K401" s="1251"/>
    </row>
    <row r="402">
      <c r="C402" s="1270"/>
      <c r="D402" s="1270"/>
      <c r="E402" s="1270"/>
      <c r="F402" s="1251"/>
      <c r="G402" s="1251"/>
      <c r="H402" s="1251"/>
      <c r="I402" s="1251"/>
      <c r="J402" s="1251"/>
      <c r="K402" s="1251"/>
    </row>
    <row r="403">
      <c r="C403" s="1270"/>
      <c r="D403" s="1270"/>
      <c r="E403" s="1270"/>
      <c r="F403" s="1251"/>
      <c r="G403" s="1251"/>
      <c r="H403" s="1251"/>
      <c r="I403" s="1251"/>
      <c r="J403" s="1251"/>
      <c r="K403" s="1251"/>
    </row>
    <row r="404">
      <c r="C404" s="1270"/>
      <c r="D404" s="1270"/>
      <c r="E404" s="1270"/>
      <c r="F404" s="1251"/>
      <c r="G404" s="1251"/>
      <c r="H404" s="1251"/>
      <c r="I404" s="1251"/>
      <c r="J404" s="1251"/>
      <c r="K404" s="1251"/>
    </row>
    <row r="405">
      <c r="C405" s="1270"/>
      <c r="D405" s="1270"/>
      <c r="E405" s="1270"/>
      <c r="F405" s="1251"/>
      <c r="G405" s="1251"/>
      <c r="H405" s="1251"/>
      <c r="I405" s="1251"/>
      <c r="J405" s="1251"/>
      <c r="K405" s="1251"/>
    </row>
    <row r="406">
      <c r="C406" s="1270"/>
      <c r="D406" s="1270"/>
      <c r="E406" s="1270"/>
      <c r="F406" s="1251"/>
      <c r="G406" s="1251"/>
      <c r="H406" s="1251"/>
      <c r="I406" s="1251"/>
      <c r="J406" s="1251"/>
      <c r="K406" s="1251"/>
    </row>
    <row r="407">
      <c r="C407" s="1270"/>
      <c r="D407" s="1270"/>
      <c r="E407" s="1270"/>
      <c r="F407" s="1251"/>
      <c r="G407" s="1251"/>
      <c r="H407" s="1251"/>
      <c r="I407" s="1251"/>
      <c r="J407" s="1251"/>
      <c r="K407" s="1251"/>
    </row>
    <row r="408">
      <c r="C408" s="1270"/>
      <c r="D408" s="1270"/>
      <c r="E408" s="1270"/>
      <c r="F408" s="1251"/>
      <c r="G408" s="1251"/>
      <c r="H408" s="1251"/>
      <c r="I408" s="1251"/>
      <c r="J408" s="1251"/>
      <c r="K408" s="1251"/>
    </row>
    <row r="409">
      <c r="C409" s="1270"/>
      <c r="D409" s="1270"/>
      <c r="E409" s="1270"/>
      <c r="F409" s="1251"/>
      <c r="G409" s="1251"/>
      <c r="H409" s="1251"/>
      <c r="I409" s="1251"/>
      <c r="J409" s="1251"/>
      <c r="K409" s="1251"/>
    </row>
    <row r="410">
      <c r="C410" s="1270"/>
      <c r="D410" s="1270"/>
      <c r="E410" s="1270"/>
      <c r="F410" s="1251"/>
      <c r="G410" s="1251"/>
      <c r="H410" s="1251"/>
      <c r="I410" s="1251"/>
      <c r="J410" s="1251"/>
      <c r="K410" s="1251"/>
    </row>
    <row r="411">
      <c r="C411" s="1270"/>
      <c r="D411" s="1270"/>
      <c r="E411" s="1270"/>
      <c r="F411" s="1251"/>
      <c r="G411" s="1251"/>
      <c r="H411" s="1251"/>
      <c r="I411" s="1251"/>
      <c r="J411" s="1251"/>
      <c r="K411" s="1251"/>
    </row>
    <row r="412">
      <c r="C412" s="1270"/>
      <c r="D412" s="1270"/>
      <c r="E412" s="1270"/>
      <c r="F412" s="1251"/>
      <c r="G412" s="1251"/>
      <c r="H412" s="1251"/>
      <c r="I412" s="1251"/>
      <c r="J412" s="1251"/>
      <c r="K412" s="1251"/>
    </row>
    <row r="413">
      <c r="C413" s="1270"/>
      <c r="D413" s="1270"/>
      <c r="E413" s="1270"/>
      <c r="F413" s="1251"/>
      <c r="G413" s="1251"/>
      <c r="H413" s="1251"/>
      <c r="I413" s="1251"/>
      <c r="J413" s="1251"/>
      <c r="K413" s="1251"/>
    </row>
    <row r="414">
      <c r="C414" s="1270"/>
      <c r="D414" s="1270"/>
      <c r="E414" s="1270"/>
      <c r="F414" s="1251"/>
      <c r="G414" s="1251"/>
      <c r="H414" s="1251"/>
      <c r="I414" s="1251"/>
      <c r="J414" s="1251"/>
      <c r="K414" s="1251"/>
    </row>
    <row r="415">
      <c r="C415" s="1270"/>
      <c r="D415" s="1270"/>
      <c r="E415" s="1270"/>
      <c r="F415" s="1251"/>
      <c r="G415" s="1251"/>
      <c r="H415" s="1251"/>
      <c r="I415" s="1251"/>
      <c r="J415" s="1251"/>
      <c r="K415" s="1251"/>
    </row>
    <row r="416">
      <c r="C416" s="1270"/>
      <c r="D416" s="1270"/>
      <c r="E416" s="1270"/>
      <c r="F416" s="1251"/>
      <c r="G416" s="1251"/>
      <c r="H416" s="1251"/>
      <c r="I416" s="1251"/>
      <c r="J416" s="1251"/>
      <c r="K416" s="1251"/>
    </row>
    <row r="417">
      <c r="C417" s="1270"/>
      <c r="D417" s="1270"/>
      <c r="E417" s="1270"/>
      <c r="F417" s="1251"/>
      <c r="G417" s="1251"/>
      <c r="H417" s="1251"/>
      <c r="I417" s="1251"/>
      <c r="J417" s="1251"/>
      <c r="K417" s="1251"/>
    </row>
    <row r="418">
      <c r="C418" s="1270"/>
      <c r="D418" s="1270"/>
      <c r="E418" s="1270"/>
      <c r="F418" s="1251"/>
      <c r="G418" s="1251"/>
      <c r="H418" s="1251"/>
      <c r="I418" s="1251"/>
      <c r="J418" s="1251"/>
      <c r="K418" s="1251"/>
    </row>
    <row r="419">
      <c r="C419" s="1270"/>
      <c r="D419" s="1270"/>
      <c r="E419" s="1270"/>
      <c r="F419" s="1251"/>
      <c r="G419" s="1251"/>
      <c r="H419" s="1251"/>
      <c r="I419" s="1251"/>
      <c r="J419" s="1251"/>
      <c r="K419" s="1251"/>
    </row>
    <row r="420">
      <c r="C420" s="1270"/>
      <c r="D420" s="1270"/>
      <c r="E420" s="1270"/>
      <c r="F420" s="1251"/>
      <c r="G420" s="1251"/>
      <c r="H420" s="1251"/>
      <c r="I420" s="1251"/>
      <c r="J420" s="1251"/>
      <c r="K420" s="1251"/>
    </row>
    <row r="421">
      <c r="C421" s="1270"/>
      <c r="D421" s="1270"/>
      <c r="E421" s="1270"/>
      <c r="F421" s="1251"/>
      <c r="G421" s="1251"/>
      <c r="H421" s="1251"/>
      <c r="I421" s="1251"/>
      <c r="J421" s="1251"/>
      <c r="K421" s="1251"/>
    </row>
    <row r="422">
      <c r="C422" s="1270"/>
      <c r="D422" s="1270"/>
      <c r="E422" s="1270"/>
      <c r="F422" s="1251"/>
      <c r="G422" s="1251"/>
      <c r="H422" s="1251"/>
      <c r="I422" s="1251"/>
      <c r="J422" s="1251"/>
      <c r="K422" s="1251"/>
    </row>
    <row r="423">
      <c r="C423" s="1270"/>
      <c r="D423" s="1270"/>
      <c r="E423" s="1270"/>
      <c r="F423" s="1251"/>
      <c r="G423" s="1251"/>
      <c r="H423" s="1251"/>
      <c r="I423" s="1251"/>
      <c r="J423" s="1251"/>
      <c r="K423" s="1251"/>
    </row>
    <row r="424">
      <c r="C424" s="1270"/>
      <c r="D424" s="1270"/>
      <c r="E424" s="1270"/>
      <c r="F424" s="1251"/>
      <c r="G424" s="1251"/>
      <c r="H424" s="1251"/>
      <c r="I424" s="1251"/>
      <c r="J424" s="1251"/>
      <c r="K424" s="1251"/>
    </row>
    <row r="425">
      <c r="C425" s="1270"/>
      <c r="D425" s="1270"/>
      <c r="E425" s="1270"/>
      <c r="F425" s="1251"/>
      <c r="G425" s="1251"/>
      <c r="H425" s="1251"/>
      <c r="I425" s="1251"/>
      <c r="J425" s="1251"/>
      <c r="K425" s="1251"/>
    </row>
    <row r="426">
      <c r="C426" s="1270"/>
      <c r="D426" s="1270"/>
      <c r="E426" s="1270"/>
      <c r="F426" s="1251"/>
      <c r="G426" s="1251"/>
      <c r="H426" s="1251"/>
      <c r="I426" s="1251"/>
      <c r="J426" s="1251"/>
      <c r="K426" s="1251"/>
    </row>
    <row r="427">
      <c r="C427" s="1270"/>
      <c r="D427" s="1270"/>
      <c r="E427" s="1270"/>
      <c r="F427" s="1251"/>
      <c r="G427" s="1251"/>
      <c r="H427" s="1251"/>
      <c r="I427" s="1251"/>
      <c r="J427" s="1251"/>
      <c r="K427" s="1251"/>
    </row>
    <row r="428">
      <c r="C428" s="1270"/>
      <c r="D428" s="1270"/>
      <c r="E428" s="1270"/>
      <c r="F428" s="1251"/>
      <c r="G428" s="1251"/>
      <c r="H428" s="1251"/>
      <c r="I428" s="1251"/>
      <c r="J428" s="1251"/>
      <c r="K428" s="1251"/>
    </row>
    <row r="429">
      <c r="C429" s="1270"/>
      <c r="D429" s="1270"/>
      <c r="E429" s="1270"/>
      <c r="F429" s="1251"/>
      <c r="G429" s="1251"/>
      <c r="H429" s="1251"/>
      <c r="I429" s="1251"/>
      <c r="J429" s="1251"/>
      <c r="K429" s="1251"/>
    </row>
    <row r="430">
      <c r="C430" s="1270"/>
      <c r="D430" s="1270"/>
      <c r="E430" s="1270"/>
      <c r="F430" s="1251"/>
      <c r="G430" s="1251"/>
      <c r="H430" s="1251"/>
      <c r="I430" s="1251"/>
      <c r="J430" s="1251"/>
      <c r="K430" s="1251"/>
    </row>
    <row r="431">
      <c r="C431" s="1270"/>
      <c r="D431" s="1270"/>
      <c r="E431" s="1270"/>
      <c r="F431" s="1251"/>
      <c r="G431" s="1251"/>
      <c r="H431" s="1251"/>
      <c r="I431" s="1251"/>
      <c r="J431" s="1251"/>
      <c r="K431" s="1251"/>
    </row>
    <row r="432">
      <c r="C432" s="1270"/>
      <c r="D432" s="1270"/>
      <c r="E432" s="1270"/>
      <c r="F432" s="1251"/>
      <c r="G432" s="1251"/>
      <c r="H432" s="1251"/>
      <c r="I432" s="1251"/>
      <c r="J432" s="1251"/>
      <c r="K432" s="1251"/>
    </row>
    <row r="433">
      <c r="C433" s="1270"/>
      <c r="D433" s="1270"/>
      <c r="E433" s="1270"/>
      <c r="F433" s="1251"/>
      <c r="G433" s="1251"/>
      <c r="H433" s="1251"/>
      <c r="I433" s="1251"/>
      <c r="J433" s="1251"/>
      <c r="K433" s="1251"/>
    </row>
    <row r="434">
      <c r="C434" s="1270"/>
      <c r="D434" s="1270"/>
      <c r="E434" s="1270"/>
      <c r="F434" s="1251"/>
      <c r="G434" s="1251"/>
      <c r="H434" s="1251"/>
      <c r="I434" s="1251"/>
      <c r="J434" s="1251"/>
      <c r="K434" s="1251"/>
    </row>
    <row r="435">
      <c r="C435" s="1270"/>
      <c r="D435" s="1270"/>
      <c r="E435" s="1270"/>
      <c r="F435" s="1251"/>
      <c r="G435" s="1251"/>
      <c r="H435" s="1251"/>
      <c r="I435" s="1251"/>
      <c r="J435" s="1251"/>
      <c r="K435" s="1251"/>
    </row>
    <row r="436">
      <c r="C436" s="1270"/>
      <c r="D436" s="1270"/>
      <c r="E436" s="1270"/>
      <c r="F436" s="1251"/>
      <c r="G436" s="1251"/>
      <c r="H436" s="1251"/>
      <c r="I436" s="1251"/>
      <c r="J436" s="1251"/>
      <c r="K436" s="1251"/>
    </row>
    <row r="437">
      <c r="C437" s="1270"/>
      <c r="D437" s="1270"/>
      <c r="E437" s="1270"/>
      <c r="F437" s="1251"/>
      <c r="G437" s="1251"/>
      <c r="H437" s="1251"/>
      <c r="I437" s="1251"/>
      <c r="J437" s="1251"/>
      <c r="K437" s="1251"/>
    </row>
    <row r="438">
      <c r="C438" s="1270"/>
      <c r="D438" s="1270"/>
      <c r="E438" s="1270"/>
      <c r="F438" s="1251"/>
      <c r="G438" s="1251"/>
      <c r="H438" s="1251"/>
      <c r="I438" s="1251"/>
      <c r="J438" s="1251"/>
      <c r="K438" s="1251"/>
    </row>
    <row r="439">
      <c r="C439" s="1270"/>
      <c r="D439" s="1270"/>
      <c r="E439" s="1270"/>
      <c r="F439" s="1251"/>
      <c r="G439" s="1251"/>
      <c r="H439" s="1251"/>
      <c r="I439" s="1251"/>
      <c r="J439" s="1251"/>
      <c r="K439" s="1251"/>
    </row>
    <row r="440">
      <c r="C440" s="1270"/>
      <c r="D440" s="1270"/>
      <c r="E440" s="1270"/>
      <c r="F440" s="1251"/>
      <c r="G440" s="1251"/>
      <c r="H440" s="1251"/>
      <c r="I440" s="1251"/>
      <c r="J440" s="1251"/>
      <c r="K440" s="1251"/>
    </row>
    <row r="441">
      <c r="C441" s="1270"/>
      <c r="D441" s="1270"/>
      <c r="E441" s="1270"/>
      <c r="F441" s="1251"/>
      <c r="G441" s="1251"/>
      <c r="H441" s="1251"/>
      <c r="I441" s="1251"/>
      <c r="J441" s="1251"/>
      <c r="K441" s="1251"/>
    </row>
    <row r="442">
      <c r="C442" s="1270"/>
      <c r="D442" s="1270"/>
      <c r="E442" s="1270"/>
      <c r="F442" s="1251"/>
      <c r="G442" s="1251"/>
      <c r="H442" s="1251"/>
      <c r="I442" s="1251"/>
      <c r="J442" s="1251"/>
      <c r="K442" s="1251"/>
    </row>
    <row r="443">
      <c r="C443" s="1270"/>
      <c r="D443" s="1270"/>
      <c r="E443" s="1270"/>
      <c r="F443" s="1251"/>
      <c r="G443" s="1251"/>
      <c r="H443" s="1251"/>
      <c r="I443" s="1251"/>
      <c r="J443" s="1251"/>
      <c r="K443" s="1251"/>
    </row>
    <row r="444">
      <c r="C444" s="1270"/>
      <c r="D444" s="1270"/>
      <c r="E444" s="1270"/>
      <c r="F444" s="1251"/>
      <c r="G444" s="1251"/>
      <c r="H444" s="1251"/>
      <c r="I444" s="1251"/>
      <c r="J444" s="1251"/>
      <c r="K444" s="1251"/>
    </row>
    <row r="445">
      <c r="C445" s="1270"/>
      <c r="D445" s="1270"/>
      <c r="E445" s="1270"/>
      <c r="F445" s="1251"/>
      <c r="G445" s="1251"/>
      <c r="H445" s="1251"/>
      <c r="I445" s="1251"/>
      <c r="J445" s="1251"/>
      <c r="K445" s="1251"/>
    </row>
    <row r="446">
      <c r="C446" s="1270"/>
      <c r="D446" s="1270"/>
      <c r="E446" s="1270"/>
      <c r="F446" s="1251"/>
      <c r="G446" s="1251"/>
      <c r="H446" s="1251"/>
      <c r="I446" s="1251"/>
      <c r="J446" s="1251"/>
      <c r="K446" s="1251"/>
    </row>
    <row r="447">
      <c r="C447" s="1270"/>
      <c r="D447" s="1270"/>
      <c r="E447" s="1270"/>
      <c r="F447" s="1251"/>
      <c r="G447" s="1251"/>
      <c r="H447" s="1251"/>
      <c r="I447" s="1251"/>
      <c r="J447" s="1251"/>
      <c r="K447" s="1251"/>
    </row>
    <row r="448">
      <c r="C448" s="1270"/>
      <c r="D448" s="1270"/>
      <c r="E448" s="1270"/>
      <c r="F448" s="1251"/>
      <c r="G448" s="1251"/>
      <c r="H448" s="1251"/>
      <c r="I448" s="1251"/>
      <c r="J448" s="1251"/>
      <c r="K448" s="1251"/>
    </row>
    <row r="449">
      <c r="C449" s="1270"/>
      <c r="D449" s="1270"/>
      <c r="E449" s="1270"/>
      <c r="F449" s="1251"/>
      <c r="G449" s="1251"/>
      <c r="H449" s="1251"/>
      <c r="I449" s="1251"/>
      <c r="J449" s="1251"/>
      <c r="K449" s="1251"/>
    </row>
    <row r="450">
      <c r="C450" s="1270"/>
      <c r="D450" s="1270"/>
      <c r="E450" s="1270"/>
      <c r="F450" s="1251"/>
      <c r="G450" s="1251"/>
      <c r="H450" s="1251"/>
      <c r="I450" s="1251"/>
      <c r="J450" s="1251"/>
      <c r="K450" s="1251"/>
    </row>
    <row r="451">
      <c r="C451" s="1270"/>
      <c r="D451" s="1270"/>
      <c r="E451" s="1270"/>
      <c r="F451" s="1251"/>
      <c r="G451" s="1251"/>
      <c r="H451" s="1251"/>
      <c r="I451" s="1251"/>
      <c r="J451" s="1251"/>
      <c r="K451" s="1251"/>
    </row>
    <row r="452">
      <c r="C452" s="1270"/>
      <c r="D452" s="1270"/>
      <c r="E452" s="1270"/>
      <c r="F452" s="1251"/>
      <c r="G452" s="1251"/>
      <c r="H452" s="1251"/>
      <c r="I452" s="1251"/>
      <c r="J452" s="1251"/>
      <c r="K452" s="1251"/>
    </row>
    <row r="453">
      <c r="C453" s="1270"/>
      <c r="D453" s="1270"/>
      <c r="E453" s="1270"/>
      <c r="F453" s="1251"/>
      <c r="G453" s="1251"/>
      <c r="H453" s="1251"/>
      <c r="I453" s="1251"/>
      <c r="J453" s="1251"/>
      <c r="K453" s="1251"/>
    </row>
    <row r="454">
      <c r="C454" s="1270"/>
      <c r="D454" s="1270"/>
      <c r="E454" s="1270"/>
      <c r="F454" s="1251"/>
      <c r="G454" s="1251"/>
      <c r="H454" s="1251"/>
      <c r="I454" s="1251"/>
      <c r="J454" s="1251"/>
      <c r="K454" s="1251"/>
    </row>
    <row r="455">
      <c r="C455" s="1270"/>
      <c r="D455" s="1270"/>
      <c r="E455" s="1270"/>
      <c r="F455" s="1251"/>
      <c r="G455" s="1251"/>
      <c r="H455" s="1251"/>
      <c r="I455" s="1251"/>
      <c r="J455" s="1251"/>
      <c r="K455" s="1251"/>
    </row>
    <row r="456">
      <c r="C456" s="1270"/>
      <c r="D456" s="1270"/>
      <c r="E456" s="1270"/>
      <c r="F456" s="1251"/>
      <c r="G456" s="1251"/>
      <c r="H456" s="1251"/>
      <c r="I456" s="1251"/>
      <c r="J456" s="1251"/>
      <c r="K456" s="1251"/>
    </row>
    <row r="457">
      <c r="C457" s="1270"/>
      <c r="D457" s="1270"/>
      <c r="E457" s="1270"/>
      <c r="F457" s="1251"/>
      <c r="G457" s="1251"/>
      <c r="H457" s="1251"/>
      <c r="I457" s="1251"/>
      <c r="J457" s="1251"/>
      <c r="K457" s="1251"/>
    </row>
    <row r="458">
      <c r="C458" s="1270"/>
      <c r="D458" s="1270"/>
      <c r="E458" s="1270"/>
      <c r="F458" s="1251"/>
      <c r="G458" s="1251"/>
      <c r="H458" s="1251"/>
      <c r="I458" s="1251"/>
      <c r="J458" s="1251"/>
      <c r="K458" s="1251"/>
    </row>
    <row r="459">
      <c r="C459" s="1270"/>
      <c r="D459" s="1270"/>
      <c r="E459" s="1270"/>
      <c r="F459" s="1251"/>
      <c r="G459" s="1251"/>
      <c r="H459" s="1251"/>
      <c r="I459" s="1251"/>
      <c r="J459" s="1251"/>
      <c r="K459" s="1251"/>
    </row>
    <row r="460">
      <c r="C460" s="1270"/>
      <c r="D460" s="1270"/>
      <c r="E460" s="1270"/>
      <c r="F460" s="1251"/>
      <c r="G460" s="1251"/>
      <c r="H460" s="1251"/>
      <c r="I460" s="1251"/>
      <c r="J460" s="1251"/>
      <c r="K460" s="1251"/>
    </row>
    <row r="461">
      <c r="C461" s="1270"/>
      <c r="D461" s="1270"/>
      <c r="E461" s="1270"/>
      <c r="F461" s="1251"/>
      <c r="G461" s="1251"/>
      <c r="H461" s="1251"/>
      <c r="I461" s="1251"/>
      <c r="J461" s="1251"/>
      <c r="K461" s="1251"/>
    </row>
    <row r="462">
      <c r="C462" s="1270"/>
      <c r="D462" s="1270"/>
      <c r="E462" s="1270"/>
      <c r="F462" s="1251"/>
      <c r="G462" s="1251"/>
      <c r="H462" s="1251"/>
      <c r="I462" s="1251"/>
      <c r="J462" s="1251"/>
      <c r="K462" s="1251"/>
    </row>
    <row r="463">
      <c r="C463" s="1270"/>
      <c r="D463" s="1270"/>
      <c r="E463" s="1270"/>
      <c r="F463" s="1251"/>
      <c r="G463" s="1251"/>
      <c r="H463" s="1251"/>
      <c r="I463" s="1251"/>
      <c r="J463" s="1251"/>
      <c r="K463" s="1251"/>
    </row>
    <row r="464">
      <c r="C464" s="1270"/>
      <c r="D464" s="1270"/>
      <c r="E464" s="1270"/>
      <c r="F464" s="1251"/>
      <c r="G464" s="1251"/>
      <c r="H464" s="1251"/>
      <c r="I464" s="1251"/>
      <c r="J464" s="1251"/>
      <c r="K464" s="1251"/>
    </row>
    <row r="465">
      <c r="C465" s="1270"/>
      <c r="D465" s="1270"/>
      <c r="E465" s="1270"/>
      <c r="F465" s="1251"/>
      <c r="G465" s="1251"/>
      <c r="H465" s="1251"/>
      <c r="I465" s="1251"/>
      <c r="J465" s="1251"/>
      <c r="K465" s="1251"/>
    </row>
    <row r="466">
      <c r="C466" s="1270"/>
      <c r="D466" s="1270"/>
      <c r="E466" s="1270"/>
      <c r="F466" s="1251"/>
      <c r="G466" s="1251"/>
      <c r="H466" s="1251"/>
      <c r="I466" s="1251"/>
      <c r="J466" s="1251"/>
      <c r="K466" s="1251"/>
    </row>
    <row r="467">
      <c r="C467" s="1270"/>
      <c r="D467" s="1270"/>
      <c r="E467" s="1270"/>
      <c r="F467" s="1251"/>
      <c r="G467" s="1251"/>
      <c r="H467" s="1251"/>
      <c r="I467" s="1251"/>
      <c r="J467" s="1251"/>
      <c r="K467" s="1251"/>
    </row>
    <row r="468">
      <c r="C468" s="1270"/>
      <c r="D468" s="1270"/>
      <c r="E468" s="1270"/>
      <c r="F468" s="1251"/>
      <c r="G468" s="1251"/>
      <c r="H468" s="1251"/>
      <c r="I468" s="1251"/>
      <c r="J468" s="1251"/>
      <c r="K468" s="1251"/>
    </row>
    <row r="469">
      <c r="C469" s="1270"/>
      <c r="D469" s="1270"/>
      <c r="E469" s="1270"/>
      <c r="F469" s="1251"/>
      <c r="G469" s="1251"/>
      <c r="H469" s="1251"/>
      <c r="I469" s="1251"/>
      <c r="J469" s="1251"/>
      <c r="K469" s="1251"/>
    </row>
    <row r="470">
      <c r="C470" s="1270"/>
      <c r="D470" s="1270"/>
      <c r="E470" s="1270"/>
      <c r="F470" s="1251"/>
      <c r="G470" s="1251"/>
      <c r="H470" s="1251"/>
      <c r="I470" s="1251"/>
      <c r="J470" s="1251"/>
      <c r="K470" s="1251"/>
    </row>
    <row r="471">
      <c r="C471" s="1270"/>
      <c r="D471" s="1270"/>
      <c r="E471" s="1270"/>
      <c r="F471" s="1251"/>
      <c r="G471" s="1251"/>
      <c r="H471" s="1251"/>
      <c r="I471" s="1251"/>
      <c r="J471" s="1251"/>
      <c r="K471" s="1251"/>
    </row>
    <row r="472">
      <c r="C472" s="1270"/>
      <c r="D472" s="1270"/>
      <c r="E472" s="1270"/>
      <c r="F472" s="1251"/>
      <c r="G472" s="1251"/>
      <c r="H472" s="1251"/>
      <c r="I472" s="1251"/>
      <c r="J472" s="1251"/>
      <c r="K472" s="1251"/>
    </row>
    <row r="473">
      <c r="C473" s="1270"/>
      <c r="D473" s="1270"/>
      <c r="E473" s="1270"/>
      <c r="F473" s="1251"/>
      <c r="G473" s="1251"/>
      <c r="H473" s="1251"/>
      <c r="I473" s="1251"/>
      <c r="J473" s="1251"/>
      <c r="K473" s="1251"/>
    </row>
    <row r="474">
      <c r="C474" s="1270"/>
      <c r="D474" s="1270"/>
      <c r="E474" s="1270"/>
      <c r="F474" s="1251"/>
      <c r="G474" s="1251"/>
      <c r="H474" s="1251"/>
      <c r="I474" s="1251"/>
      <c r="J474" s="1251"/>
      <c r="K474" s="1251"/>
    </row>
    <row r="475">
      <c r="C475" s="1270"/>
      <c r="D475" s="1270"/>
      <c r="E475" s="1270"/>
      <c r="F475" s="1251"/>
      <c r="G475" s="1251"/>
      <c r="H475" s="1251"/>
      <c r="I475" s="1251"/>
      <c r="J475" s="1251"/>
      <c r="K475" s="1251"/>
    </row>
    <row r="476">
      <c r="C476" s="1270"/>
      <c r="D476" s="1270"/>
      <c r="E476" s="1270"/>
      <c r="F476" s="1251"/>
      <c r="G476" s="1251"/>
      <c r="H476" s="1251"/>
      <c r="I476" s="1251"/>
      <c r="J476" s="1251"/>
      <c r="K476" s="1251"/>
    </row>
    <row r="477">
      <c r="C477" s="1270"/>
      <c r="D477" s="1270"/>
      <c r="E477" s="1270"/>
      <c r="F477" s="1251"/>
      <c r="G477" s="1251"/>
      <c r="H477" s="1251"/>
      <c r="I477" s="1251"/>
      <c r="J477" s="1251"/>
      <c r="K477" s="1251"/>
    </row>
    <row r="478">
      <c r="C478" s="1270"/>
      <c r="D478" s="1270"/>
      <c r="E478" s="1270"/>
      <c r="F478" s="1251"/>
      <c r="G478" s="1251"/>
      <c r="H478" s="1251"/>
      <c r="I478" s="1251"/>
      <c r="J478" s="1251"/>
      <c r="K478" s="1251"/>
    </row>
    <row r="479">
      <c r="C479" s="1270"/>
      <c r="D479" s="1270"/>
      <c r="E479" s="1270"/>
      <c r="F479" s="1251"/>
      <c r="G479" s="1251"/>
      <c r="H479" s="1251"/>
      <c r="I479" s="1251"/>
      <c r="J479" s="1251"/>
      <c r="K479" s="1251"/>
    </row>
    <row r="480">
      <c r="C480" s="1270"/>
      <c r="D480" s="1270"/>
      <c r="E480" s="1270"/>
      <c r="F480" s="1251"/>
      <c r="G480" s="1251"/>
      <c r="H480" s="1251"/>
      <c r="I480" s="1251"/>
      <c r="J480" s="1251"/>
      <c r="K480" s="1251"/>
    </row>
    <row r="481">
      <c r="C481" s="1270"/>
      <c r="D481" s="1270"/>
      <c r="E481" s="1270"/>
      <c r="F481" s="1251"/>
      <c r="G481" s="1251"/>
      <c r="H481" s="1251"/>
      <c r="I481" s="1251"/>
      <c r="J481" s="1251"/>
      <c r="K481" s="1251"/>
    </row>
    <row r="482">
      <c r="C482" s="1270"/>
      <c r="D482" s="1270"/>
      <c r="E482" s="1270"/>
      <c r="F482" s="1251"/>
      <c r="G482" s="1251"/>
      <c r="H482" s="1251"/>
      <c r="I482" s="1251"/>
      <c r="J482" s="1251"/>
      <c r="K482" s="1251"/>
    </row>
    <row r="483">
      <c r="C483" s="1270"/>
      <c r="D483" s="1270"/>
      <c r="E483" s="1270"/>
      <c r="F483" s="1251"/>
      <c r="G483" s="1251"/>
      <c r="H483" s="1251"/>
      <c r="I483" s="1251"/>
      <c r="J483" s="1251"/>
      <c r="K483" s="1251"/>
    </row>
    <row r="484">
      <c r="C484" s="1270"/>
      <c r="D484" s="1270"/>
      <c r="E484" s="1270"/>
      <c r="F484" s="1251"/>
      <c r="G484" s="1251"/>
      <c r="H484" s="1251"/>
      <c r="I484" s="1251"/>
      <c r="J484" s="1251"/>
      <c r="K484" s="1251"/>
    </row>
    <row r="485">
      <c r="C485" s="1270"/>
      <c r="D485" s="1270"/>
      <c r="E485" s="1270"/>
      <c r="F485" s="1251"/>
      <c r="G485" s="1251"/>
      <c r="H485" s="1251"/>
      <c r="I485" s="1251"/>
      <c r="J485" s="1251"/>
      <c r="K485" s="1251"/>
    </row>
    <row r="486">
      <c r="C486" s="1270"/>
      <c r="D486" s="1270"/>
      <c r="E486" s="1270"/>
      <c r="F486" s="1251"/>
      <c r="G486" s="1251"/>
      <c r="H486" s="1251"/>
      <c r="I486" s="1251"/>
      <c r="J486" s="1251"/>
      <c r="K486" s="1251"/>
    </row>
    <row r="487">
      <c r="C487" s="1270"/>
      <c r="D487" s="1270"/>
      <c r="E487" s="1270"/>
      <c r="F487" s="1251"/>
      <c r="G487" s="1251"/>
      <c r="H487" s="1251"/>
      <c r="I487" s="1251"/>
      <c r="J487" s="1251"/>
      <c r="K487" s="1251"/>
    </row>
    <row r="488">
      <c r="C488" s="1270"/>
      <c r="D488" s="1270"/>
      <c r="E488" s="1270"/>
      <c r="F488" s="1251"/>
      <c r="G488" s="1251"/>
      <c r="H488" s="1251"/>
      <c r="I488" s="1251"/>
      <c r="J488" s="1251"/>
      <c r="K488" s="1251"/>
    </row>
    <row r="489">
      <c r="C489" s="1270"/>
      <c r="D489" s="1270"/>
      <c r="E489" s="1270"/>
      <c r="F489" s="1251"/>
      <c r="G489" s="1251"/>
      <c r="H489" s="1251"/>
      <c r="I489" s="1251"/>
      <c r="J489" s="1251"/>
      <c r="K489" s="1251"/>
    </row>
    <row r="490">
      <c r="C490" s="1270"/>
      <c r="D490" s="1270"/>
      <c r="E490" s="1270"/>
      <c r="F490" s="1251"/>
      <c r="G490" s="1251"/>
      <c r="H490" s="1251"/>
      <c r="I490" s="1251"/>
      <c r="J490" s="1251"/>
      <c r="K490" s="1251"/>
    </row>
    <row r="491">
      <c r="C491" s="1270"/>
      <c r="D491" s="1270"/>
      <c r="E491" s="1270"/>
      <c r="F491" s="1251"/>
      <c r="G491" s="1251"/>
      <c r="H491" s="1251"/>
      <c r="I491" s="1251"/>
      <c r="J491" s="1251"/>
      <c r="K491" s="1251"/>
    </row>
    <row r="492">
      <c r="C492" s="1270"/>
      <c r="D492" s="1270"/>
      <c r="E492" s="1270"/>
      <c r="F492" s="1251"/>
      <c r="G492" s="1251"/>
      <c r="H492" s="1251"/>
      <c r="I492" s="1251"/>
      <c r="J492" s="1251"/>
      <c r="K492" s="1251"/>
    </row>
    <row r="493">
      <c r="C493" s="1270"/>
      <c r="D493" s="1270"/>
      <c r="E493" s="1270"/>
      <c r="F493" s="1251"/>
      <c r="G493" s="1251"/>
      <c r="H493" s="1251"/>
      <c r="I493" s="1251"/>
      <c r="J493" s="1251"/>
      <c r="K493" s="1251"/>
    </row>
    <row r="494">
      <c r="C494" s="1270"/>
      <c r="D494" s="1270"/>
      <c r="E494" s="1270"/>
      <c r="F494" s="1251"/>
      <c r="G494" s="1251"/>
      <c r="H494" s="1251"/>
      <c r="I494" s="1251"/>
      <c r="J494" s="1251"/>
      <c r="K494" s="1251"/>
    </row>
    <row r="495">
      <c r="C495" s="1270"/>
      <c r="D495" s="1270"/>
      <c r="E495" s="1270"/>
      <c r="F495" s="1251"/>
      <c r="G495" s="1251"/>
      <c r="H495" s="1251"/>
      <c r="I495" s="1251"/>
      <c r="J495" s="1251"/>
      <c r="K495" s="1251"/>
    </row>
    <row r="496">
      <c r="C496" s="1270"/>
      <c r="D496" s="1270"/>
      <c r="E496" s="1270"/>
      <c r="F496" s="1251"/>
      <c r="G496" s="1251"/>
      <c r="H496" s="1251"/>
      <c r="I496" s="1251"/>
      <c r="J496" s="1251"/>
      <c r="K496" s="1251"/>
    </row>
    <row r="497">
      <c r="C497" s="1270"/>
      <c r="D497" s="1270"/>
      <c r="E497" s="1270"/>
      <c r="F497" s="1251"/>
      <c r="G497" s="1251"/>
      <c r="H497" s="1251"/>
      <c r="I497" s="1251"/>
      <c r="J497" s="1251"/>
      <c r="K497" s="1251"/>
    </row>
    <row r="498">
      <c r="C498" s="1270"/>
      <c r="D498" s="1270"/>
      <c r="E498" s="1270"/>
      <c r="F498" s="1251"/>
      <c r="G498" s="1251"/>
      <c r="H498" s="1251"/>
      <c r="I498" s="1251"/>
      <c r="J498" s="1251"/>
      <c r="K498" s="1251"/>
    </row>
    <row r="499">
      <c r="C499" s="1270"/>
      <c r="D499" s="1270"/>
      <c r="E499" s="1270"/>
      <c r="F499" s="1251"/>
      <c r="G499" s="1251"/>
      <c r="H499" s="1251"/>
      <c r="I499" s="1251"/>
      <c r="J499" s="1251"/>
      <c r="K499" s="1251"/>
    </row>
    <row r="500">
      <c r="C500" s="1270"/>
      <c r="D500" s="1270"/>
      <c r="E500" s="1270"/>
      <c r="F500" s="1251"/>
      <c r="G500" s="1251"/>
      <c r="H500" s="1251"/>
      <c r="I500" s="1251"/>
      <c r="J500" s="1251"/>
      <c r="K500" s="1251"/>
    </row>
    <row r="501">
      <c r="C501" s="1270"/>
      <c r="D501" s="1270"/>
      <c r="E501" s="1270"/>
      <c r="F501" s="1251"/>
      <c r="G501" s="1251"/>
      <c r="H501" s="1251"/>
      <c r="I501" s="1251"/>
      <c r="J501" s="1251"/>
      <c r="K501" s="1251"/>
    </row>
    <row r="502">
      <c r="C502" s="1270"/>
      <c r="D502" s="1270"/>
      <c r="E502" s="1270"/>
      <c r="F502" s="1251"/>
      <c r="G502" s="1251"/>
      <c r="H502" s="1251"/>
      <c r="I502" s="1251"/>
      <c r="J502" s="1251"/>
      <c r="K502" s="1251"/>
    </row>
    <row r="503">
      <c r="C503" s="1270"/>
      <c r="D503" s="1270"/>
      <c r="E503" s="1270"/>
      <c r="F503" s="1251"/>
      <c r="G503" s="1251"/>
      <c r="H503" s="1251"/>
      <c r="I503" s="1251"/>
      <c r="J503" s="1251"/>
      <c r="K503" s="1251"/>
    </row>
    <row r="504">
      <c r="C504" s="1270"/>
      <c r="D504" s="1270"/>
      <c r="E504" s="1270"/>
      <c r="F504" s="1251"/>
      <c r="G504" s="1251"/>
      <c r="H504" s="1251"/>
      <c r="I504" s="1251"/>
      <c r="J504" s="1251"/>
      <c r="K504" s="1251"/>
    </row>
    <row r="505">
      <c r="C505" s="1270"/>
      <c r="D505" s="1270"/>
      <c r="E505" s="1270"/>
      <c r="F505" s="1251"/>
      <c r="G505" s="1251"/>
      <c r="H505" s="1251"/>
      <c r="I505" s="1251"/>
      <c r="J505" s="1251"/>
      <c r="K505" s="1251"/>
    </row>
    <row r="506">
      <c r="C506" s="1270"/>
      <c r="D506" s="1270"/>
      <c r="E506" s="1270"/>
      <c r="F506" s="1251"/>
      <c r="G506" s="1251"/>
      <c r="H506" s="1251"/>
      <c r="I506" s="1251"/>
      <c r="J506" s="1251"/>
      <c r="K506" s="1251"/>
    </row>
    <row r="507">
      <c r="C507" s="1270"/>
      <c r="D507" s="1270"/>
      <c r="E507" s="1270"/>
      <c r="F507" s="1251"/>
      <c r="G507" s="1251"/>
      <c r="H507" s="1251"/>
      <c r="I507" s="1251"/>
      <c r="J507" s="1251"/>
      <c r="K507" s="1251"/>
    </row>
    <row r="508">
      <c r="C508" s="1270"/>
      <c r="D508" s="1270"/>
      <c r="E508" s="1270"/>
      <c r="F508" s="1251"/>
      <c r="G508" s="1251"/>
      <c r="H508" s="1251"/>
      <c r="I508" s="1251"/>
      <c r="J508" s="1251"/>
      <c r="K508" s="1251"/>
    </row>
    <row r="509">
      <c r="C509" s="1270"/>
      <c r="D509" s="1270"/>
      <c r="E509" s="1270"/>
      <c r="F509" s="1251"/>
      <c r="G509" s="1251"/>
      <c r="H509" s="1251"/>
      <c r="I509" s="1251"/>
      <c r="J509" s="1251"/>
      <c r="K509" s="1251"/>
    </row>
    <row r="510">
      <c r="C510" s="1270"/>
      <c r="D510" s="1270"/>
      <c r="E510" s="1270"/>
      <c r="F510" s="1251"/>
      <c r="G510" s="1251"/>
      <c r="H510" s="1251"/>
      <c r="I510" s="1251"/>
      <c r="J510" s="1251"/>
      <c r="K510" s="1251"/>
    </row>
    <row r="511">
      <c r="C511" s="1270"/>
      <c r="D511" s="1270"/>
      <c r="E511" s="1270"/>
      <c r="F511" s="1251"/>
      <c r="G511" s="1251"/>
      <c r="H511" s="1251"/>
      <c r="I511" s="1251"/>
      <c r="J511" s="1251"/>
      <c r="K511" s="1251"/>
    </row>
    <row r="512">
      <c r="C512" s="1270"/>
      <c r="D512" s="1270"/>
      <c r="E512" s="1270"/>
      <c r="F512" s="1251"/>
      <c r="G512" s="1251"/>
      <c r="H512" s="1251"/>
      <c r="I512" s="1251"/>
      <c r="J512" s="1251"/>
      <c r="K512" s="1251"/>
    </row>
    <row r="513">
      <c r="C513" s="1270"/>
      <c r="D513" s="1270"/>
      <c r="E513" s="1270"/>
      <c r="F513" s="1251"/>
      <c r="G513" s="1251"/>
      <c r="H513" s="1251"/>
      <c r="I513" s="1251"/>
      <c r="J513" s="1251"/>
      <c r="K513" s="1251"/>
    </row>
    <row r="514">
      <c r="C514" s="1270"/>
      <c r="D514" s="1270"/>
      <c r="E514" s="1270"/>
      <c r="F514" s="1251"/>
      <c r="G514" s="1251"/>
      <c r="H514" s="1251"/>
      <c r="I514" s="1251"/>
      <c r="J514" s="1251"/>
      <c r="K514" s="1251"/>
    </row>
    <row r="515">
      <c r="C515" s="1270"/>
      <c r="D515" s="1270"/>
      <c r="E515" s="1270"/>
      <c r="F515" s="1251"/>
      <c r="G515" s="1251"/>
      <c r="H515" s="1251"/>
      <c r="I515" s="1251"/>
      <c r="J515" s="1251"/>
      <c r="K515" s="1251"/>
    </row>
    <row r="516">
      <c r="C516" s="1270"/>
      <c r="D516" s="1270"/>
      <c r="E516" s="1270"/>
      <c r="F516" s="1251"/>
      <c r="G516" s="1251"/>
      <c r="H516" s="1251"/>
      <c r="I516" s="1251"/>
      <c r="J516" s="1251"/>
      <c r="K516" s="1251"/>
    </row>
    <row r="517">
      <c r="C517" s="1270"/>
      <c r="D517" s="1270"/>
      <c r="E517" s="1270"/>
      <c r="F517" s="1251"/>
      <c r="G517" s="1251"/>
      <c r="H517" s="1251"/>
      <c r="I517" s="1251"/>
      <c r="J517" s="1251"/>
      <c r="K517" s="1251"/>
    </row>
    <row r="518">
      <c r="C518" s="1270"/>
      <c r="D518" s="1270"/>
      <c r="E518" s="1270"/>
      <c r="F518" s="1251"/>
      <c r="G518" s="1251"/>
      <c r="H518" s="1251"/>
      <c r="I518" s="1251"/>
      <c r="J518" s="1251"/>
      <c r="K518" s="1251"/>
    </row>
    <row r="519">
      <c r="C519" s="1270"/>
      <c r="D519" s="1270"/>
      <c r="E519" s="1270"/>
      <c r="F519" s="1251"/>
      <c r="G519" s="1251"/>
      <c r="H519" s="1251"/>
      <c r="I519" s="1251"/>
      <c r="J519" s="1251"/>
      <c r="K519" s="1251"/>
    </row>
    <row r="520">
      <c r="C520" s="1270"/>
      <c r="D520" s="1270"/>
      <c r="E520" s="1270"/>
      <c r="F520" s="1251"/>
      <c r="G520" s="1251"/>
      <c r="H520" s="1251"/>
      <c r="I520" s="1251"/>
      <c r="J520" s="1251"/>
      <c r="K520" s="1251"/>
    </row>
    <row r="521">
      <c r="C521" s="1270"/>
      <c r="D521" s="1270"/>
      <c r="E521" s="1270"/>
      <c r="F521" s="1251"/>
      <c r="G521" s="1251"/>
      <c r="H521" s="1251"/>
      <c r="I521" s="1251"/>
      <c r="J521" s="1251"/>
      <c r="K521" s="1251"/>
    </row>
    <row r="522">
      <c r="C522" s="1270"/>
      <c r="D522" s="1270"/>
      <c r="E522" s="1270"/>
      <c r="F522" s="1251"/>
      <c r="G522" s="1251"/>
      <c r="H522" s="1251"/>
      <c r="I522" s="1251"/>
      <c r="J522" s="1251"/>
      <c r="K522" s="1251"/>
    </row>
    <row r="523">
      <c r="C523" s="1270"/>
      <c r="D523" s="1270"/>
      <c r="E523" s="1270"/>
      <c r="F523" s="1251"/>
      <c r="G523" s="1251"/>
      <c r="H523" s="1251"/>
      <c r="I523" s="1251"/>
      <c r="J523" s="1251"/>
      <c r="K523" s="1251"/>
    </row>
    <row r="524">
      <c r="C524" s="1270"/>
      <c r="D524" s="1270"/>
      <c r="E524" s="1270"/>
      <c r="F524" s="1251"/>
      <c r="G524" s="1251"/>
      <c r="H524" s="1251"/>
      <c r="I524" s="1251"/>
      <c r="J524" s="1251"/>
      <c r="K524" s="1251"/>
    </row>
    <row r="525">
      <c r="C525" s="1270"/>
      <c r="D525" s="1270"/>
      <c r="E525" s="1270"/>
      <c r="F525" s="1251"/>
      <c r="G525" s="1251"/>
      <c r="H525" s="1251"/>
      <c r="I525" s="1251"/>
      <c r="J525" s="1251"/>
      <c r="K525" s="1251"/>
    </row>
    <row r="526">
      <c r="C526" s="1270"/>
      <c r="D526" s="1270"/>
      <c r="E526" s="1270"/>
      <c r="F526" s="1251"/>
      <c r="G526" s="1251"/>
      <c r="H526" s="1251"/>
      <c r="I526" s="1251"/>
      <c r="J526" s="1251"/>
      <c r="K526" s="1251"/>
    </row>
    <row r="527">
      <c r="C527" s="1270"/>
      <c r="D527" s="1270"/>
      <c r="E527" s="1270"/>
      <c r="F527" s="1251"/>
      <c r="G527" s="1251"/>
      <c r="H527" s="1251"/>
      <c r="I527" s="1251"/>
      <c r="J527" s="1251"/>
      <c r="K527" s="1251"/>
    </row>
    <row r="528">
      <c r="C528" s="1270"/>
      <c r="D528" s="1270"/>
      <c r="E528" s="1270"/>
      <c r="F528" s="1251"/>
      <c r="G528" s="1251"/>
      <c r="H528" s="1251"/>
      <c r="I528" s="1251"/>
      <c r="J528" s="1251"/>
      <c r="K528" s="1251"/>
    </row>
    <row r="529">
      <c r="C529" s="1270"/>
      <c r="D529" s="1270"/>
      <c r="E529" s="1270"/>
      <c r="F529" s="1251"/>
      <c r="G529" s="1251"/>
      <c r="H529" s="1251"/>
      <c r="I529" s="1251"/>
      <c r="J529" s="1251"/>
      <c r="K529" s="1251"/>
    </row>
    <row r="530">
      <c r="C530" s="1270"/>
      <c r="D530" s="1270"/>
      <c r="E530" s="1270"/>
      <c r="F530" s="1251"/>
      <c r="G530" s="1251"/>
      <c r="H530" s="1251"/>
      <c r="I530" s="1251"/>
      <c r="J530" s="1251"/>
      <c r="K530" s="1251"/>
    </row>
    <row r="531">
      <c r="C531" s="1270"/>
      <c r="D531" s="1270"/>
      <c r="E531" s="1270"/>
      <c r="F531" s="1251"/>
      <c r="G531" s="1251"/>
      <c r="H531" s="1251"/>
      <c r="I531" s="1251"/>
      <c r="J531" s="1251"/>
      <c r="K531" s="1251"/>
    </row>
    <row r="532">
      <c r="C532" s="1270"/>
      <c r="D532" s="1270"/>
      <c r="E532" s="1270"/>
      <c r="F532" s="1251"/>
      <c r="G532" s="1251"/>
      <c r="H532" s="1251"/>
      <c r="I532" s="1251"/>
      <c r="J532" s="1251"/>
      <c r="K532" s="1251"/>
    </row>
    <row r="533">
      <c r="C533" s="1270"/>
      <c r="D533" s="1270"/>
      <c r="E533" s="1270"/>
      <c r="F533" s="1251"/>
      <c r="G533" s="1251"/>
      <c r="H533" s="1251"/>
      <c r="I533" s="1251"/>
      <c r="J533" s="1251"/>
      <c r="K533" s="1251"/>
    </row>
    <row r="534">
      <c r="C534" s="1270"/>
      <c r="D534" s="1270"/>
      <c r="E534" s="1270"/>
      <c r="F534" s="1251"/>
      <c r="G534" s="1251"/>
      <c r="H534" s="1251"/>
      <c r="I534" s="1251"/>
      <c r="J534" s="1251"/>
      <c r="K534" s="1251"/>
    </row>
    <row r="535">
      <c r="C535" s="1270"/>
      <c r="D535" s="1270"/>
      <c r="E535" s="1270"/>
      <c r="F535" s="1251"/>
      <c r="G535" s="1251"/>
      <c r="H535" s="1251"/>
      <c r="I535" s="1251"/>
      <c r="J535" s="1251"/>
      <c r="K535" s="1251"/>
    </row>
    <row r="536">
      <c r="C536" s="1270"/>
      <c r="D536" s="1270"/>
      <c r="E536" s="1270"/>
      <c r="F536" s="1251"/>
      <c r="G536" s="1251"/>
      <c r="H536" s="1251"/>
      <c r="I536" s="1251"/>
      <c r="J536" s="1251"/>
      <c r="K536" s="1251"/>
    </row>
    <row r="537">
      <c r="C537" s="1270"/>
      <c r="D537" s="1270"/>
      <c r="E537" s="1270"/>
      <c r="F537" s="1251"/>
      <c r="G537" s="1251"/>
      <c r="H537" s="1251"/>
      <c r="I537" s="1251"/>
      <c r="J537" s="1251"/>
      <c r="K537" s="1251"/>
    </row>
    <row r="538">
      <c r="C538" s="1270"/>
      <c r="D538" s="1270"/>
      <c r="E538" s="1270"/>
      <c r="F538" s="1251"/>
      <c r="G538" s="1251"/>
      <c r="H538" s="1251"/>
      <c r="I538" s="1251"/>
      <c r="J538" s="1251"/>
      <c r="K538" s="1251"/>
    </row>
    <row r="539">
      <c r="C539" s="1270"/>
      <c r="D539" s="1270"/>
      <c r="E539" s="1270"/>
      <c r="F539" s="1251"/>
      <c r="G539" s="1251"/>
      <c r="H539" s="1251"/>
      <c r="I539" s="1251"/>
      <c r="J539" s="1251"/>
      <c r="K539" s="1251"/>
    </row>
    <row r="540">
      <c r="C540" s="1270"/>
      <c r="D540" s="1270"/>
      <c r="E540" s="1270"/>
      <c r="F540" s="1251"/>
      <c r="G540" s="1251"/>
      <c r="H540" s="1251"/>
      <c r="I540" s="1251"/>
      <c r="J540" s="1251"/>
      <c r="K540" s="1251"/>
    </row>
    <row r="541">
      <c r="C541" s="1270"/>
      <c r="D541" s="1270"/>
      <c r="E541" s="1270"/>
      <c r="F541" s="1251"/>
      <c r="G541" s="1251"/>
      <c r="H541" s="1251"/>
      <c r="I541" s="1251"/>
      <c r="J541" s="1251"/>
      <c r="K541" s="1251"/>
    </row>
    <row r="542">
      <c r="C542" s="1270"/>
      <c r="D542" s="1270"/>
      <c r="E542" s="1270"/>
      <c r="F542" s="1251"/>
      <c r="G542" s="1251"/>
      <c r="H542" s="1251"/>
      <c r="I542" s="1251"/>
      <c r="J542" s="1251"/>
      <c r="K542" s="1251"/>
    </row>
    <row r="543">
      <c r="C543" s="1270"/>
      <c r="D543" s="1270"/>
      <c r="E543" s="1270"/>
      <c r="F543" s="1251"/>
      <c r="G543" s="1251"/>
      <c r="H543" s="1251"/>
      <c r="I543" s="1251"/>
      <c r="J543" s="1251"/>
      <c r="K543" s="1251"/>
    </row>
    <row r="544">
      <c r="C544" s="1270"/>
      <c r="D544" s="1270"/>
      <c r="E544" s="1270"/>
      <c r="F544" s="1251"/>
      <c r="G544" s="1251"/>
      <c r="H544" s="1251"/>
      <c r="I544" s="1251"/>
      <c r="J544" s="1251"/>
      <c r="K544" s="1251"/>
    </row>
    <row r="545">
      <c r="C545" s="1270"/>
      <c r="D545" s="1270"/>
      <c r="E545" s="1270"/>
      <c r="F545" s="1251"/>
      <c r="G545" s="1251"/>
      <c r="H545" s="1251"/>
      <c r="I545" s="1251"/>
      <c r="J545" s="1251"/>
      <c r="K545" s="1251"/>
    </row>
    <row r="546">
      <c r="C546" s="1270"/>
      <c r="D546" s="1270"/>
      <c r="E546" s="1270"/>
      <c r="F546" s="1251"/>
      <c r="G546" s="1251"/>
      <c r="H546" s="1251"/>
      <c r="I546" s="1251"/>
      <c r="J546" s="1251"/>
      <c r="K546" s="1251"/>
    </row>
    <row r="547">
      <c r="C547" s="1270"/>
      <c r="D547" s="1270"/>
      <c r="E547" s="1270"/>
      <c r="F547" s="1251"/>
      <c r="G547" s="1251"/>
      <c r="H547" s="1251"/>
      <c r="I547" s="1251"/>
      <c r="J547" s="1251"/>
      <c r="K547" s="1251"/>
    </row>
    <row r="548">
      <c r="C548" s="1270"/>
      <c r="D548" s="1270"/>
      <c r="E548" s="1270"/>
      <c r="F548" s="1251"/>
      <c r="G548" s="1251"/>
      <c r="H548" s="1251"/>
      <c r="I548" s="1251"/>
      <c r="J548" s="1251"/>
      <c r="K548" s="1251"/>
    </row>
    <row r="549">
      <c r="C549" s="1270"/>
      <c r="D549" s="1270"/>
      <c r="E549" s="1270"/>
      <c r="F549" s="1251"/>
      <c r="G549" s="1251"/>
      <c r="H549" s="1251"/>
      <c r="I549" s="1251"/>
      <c r="J549" s="1251"/>
      <c r="K549" s="1251"/>
    </row>
    <row r="550">
      <c r="C550" s="1270"/>
      <c r="D550" s="1270"/>
      <c r="E550" s="1270"/>
      <c r="F550" s="1251"/>
      <c r="G550" s="1251"/>
      <c r="H550" s="1251"/>
      <c r="I550" s="1251"/>
      <c r="J550" s="1251"/>
      <c r="K550" s="1251"/>
    </row>
    <row r="551">
      <c r="C551" s="1270"/>
      <c r="D551" s="1270"/>
      <c r="E551" s="1270"/>
      <c r="F551" s="1251"/>
      <c r="G551" s="1251"/>
      <c r="H551" s="1251"/>
      <c r="I551" s="1251"/>
      <c r="J551" s="1251"/>
      <c r="K551" s="1251"/>
    </row>
    <row r="552">
      <c r="C552" s="1270"/>
      <c r="D552" s="1270"/>
      <c r="E552" s="1270"/>
      <c r="F552" s="1251"/>
      <c r="G552" s="1251"/>
      <c r="H552" s="1251"/>
      <c r="I552" s="1251"/>
      <c r="J552" s="1251"/>
      <c r="K552" s="1251"/>
    </row>
    <row r="553">
      <c r="C553" s="1270"/>
      <c r="D553" s="1270"/>
      <c r="E553" s="1270"/>
      <c r="F553" s="1251"/>
      <c r="G553" s="1251"/>
      <c r="H553" s="1251"/>
      <c r="I553" s="1251"/>
      <c r="J553" s="1251"/>
      <c r="K553" s="1251"/>
    </row>
    <row r="554">
      <c r="C554" s="1270"/>
      <c r="D554" s="1270"/>
      <c r="E554" s="1270"/>
      <c r="F554" s="1251"/>
      <c r="G554" s="1251"/>
      <c r="H554" s="1251"/>
      <c r="I554" s="1251"/>
      <c r="J554" s="1251"/>
      <c r="K554" s="1251"/>
    </row>
    <row r="555">
      <c r="C555" s="1270"/>
      <c r="D555" s="1270"/>
      <c r="E555" s="1270"/>
      <c r="F555" s="1251"/>
      <c r="G555" s="1251"/>
      <c r="H555" s="1251"/>
      <c r="I555" s="1251"/>
      <c r="J555" s="1251"/>
      <c r="K555" s="1251"/>
    </row>
    <row r="556">
      <c r="C556" s="1270"/>
      <c r="D556" s="1270"/>
      <c r="E556" s="1270"/>
      <c r="F556" s="1251"/>
      <c r="G556" s="1251"/>
      <c r="H556" s="1251"/>
      <c r="I556" s="1251"/>
      <c r="J556" s="1251"/>
      <c r="K556" s="1251"/>
    </row>
    <row r="557">
      <c r="C557" s="1270"/>
      <c r="D557" s="1270"/>
      <c r="E557" s="1270"/>
      <c r="F557" s="1251"/>
      <c r="G557" s="1251"/>
      <c r="H557" s="1251"/>
      <c r="I557" s="1251"/>
      <c r="J557" s="1251"/>
      <c r="K557" s="1251"/>
    </row>
    <row r="558">
      <c r="C558" s="1270"/>
      <c r="D558" s="1270"/>
      <c r="E558" s="1270"/>
      <c r="F558" s="1251"/>
      <c r="G558" s="1251"/>
      <c r="H558" s="1251"/>
      <c r="I558" s="1251"/>
      <c r="J558" s="1251"/>
      <c r="K558" s="1251"/>
    </row>
    <row r="559">
      <c r="C559" s="1270"/>
      <c r="D559" s="1270"/>
      <c r="E559" s="1270"/>
      <c r="F559" s="1251"/>
      <c r="G559" s="1251"/>
      <c r="H559" s="1251"/>
      <c r="I559" s="1251"/>
      <c r="J559" s="1251"/>
      <c r="K559" s="1251"/>
    </row>
    <row r="560">
      <c r="C560" s="1270"/>
      <c r="D560" s="1270"/>
      <c r="E560" s="1270"/>
      <c r="F560" s="1251"/>
      <c r="G560" s="1251"/>
      <c r="H560" s="1251"/>
      <c r="I560" s="1251"/>
      <c r="J560" s="1251"/>
      <c r="K560" s="1251"/>
    </row>
    <row r="561">
      <c r="C561" s="1270"/>
      <c r="D561" s="1270"/>
      <c r="E561" s="1270"/>
      <c r="F561" s="1251"/>
      <c r="G561" s="1251"/>
      <c r="H561" s="1251"/>
      <c r="I561" s="1251"/>
      <c r="J561" s="1251"/>
      <c r="K561" s="1251"/>
    </row>
    <row r="562">
      <c r="C562" s="1270"/>
      <c r="D562" s="1270"/>
      <c r="E562" s="1270"/>
      <c r="F562" s="1251"/>
      <c r="G562" s="1251"/>
      <c r="H562" s="1251"/>
      <c r="I562" s="1251"/>
      <c r="J562" s="1251"/>
      <c r="K562" s="1251"/>
    </row>
    <row r="563">
      <c r="C563" s="1270"/>
      <c r="D563" s="1270"/>
      <c r="E563" s="1270"/>
      <c r="F563" s="1251"/>
      <c r="G563" s="1251"/>
      <c r="H563" s="1251"/>
      <c r="I563" s="1251"/>
      <c r="J563" s="1251"/>
      <c r="K563" s="1251"/>
    </row>
    <row r="564">
      <c r="C564" s="1270"/>
      <c r="D564" s="1270"/>
      <c r="E564" s="1270"/>
      <c r="F564" s="1251"/>
      <c r="G564" s="1251"/>
      <c r="H564" s="1251"/>
      <c r="I564" s="1251"/>
      <c r="J564" s="1251"/>
      <c r="K564" s="1251"/>
    </row>
    <row r="565">
      <c r="C565" s="1270"/>
      <c r="D565" s="1270"/>
      <c r="E565" s="1270"/>
      <c r="F565" s="1251"/>
      <c r="G565" s="1251"/>
      <c r="H565" s="1251"/>
      <c r="I565" s="1251"/>
      <c r="J565" s="1251"/>
      <c r="K565" s="1251"/>
    </row>
    <row r="566">
      <c r="C566" s="1270"/>
      <c r="D566" s="1270"/>
      <c r="E566" s="1270"/>
      <c r="F566" s="1251"/>
      <c r="G566" s="1251"/>
      <c r="H566" s="1251"/>
      <c r="I566" s="1251"/>
      <c r="J566" s="1251"/>
      <c r="K566" s="1251"/>
    </row>
    <row r="567">
      <c r="C567" s="1270"/>
      <c r="D567" s="1270"/>
      <c r="E567" s="1270"/>
      <c r="F567" s="1251"/>
      <c r="G567" s="1251"/>
      <c r="H567" s="1251"/>
      <c r="I567" s="1251"/>
      <c r="J567" s="1251"/>
      <c r="K567" s="1251"/>
    </row>
    <row r="568">
      <c r="C568" s="1270"/>
      <c r="D568" s="1270"/>
      <c r="E568" s="1270"/>
      <c r="F568" s="1251"/>
      <c r="G568" s="1251"/>
      <c r="H568" s="1251"/>
      <c r="I568" s="1251"/>
      <c r="J568" s="1251"/>
      <c r="K568" s="1251"/>
    </row>
    <row r="569">
      <c r="C569" s="1270"/>
      <c r="D569" s="1270"/>
      <c r="E569" s="1270"/>
      <c r="F569" s="1251"/>
      <c r="G569" s="1251"/>
      <c r="H569" s="1251"/>
      <c r="I569" s="1251"/>
      <c r="J569" s="1251"/>
      <c r="K569" s="1251"/>
    </row>
    <row r="570">
      <c r="C570" s="1270"/>
      <c r="D570" s="1270"/>
      <c r="E570" s="1270"/>
      <c r="F570" s="1251"/>
      <c r="G570" s="1251"/>
      <c r="H570" s="1251"/>
      <c r="I570" s="1251"/>
      <c r="J570" s="1251"/>
      <c r="K570" s="1251"/>
    </row>
    <row r="571">
      <c r="C571" s="1270"/>
      <c r="D571" s="1270"/>
      <c r="E571" s="1270"/>
      <c r="F571" s="1251"/>
      <c r="G571" s="1251"/>
      <c r="H571" s="1251"/>
      <c r="I571" s="1251"/>
      <c r="J571" s="1251"/>
      <c r="K571" s="1251"/>
    </row>
    <row r="572">
      <c r="C572" s="1270"/>
      <c r="D572" s="1270"/>
      <c r="E572" s="1270"/>
      <c r="F572" s="1251"/>
      <c r="G572" s="1251"/>
      <c r="H572" s="1251"/>
      <c r="I572" s="1251"/>
      <c r="J572" s="1251"/>
      <c r="K572" s="1251"/>
    </row>
    <row r="573">
      <c r="C573" s="1270"/>
      <c r="D573" s="1270"/>
      <c r="E573" s="1270"/>
      <c r="F573" s="1251"/>
      <c r="G573" s="1251"/>
      <c r="H573" s="1251"/>
      <c r="I573" s="1251"/>
      <c r="J573" s="1251"/>
      <c r="K573" s="1251"/>
    </row>
    <row r="574">
      <c r="C574" s="1270"/>
      <c r="D574" s="1270"/>
      <c r="E574" s="1270"/>
      <c r="F574" s="1251"/>
      <c r="G574" s="1251"/>
      <c r="H574" s="1251"/>
      <c r="I574" s="1251"/>
      <c r="J574" s="1251"/>
      <c r="K574" s="1251"/>
    </row>
    <row r="575">
      <c r="C575" s="1270"/>
      <c r="D575" s="1270"/>
      <c r="E575" s="1270"/>
      <c r="F575" s="1251"/>
      <c r="G575" s="1251"/>
      <c r="H575" s="1251"/>
      <c r="I575" s="1251"/>
      <c r="J575" s="1251"/>
      <c r="K575" s="1251"/>
    </row>
    <row r="576">
      <c r="C576" s="1270"/>
      <c r="D576" s="1270"/>
      <c r="E576" s="1270"/>
      <c r="F576" s="1251"/>
      <c r="G576" s="1251"/>
      <c r="H576" s="1251"/>
      <c r="I576" s="1251"/>
      <c r="J576" s="1251"/>
      <c r="K576" s="1251"/>
    </row>
    <row r="577">
      <c r="C577" s="1270"/>
      <c r="D577" s="1270"/>
      <c r="E577" s="1270"/>
      <c r="F577" s="1251"/>
      <c r="G577" s="1251"/>
      <c r="H577" s="1251"/>
      <c r="I577" s="1251"/>
      <c r="J577" s="1251"/>
      <c r="K577" s="1251"/>
    </row>
    <row r="578">
      <c r="C578" s="1270"/>
      <c r="D578" s="1270"/>
      <c r="E578" s="1270"/>
      <c r="F578" s="1251"/>
      <c r="G578" s="1251"/>
      <c r="H578" s="1251"/>
      <c r="I578" s="1251"/>
      <c r="J578" s="1251"/>
      <c r="K578" s="1251"/>
    </row>
    <row r="579">
      <c r="C579" s="1270"/>
      <c r="D579" s="1270"/>
      <c r="E579" s="1270"/>
      <c r="F579" s="1251"/>
      <c r="G579" s="1251"/>
      <c r="H579" s="1251"/>
      <c r="I579" s="1251"/>
      <c r="J579" s="1251"/>
      <c r="K579" s="1251"/>
    </row>
    <row r="580">
      <c r="C580" s="1270"/>
      <c r="D580" s="1270"/>
      <c r="E580" s="1270"/>
      <c r="F580" s="1251"/>
      <c r="G580" s="1251"/>
      <c r="H580" s="1251"/>
      <c r="I580" s="1251"/>
      <c r="J580" s="1251"/>
      <c r="K580" s="1251"/>
    </row>
    <row r="581">
      <c r="C581" s="1270"/>
      <c r="D581" s="1270"/>
      <c r="E581" s="1270"/>
      <c r="F581" s="1251"/>
      <c r="G581" s="1251"/>
      <c r="H581" s="1251"/>
      <c r="I581" s="1251"/>
      <c r="J581" s="1251"/>
      <c r="K581" s="1251"/>
    </row>
    <row r="582">
      <c r="C582" s="1270"/>
      <c r="D582" s="1270"/>
      <c r="E582" s="1270"/>
      <c r="F582" s="1251"/>
      <c r="G582" s="1251"/>
      <c r="H582" s="1251"/>
      <c r="I582" s="1251"/>
      <c r="J582" s="1251"/>
      <c r="K582" s="1251"/>
    </row>
    <row r="583">
      <c r="C583" s="1270"/>
      <c r="D583" s="1270"/>
      <c r="E583" s="1270"/>
      <c r="F583" s="1251"/>
      <c r="G583" s="1251"/>
      <c r="H583" s="1251"/>
      <c r="I583" s="1251"/>
      <c r="J583" s="1251"/>
      <c r="K583" s="1251"/>
    </row>
    <row r="584">
      <c r="C584" s="1270"/>
      <c r="D584" s="1270"/>
      <c r="E584" s="1270"/>
      <c r="F584" s="1251"/>
      <c r="G584" s="1251"/>
      <c r="H584" s="1251"/>
      <c r="I584" s="1251"/>
      <c r="J584" s="1251"/>
      <c r="K584" s="1251"/>
    </row>
    <row r="585">
      <c r="C585" s="1270"/>
      <c r="D585" s="1270"/>
      <c r="E585" s="1270"/>
      <c r="F585" s="1251"/>
      <c r="G585" s="1251"/>
      <c r="H585" s="1251"/>
      <c r="I585" s="1251"/>
      <c r="J585" s="1251"/>
      <c r="K585" s="1251"/>
    </row>
    <row r="586">
      <c r="C586" s="1270"/>
      <c r="D586" s="1270"/>
      <c r="E586" s="1270"/>
      <c r="F586" s="1251"/>
      <c r="G586" s="1251"/>
      <c r="H586" s="1251"/>
      <c r="I586" s="1251"/>
      <c r="J586" s="1251"/>
      <c r="K586" s="1251"/>
    </row>
    <row r="587">
      <c r="C587" s="1270"/>
      <c r="D587" s="1270"/>
      <c r="E587" s="1270"/>
      <c r="F587" s="1251"/>
      <c r="G587" s="1251"/>
      <c r="H587" s="1251"/>
      <c r="I587" s="1251"/>
      <c r="J587" s="1251"/>
      <c r="K587" s="1251"/>
    </row>
    <row r="588">
      <c r="C588" s="1270"/>
      <c r="D588" s="1270"/>
      <c r="E588" s="1270"/>
      <c r="F588" s="1251"/>
      <c r="G588" s="1251"/>
      <c r="H588" s="1251"/>
      <c r="I588" s="1251"/>
      <c r="J588" s="1251"/>
      <c r="K588" s="1251"/>
    </row>
    <row r="589">
      <c r="C589" s="1270"/>
      <c r="D589" s="1270"/>
      <c r="E589" s="1270"/>
      <c r="F589" s="1251"/>
      <c r="G589" s="1251"/>
      <c r="H589" s="1251"/>
      <c r="I589" s="1251"/>
      <c r="J589" s="1251"/>
      <c r="K589" s="1251"/>
    </row>
    <row r="590">
      <c r="C590" s="1270"/>
      <c r="D590" s="1270"/>
      <c r="E590" s="1270"/>
      <c r="F590" s="1251"/>
      <c r="G590" s="1251"/>
      <c r="H590" s="1251"/>
      <c r="I590" s="1251"/>
      <c r="J590" s="1251"/>
      <c r="K590" s="1251"/>
    </row>
    <row r="591">
      <c r="C591" s="1270"/>
      <c r="D591" s="1270"/>
      <c r="E591" s="1270"/>
      <c r="F591" s="1251"/>
      <c r="G591" s="1251"/>
      <c r="H591" s="1251"/>
      <c r="I591" s="1251"/>
      <c r="J591" s="1251"/>
      <c r="K591" s="1251"/>
    </row>
    <row r="592">
      <c r="C592" s="1270"/>
      <c r="D592" s="1270"/>
      <c r="E592" s="1270"/>
      <c r="F592" s="1251"/>
      <c r="G592" s="1251"/>
      <c r="H592" s="1251"/>
      <c r="I592" s="1251"/>
      <c r="J592" s="1251"/>
      <c r="K592" s="1251"/>
    </row>
    <row r="593">
      <c r="C593" s="1270"/>
      <c r="D593" s="1270"/>
      <c r="E593" s="1270"/>
      <c r="F593" s="1251"/>
      <c r="G593" s="1251"/>
      <c r="H593" s="1251"/>
      <c r="I593" s="1251"/>
      <c r="J593" s="1251"/>
      <c r="K593" s="1251"/>
    </row>
    <row r="594">
      <c r="C594" s="1270"/>
      <c r="D594" s="1270"/>
      <c r="E594" s="1270"/>
      <c r="F594" s="1251"/>
      <c r="G594" s="1251"/>
      <c r="H594" s="1251"/>
      <c r="I594" s="1251"/>
      <c r="J594" s="1251"/>
      <c r="K594" s="1251"/>
    </row>
    <row r="595">
      <c r="C595" s="1270"/>
      <c r="D595" s="1270"/>
      <c r="E595" s="1270"/>
      <c r="F595" s="1251"/>
      <c r="G595" s="1251"/>
      <c r="H595" s="1251"/>
      <c r="I595" s="1251"/>
      <c r="J595" s="1251"/>
      <c r="K595" s="1251"/>
    </row>
    <row r="596">
      <c r="C596" s="1270"/>
      <c r="D596" s="1270"/>
      <c r="E596" s="1270"/>
      <c r="F596" s="1251"/>
      <c r="G596" s="1251"/>
      <c r="H596" s="1251"/>
      <c r="I596" s="1251"/>
      <c r="J596" s="1251"/>
      <c r="K596" s="1251"/>
    </row>
    <row r="597">
      <c r="C597" s="1270"/>
      <c r="D597" s="1270"/>
      <c r="E597" s="1270"/>
      <c r="F597" s="1251"/>
      <c r="G597" s="1251"/>
      <c r="H597" s="1251"/>
      <c r="I597" s="1251"/>
      <c r="J597" s="1251"/>
      <c r="K597" s="1251"/>
    </row>
    <row r="598">
      <c r="C598" s="1270"/>
      <c r="D598" s="1270"/>
      <c r="E598" s="1270"/>
      <c r="F598" s="1251"/>
      <c r="G598" s="1251"/>
      <c r="H598" s="1251"/>
      <c r="I598" s="1251"/>
      <c r="J598" s="1251"/>
      <c r="K598" s="1251"/>
    </row>
    <row r="599">
      <c r="C599" s="1270"/>
      <c r="D599" s="1270"/>
      <c r="E599" s="1270"/>
      <c r="F599" s="1251"/>
      <c r="G599" s="1251"/>
      <c r="H599" s="1251"/>
      <c r="I599" s="1251"/>
      <c r="J599" s="1251"/>
      <c r="K599" s="1251"/>
    </row>
    <row r="600">
      <c r="C600" s="1270"/>
      <c r="D600" s="1270"/>
      <c r="E600" s="1270"/>
      <c r="F600" s="1251"/>
      <c r="G600" s="1251"/>
      <c r="H600" s="1251"/>
      <c r="I600" s="1251"/>
      <c r="J600" s="1251"/>
      <c r="K600" s="1251"/>
    </row>
    <row r="601">
      <c r="C601" s="1270"/>
      <c r="D601" s="1270"/>
      <c r="E601" s="1270"/>
      <c r="F601" s="1251"/>
      <c r="G601" s="1251"/>
      <c r="H601" s="1251"/>
      <c r="I601" s="1251"/>
      <c r="J601" s="1251"/>
      <c r="K601" s="1251"/>
    </row>
    <row r="602">
      <c r="C602" s="1270"/>
      <c r="D602" s="1270"/>
      <c r="E602" s="1270"/>
      <c r="F602" s="1251"/>
      <c r="G602" s="1251"/>
      <c r="H602" s="1251"/>
      <c r="I602" s="1251"/>
      <c r="J602" s="1251"/>
      <c r="K602" s="1251"/>
    </row>
    <row r="603">
      <c r="C603" s="1270"/>
      <c r="D603" s="1270"/>
      <c r="E603" s="1270"/>
      <c r="F603" s="1251"/>
      <c r="G603" s="1251"/>
      <c r="H603" s="1251"/>
      <c r="I603" s="1251"/>
      <c r="J603" s="1251"/>
      <c r="K603" s="1251"/>
    </row>
    <row r="604">
      <c r="C604" s="1270"/>
      <c r="D604" s="1270"/>
      <c r="E604" s="1270"/>
      <c r="F604" s="1251"/>
      <c r="G604" s="1251"/>
      <c r="H604" s="1251"/>
      <c r="I604" s="1251"/>
      <c r="J604" s="1251"/>
      <c r="K604" s="1251"/>
    </row>
    <row r="605">
      <c r="C605" s="1270"/>
      <c r="D605" s="1270"/>
      <c r="E605" s="1270"/>
      <c r="F605" s="1251"/>
      <c r="G605" s="1251"/>
      <c r="H605" s="1251"/>
      <c r="I605" s="1251"/>
      <c r="J605" s="1251"/>
      <c r="K605" s="1251"/>
    </row>
    <row r="606">
      <c r="C606" s="1270"/>
      <c r="D606" s="1270"/>
      <c r="E606" s="1270"/>
      <c r="F606" s="1251"/>
      <c r="G606" s="1251"/>
      <c r="H606" s="1251"/>
      <c r="I606" s="1251"/>
      <c r="J606" s="1251"/>
      <c r="K606" s="1251"/>
    </row>
    <row r="607">
      <c r="C607" s="1270"/>
      <c r="D607" s="1270"/>
      <c r="E607" s="1270"/>
      <c r="F607" s="1251"/>
      <c r="G607" s="1251"/>
      <c r="H607" s="1251"/>
      <c r="I607" s="1251"/>
      <c r="J607" s="1251"/>
      <c r="K607" s="1251"/>
    </row>
    <row r="608">
      <c r="C608" s="1270"/>
      <c r="D608" s="1270"/>
      <c r="E608" s="1270"/>
      <c r="F608" s="1251"/>
      <c r="G608" s="1251"/>
      <c r="H608" s="1251"/>
      <c r="I608" s="1251"/>
      <c r="J608" s="1251"/>
      <c r="K608" s="1251"/>
    </row>
    <row r="609">
      <c r="C609" s="1270"/>
      <c r="D609" s="1270"/>
      <c r="E609" s="1270"/>
      <c r="F609" s="1251"/>
      <c r="G609" s="1251"/>
      <c r="H609" s="1251"/>
      <c r="I609" s="1251"/>
      <c r="J609" s="1251"/>
      <c r="K609" s="1251"/>
    </row>
    <row r="610">
      <c r="C610" s="1270"/>
      <c r="D610" s="1270"/>
      <c r="E610" s="1270"/>
      <c r="F610" s="1251"/>
      <c r="G610" s="1251"/>
      <c r="H610" s="1251"/>
      <c r="I610" s="1251"/>
      <c r="J610" s="1251"/>
      <c r="K610" s="1251"/>
    </row>
    <row r="611">
      <c r="C611" s="1270"/>
      <c r="D611" s="1270"/>
      <c r="E611" s="1270"/>
      <c r="F611" s="1251"/>
      <c r="G611" s="1251"/>
      <c r="H611" s="1251"/>
      <c r="I611" s="1251"/>
      <c r="J611" s="1251"/>
      <c r="K611" s="1251"/>
    </row>
    <row r="612">
      <c r="C612" s="1270"/>
      <c r="D612" s="1270"/>
      <c r="E612" s="1270"/>
      <c r="F612" s="1251"/>
      <c r="G612" s="1251"/>
      <c r="H612" s="1251"/>
      <c r="I612" s="1251"/>
      <c r="J612" s="1251"/>
      <c r="K612" s="1251"/>
    </row>
    <row r="613">
      <c r="C613" s="1270"/>
      <c r="D613" s="1270"/>
      <c r="E613" s="1270"/>
      <c r="F613" s="1251"/>
      <c r="G613" s="1251"/>
      <c r="H613" s="1251"/>
      <c r="I613" s="1251"/>
      <c r="J613" s="1251"/>
      <c r="K613" s="1251"/>
    </row>
    <row r="614">
      <c r="C614" s="1270"/>
      <c r="D614" s="1270"/>
      <c r="E614" s="1270"/>
      <c r="F614" s="1251"/>
      <c r="G614" s="1251"/>
      <c r="H614" s="1251"/>
      <c r="I614" s="1251"/>
      <c r="J614" s="1251"/>
      <c r="K614" s="1251"/>
    </row>
    <row r="615">
      <c r="C615" s="1270"/>
      <c r="D615" s="1270"/>
      <c r="E615" s="1270"/>
      <c r="F615" s="1251"/>
      <c r="G615" s="1251"/>
      <c r="H615" s="1251"/>
      <c r="I615" s="1251"/>
      <c r="J615" s="1251"/>
      <c r="K615" s="1251"/>
    </row>
    <row r="616">
      <c r="C616" s="1270"/>
      <c r="D616" s="1270"/>
      <c r="E616" s="1270"/>
      <c r="F616" s="1251"/>
      <c r="G616" s="1251"/>
      <c r="H616" s="1251"/>
      <c r="I616" s="1251"/>
      <c r="J616" s="1251"/>
      <c r="K616" s="1251"/>
    </row>
    <row r="617">
      <c r="C617" s="1270"/>
      <c r="D617" s="1270"/>
      <c r="E617" s="1270"/>
      <c r="F617" s="1251"/>
      <c r="G617" s="1251"/>
      <c r="H617" s="1251"/>
      <c r="I617" s="1251"/>
      <c r="J617" s="1251"/>
      <c r="K617" s="1251"/>
    </row>
    <row r="618">
      <c r="C618" s="1270"/>
      <c r="D618" s="1270"/>
      <c r="E618" s="1270"/>
      <c r="F618" s="1251"/>
      <c r="G618" s="1251"/>
      <c r="H618" s="1251"/>
      <c r="I618" s="1251"/>
      <c r="J618" s="1251"/>
      <c r="K618" s="1251"/>
    </row>
    <row r="619">
      <c r="C619" s="1270"/>
      <c r="D619" s="1270"/>
      <c r="E619" s="1270"/>
      <c r="F619" s="1251"/>
      <c r="G619" s="1251"/>
      <c r="H619" s="1251"/>
      <c r="I619" s="1251"/>
      <c r="J619" s="1251"/>
      <c r="K619" s="1251"/>
    </row>
    <row r="620">
      <c r="C620" s="1270"/>
      <c r="D620" s="1270"/>
      <c r="E620" s="1270"/>
      <c r="F620" s="1251"/>
      <c r="G620" s="1251"/>
      <c r="H620" s="1251"/>
      <c r="I620" s="1251"/>
      <c r="J620" s="1251"/>
      <c r="K620" s="1251"/>
    </row>
    <row r="621">
      <c r="C621" s="1270"/>
      <c r="D621" s="1270"/>
      <c r="E621" s="1270"/>
      <c r="F621" s="1251"/>
      <c r="G621" s="1251"/>
      <c r="H621" s="1251"/>
      <c r="I621" s="1251"/>
      <c r="J621" s="1251"/>
      <c r="K621" s="1251"/>
    </row>
    <row r="622">
      <c r="C622" s="1270"/>
      <c r="D622" s="1270"/>
      <c r="E622" s="1270"/>
      <c r="F622" s="1251"/>
      <c r="G622" s="1251"/>
      <c r="H622" s="1251"/>
      <c r="I622" s="1251"/>
      <c r="J622" s="1251"/>
      <c r="K622" s="1251"/>
    </row>
    <row r="623">
      <c r="C623" s="1270"/>
      <c r="D623" s="1270"/>
      <c r="E623" s="1270"/>
      <c r="F623" s="1251"/>
      <c r="G623" s="1251"/>
      <c r="H623" s="1251"/>
      <c r="I623" s="1251"/>
      <c r="J623" s="1251"/>
      <c r="K623" s="1251"/>
    </row>
    <row r="624">
      <c r="C624" s="1270"/>
      <c r="D624" s="1270"/>
      <c r="E624" s="1270"/>
      <c r="F624" s="1251"/>
      <c r="G624" s="1251"/>
      <c r="H624" s="1251"/>
      <c r="I624" s="1251"/>
      <c r="J624" s="1251"/>
      <c r="K624" s="1251"/>
    </row>
    <row r="625">
      <c r="C625" s="1270"/>
      <c r="D625" s="1270"/>
      <c r="E625" s="1270"/>
      <c r="F625" s="1251"/>
      <c r="G625" s="1251"/>
      <c r="H625" s="1251"/>
      <c r="I625" s="1251"/>
      <c r="J625" s="1251"/>
      <c r="K625" s="1251"/>
    </row>
    <row r="626">
      <c r="C626" s="1270"/>
      <c r="D626" s="1270"/>
      <c r="E626" s="1270"/>
      <c r="F626" s="1251"/>
      <c r="G626" s="1251"/>
      <c r="H626" s="1251"/>
      <c r="I626" s="1251"/>
      <c r="J626" s="1251"/>
      <c r="K626" s="1251"/>
    </row>
    <row r="627">
      <c r="C627" s="1270"/>
      <c r="D627" s="1270"/>
      <c r="E627" s="1270"/>
      <c r="F627" s="1251"/>
      <c r="G627" s="1251"/>
      <c r="H627" s="1251"/>
      <c r="I627" s="1251"/>
      <c r="J627" s="1251"/>
      <c r="K627" s="1251"/>
    </row>
    <row r="628">
      <c r="C628" s="1270"/>
      <c r="D628" s="1270"/>
      <c r="E628" s="1270"/>
      <c r="F628" s="1251"/>
      <c r="G628" s="1251"/>
      <c r="H628" s="1251"/>
      <c r="I628" s="1251"/>
      <c r="J628" s="1251"/>
      <c r="K628" s="1251"/>
    </row>
    <row r="629">
      <c r="C629" s="1270"/>
      <c r="D629" s="1270"/>
      <c r="E629" s="1270"/>
      <c r="F629" s="1251"/>
      <c r="G629" s="1251"/>
      <c r="H629" s="1251"/>
      <c r="I629" s="1251"/>
      <c r="J629" s="1251"/>
      <c r="K629" s="1251"/>
    </row>
    <row r="630">
      <c r="C630" s="1270"/>
      <c r="D630" s="1270"/>
      <c r="E630" s="1270"/>
      <c r="F630" s="1251"/>
      <c r="G630" s="1251"/>
      <c r="H630" s="1251"/>
      <c r="I630" s="1251"/>
      <c r="J630" s="1251"/>
      <c r="K630" s="1251"/>
    </row>
    <row r="631">
      <c r="C631" s="1270"/>
      <c r="D631" s="1270"/>
      <c r="E631" s="1270"/>
      <c r="F631" s="1251"/>
      <c r="G631" s="1251"/>
      <c r="H631" s="1251"/>
      <c r="I631" s="1251"/>
      <c r="J631" s="1251"/>
      <c r="K631" s="1251"/>
    </row>
    <row r="632">
      <c r="C632" s="1270"/>
      <c r="D632" s="1270"/>
      <c r="E632" s="1270"/>
      <c r="F632" s="1251"/>
      <c r="G632" s="1251"/>
      <c r="H632" s="1251"/>
      <c r="I632" s="1251"/>
      <c r="J632" s="1251"/>
      <c r="K632" s="1251"/>
    </row>
    <row r="633">
      <c r="C633" s="1270"/>
      <c r="D633" s="1270"/>
      <c r="E633" s="1270"/>
      <c r="F633" s="1251"/>
      <c r="G633" s="1251"/>
      <c r="H633" s="1251"/>
      <c r="I633" s="1251"/>
      <c r="J633" s="1251"/>
      <c r="K633" s="1251"/>
    </row>
    <row r="634">
      <c r="C634" s="1270"/>
      <c r="D634" s="1270"/>
      <c r="E634" s="1270"/>
      <c r="F634" s="1251"/>
      <c r="G634" s="1251"/>
      <c r="H634" s="1251"/>
      <c r="I634" s="1251"/>
      <c r="J634" s="1251"/>
      <c r="K634" s="1251"/>
    </row>
    <row r="635">
      <c r="C635" s="1270"/>
      <c r="D635" s="1270"/>
      <c r="E635" s="1270"/>
      <c r="F635" s="1251"/>
      <c r="G635" s="1251"/>
      <c r="H635" s="1251"/>
      <c r="I635" s="1251"/>
      <c r="J635" s="1251"/>
      <c r="K635" s="1251"/>
    </row>
    <row r="636">
      <c r="C636" s="1270"/>
      <c r="D636" s="1270"/>
      <c r="E636" s="1270"/>
      <c r="F636" s="1251"/>
      <c r="G636" s="1251"/>
      <c r="H636" s="1251"/>
      <c r="I636" s="1251"/>
      <c r="J636" s="1251"/>
      <c r="K636" s="1251"/>
    </row>
    <row r="637">
      <c r="C637" s="1270"/>
      <c r="D637" s="1270"/>
      <c r="E637" s="1270"/>
      <c r="F637" s="1251"/>
      <c r="G637" s="1251"/>
      <c r="H637" s="1251"/>
      <c r="I637" s="1251"/>
      <c r="J637" s="1251"/>
      <c r="K637" s="1251"/>
    </row>
    <row r="638">
      <c r="C638" s="1270"/>
      <c r="D638" s="1270"/>
      <c r="E638" s="1270"/>
      <c r="F638" s="1251"/>
      <c r="G638" s="1251"/>
      <c r="H638" s="1251"/>
      <c r="I638" s="1251"/>
      <c r="J638" s="1251"/>
      <c r="K638" s="1251"/>
    </row>
    <row r="639">
      <c r="C639" s="1270"/>
      <c r="D639" s="1270"/>
      <c r="E639" s="1270"/>
      <c r="F639" s="1251"/>
      <c r="G639" s="1251"/>
      <c r="H639" s="1251"/>
      <c r="I639" s="1251"/>
      <c r="J639" s="1251"/>
      <c r="K639" s="1251"/>
    </row>
    <row r="640">
      <c r="C640" s="1270"/>
      <c r="D640" s="1270"/>
      <c r="E640" s="1270"/>
      <c r="F640" s="1251"/>
      <c r="G640" s="1251"/>
      <c r="H640" s="1251"/>
      <c r="I640" s="1251"/>
      <c r="J640" s="1251"/>
      <c r="K640" s="1251"/>
    </row>
    <row r="641">
      <c r="C641" s="1270"/>
      <c r="D641" s="1270"/>
      <c r="E641" s="1270"/>
      <c r="F641" s="1251"/>
      <c r="G641" s="1251"/>
      <c r="H641" s="1251"/>
      <c r="I641" s="1251"/>
      <c r="J641" s="1251"/>
      <c r="K641" s="1251"/>
    </row>
    <row r="642">
      <c r="C642" s="1270"/>
      <c r="D642" s="1270"/>
      <c r="E642" s="1270"/>
      <c r="F642" s="1251"/>
      <c r="G642" s="1251"/>
      <c r="H642" s="1251"/>
      <c r="I642" s="1251"/>
      <c r="J642" s="1251"/>
      <c r="K642" s="1251"/>
    </row>
    <row r="643">
      <c r="C643" s="1270"/>
      <c r="D643" s="1270"/>
      <c r="E643" s="1270"/>
      <c r="F643" s="1251"/>
      <c r="G643" s="1251"/>
      <c r="H643" s="1251"/>
      <c r="I643" s="1251"/>
      <c r="J643" s="1251"/>
      <c r="K643" s="1251"/>
    </row>
    <row r="644">
      <c r="C644" s="1270"/>
      <c r="D644" s="1270"/>
      <c r="E644" s="1270"/>
      <c r="F644" s="1251"/>
      <c r="G644" s="1251"/>
      <c r="H644" s="1251"/>
      <c r="I644" s="1251"/>
      <c r="J644" s="1251"/>
      <c r="K644" s="1251"/>
    </row>
    <row r="645">
      <c r="C645" s="1270"/>
      <c r="D645" s="1270"/>
      <c r="E645" s="1270"/>
      <c r="F645" s="1251"/>
      <c r="G645" s="1251"/>
      <c r="H645" s="1251"/>
      <c r="I645" s="1251"/>
      <c r="J645" s="1251"/>
      <c r="K645" s="1251"/>
    </row>
    <row r="646">
      <c r="C646" s="1270"/>
      <c r="D646" s="1270"/>
      <c r="E646" s="1270"/>
      <c r="F646" s="1251"/>
      <c r="G646" s="1251"/>
      <c r="H646" s="1251"/>
      <c r="I646" s="1251"/>
      <c r="J646" s="1251"/>
      <c r="K646" s="1251"/>
    </row>
    <row r="647">
      <c r="C647" s="1270"/>
      <c r="D647" s="1270"/>
      <c r="E647" s="1270"/>
      <c r="F647" s="1251"/>
      <c r="G647" s="1251"/>
      <c r="H647" s="1251"/>
      <c r="I647" s="1251"/>
      <c r="J647" s="1251"/>
      <c r="K647" s="1251"/>
    </row>
    <row r="648">
      <c r="C648" s="1270"/>
      <c r="D648" s="1270"/>
      <c r="E648" s="1270"/>
      <c r="F648" s="1251"/>
      <c r="G648" s="1251"/>
      <c r="H648" s="1251"/>
      <c r="I648" s="1251"/>
      <c r="J648" s="1251"/>
      <c r="K648" s="1251"/>
    </row>
    <row r="649">
      <c r="C649" s="1270"/>
      <c r="D649" s="1270"/>
      <c r="E649" s="1270"/>
      <c r="F649" s="1251"/>
      <c r="G649" s="1251"/>
      <c r="H649" s="1251"/>
      <c r="I649" s="1251"/>
      <c r="J649" s="1251"/>
      <c r="K649" s="1251"/>
    </row>
    <row r="650">
      <c r="C650" s="1270"/>
      <c r="D650" s="1270"/>
      <c r="E650" s="1270"/>
      <c r="F650" s="1251"/>
      <c r="G650" s="1251"/>
      <c r="H650" s="1251"/>
      <c r="I650" s="1251"/>
      <c r="J650" s="1251"/>
      <c r="K650" s="1251"/>
    </row>
    <row r="651">
      <c r="C651" s="1270"/>
      <c r="D651" s="1270"/>
      <c r="E651" s="1270"/>
      <c r="F651" s="1251"/>
      <c r="G651" s="1251"/>
      <c r="H651" s="1251"/>
      <c r="I651" s="1251"/>
      <c r="J651" s="1251"/>
      <c r="K651" s="1251"/>
    </row>
    <row r="652">
      <c r="C652" s="1270"/>
      <c r="D652" s="1270"/>
      <c r="E652" s="1270"/>
      <c r="F652" s="1251"/>
      <c r="G652" s="1251"/>
      <c r="H652" s="1251"/>
      <c r="I652" s="1251"/>
      <c r="J652" s="1251"/>
      <c r="K652" s="1251"/>
    </row>
    <row r="653">
      <c r="C653" s="1270"/>
      <c r="D653" s="1270"/>
      <c r="E653" s="1270"/>
      <c r="F653" s="1251"/>
      <c r="G653" s="1251"/>
      <c r="H653" s="1251"/>
      <c r="I653" s="1251"/>
      <c r="J653" s="1251"/>
      <c r="K653" s="1251"/>
    </row>
    <row r="654">
      <c r="C654" s="1270"/>
      <c r="D654" s="1270"/>
      <c r="E654" s="1270"/>
      <c r="F654" s="1251"/>
      <c r="G654" s="1251"/>
      <c r="H654" s="1251"/>
      <c r="I654" s="1251"/>
      <c r="J654" s="1251"/>
      <c r="K654" s="1251"/>
    </row>
    <row r="655">
      <c r="C655" s="1270"/>
      <c r="D655" s="1270"/>
      <c r="E655" s="1270"/>
      <c r="F655" s="1251"/>
      <c r="G655" s="1251"/>
      <c r="H655" s="1251"/>
      <c r="I655" s="1251"/>
      <c r="J655" s="1251"/>
      <c r="K655" s="1251"/>
    </row>
    <row r="656">
      <c r="C656" s="1270"/>
      <c r="D656" s="1270"/>
      <c r="E656" s="1270"/>
      <c r="F656" s="1251"/>
      <c r="G656" s="1251"/>
      <c r="H656" s="1251"/>
      <c r="I656" s="1251"/>
      <c r="J656" s="1251"/>
      <c r="K656" s="1251"/>
    </row>
    <row r="657">
      <c r="C657" s="1270"/>
      <c r="D657" s="1270"/>
      <c r="E657" s="1270"/>
      <c r="F657" s="1251"/>
      <c r="G657" s="1251"/>
      <c r="H657" s="1251"/>
      <c r="I657" s="1251"/>
      <c r="J657" s="1251"/>
      <c r="K657" s="1251"/>
    </row>
    <row r="658">
      <c r="C658" s="1270"/>
      <c r="D658" s="1270"/>
      <c r="E658" s="1270"/>
      <c r="F658" s="1251"/>
      <c r="G658" s="1251"/>
      <c r="H658" s="1251"/>
      <c r="I658" s="1251"/>
      <c r="J658" s="1251"/>
      <c r="K658" s="1251"/>
    </row>
    <row r="659">
      <c r="C659" s="1270"/>
      <c r="D659" s="1270"/>
      <c r="E659" s="1270"/>
      <c r="F659" s="1251"/>
      <c r="G659" s="1251"/>
      <c r="H659" s="1251"/>
      <c r="I659" s="1251"/>
      <c r="J659" s="1251"/>
      <c r="K659" s="1251"/>
    </row>
    <row r="660">
      <c r="C660" s="1270"/>
      <c r="D660" s="1270"/>
      <c r="E660" s="1270"/>
      <c r="F660" s="1251"/>
      <c r="G660" s="1251"/>
      <c r="H660" s="1251"/>
      <c r="I660" s="1251"/>
      <c r="J660" s="1251"/>
      <c r="K660" s="1251"/>
    </row>
    <row r="661">
      <c r="C661" s="1270"/>
      <c r="D661" s="1270"/>
      <c r="E661" s="1270"/>
      <c r="F661" s="1251"/>
      <c r="G661" s="1251"/>
      <c r="H661" s="1251"/>
      <c r="I661" s="1251"/>
      <c r="J661" s="1251"/>
      <c r="K661" s="1251"/>
    </row>
    <row r="662">
      <c r="C662" s="1270"/>
      <c r="D662" s="1270"/>
      <c r="E662" s="1270"/>
      <c r="F662" s="1251"/>
      <c r="G662" s="1251"/>
      <c r="H662" s="1251"/>
      <c r="I662" s="1251"/>
      <c r="J662" s="1251"/>
      <c r="K662" s="1251"/>
    </row>
    <row r="663">
      <c r="C663" s="1270"/>
      <c r="D663" s="1270"/>
      <c r="E663" s="1270"/>
      <c r="F663" s="1251"/>
      <c r="G663" s="1251"/>
      <c r="H663" s="1251"/>
      <c r="I663" s="1251"/>
      <c r="J663" s="1251"/>
      <c r="K663" s="1251"/>
    </row>
    <row r="664">
      <c r="C664" s="1270"/>
      <c r="D664" s="1270"/>
      <c r="E664" s="1270"/>
      <c r="F664" s="1251"/>
      <c r="G664" s="1251"/>
      <c r="H664" s="1251"/>
      <c r="I664" s="1251"/>
      <c r="J664" s="1251"/>
      <c r="K664" s="1251"/>
    </row>
    <row r="665">
      <c r="C665" s="1270"/>
      <c r="D665" s="1270"/>
      <c r="E665" s="1270"/>
      <c r="F665" s="1251"/>
      <c r="G665" s="1251"/>
      <c r="H665" s="1251"/>
      <c r="I665" s="1251"/>
      <c r="J665" s="1251"/>
      <c r="K665" s="1251"/>
    </row>
    <row r="666">
      <c r="C666" s="1270"/>
      <c r="D666" s="1270"/>
      <c r="E666" s="1270"/>
      <c r="F666" s="1251"/>
      <c r="G666" s="1251"/>
      <c r="H666" s="1251"/>
      <c r="I666" s="1251"/>
      <c r="J666" s="1251"/>
      <c r="K666" s="1251"/>
    </row>
    <row r="667">
      <c r="C667" s="1270"/>
      <c r="D667" s="1270"/>
      <c r="E667" s="1270"/>
      <c r="F667" s="1251"/>
      <c r="G667" s="1251"/>
      <c r="H667" s="1251"/>
      <c r="I667" s="1251"/>
      <c r="J667" s="1251"/>
      <c r="K667" s="1251"/>
    </row>
    <row r="668">
      <c r="C668" s="1270"/>
      <c r="D668" s="1270"/>
      <c r="E668" s="1270"/>
      <c r="F668" s="1251"/>
      <c r="G668" s="1251"/>
      <c r="H668" s="1251"/>
      <c r="I668" s="1251"/>
      <c r="J668" s="1251"/>
      <c r="K668" s="1251"/>
    </row>
    <row r="669">
      <c r="C669" s="1270"/>
      <c r="D669" s="1270"/>
      <c r="E669" s="1270"/>
      <c r="F669" s="1251"/>
      <c r="G669" s="1251"/>
      <c r="H669" s="1251"/>
      <c r="I669" s="1251"/>
      <c r="J669" s="1251"/>
      <c r="K669" s="1251"/>
    </row>
    <row r="670">
      <c r="C670" s="1270"/>
      <c r="D670" s="1270"/>
      <c r="E670" s="1270"/>
      <c r="F670" s="1251"/>
      <c r="G670" s="1251"/>
      <c r="H670" s="1251"/>
      <c r="I670" s="1251"/>
      <c r="J670" s="1251"/>
      <c r="K670" s="1251"/>
    </row>
    <row r="671">
      <c r="C671" s="1270"/>
      <c r="D671" s="1270"/>
      <c r="E671" s="1270"/>
      <c r="F671" s="1251"/>
      <c r="G671" s="1251"/>
      <c r="H671" s="1251"/>
      <c r="I671" s="1251"/>
      <c r="J671" s="1251"/>
      <c r="K671" s="1251"/>
    </row>
    <row r="672">
      <c r="C672" s="1270"/>
      <c r="D672" s="1270"/>
      <c r="E672" s="1270"/>
      <c r="F672" s="1251"/>
      <c r="G672" s="1251"/>
      <c r="H672" s="1251"/>
      <c r="I672" s="1251"/>
      <c r="J672" s="1251"/>
      <c r="K672" s="1251"/>
    </row>
    <row r="673">
      <c r="C673" s="1270"/>
      <c r="D673" s="1270"/>
      <c r="E673" s="1270"/>
      <c r="F673" s="1251"/>
      <c r="G673" s="1251"/>
      <c r="H673" s="1251"/>
      <c r="I673" s="1251"/>
      <c r="J673" s="1251"/>
      <c r="K673" s="1251"/>
    </row>
    <row r="674">
      <c r="C674" s="1270"/>
      <c r="D674" s="1270"/>
      <c r="E674" s="1270"/>
      <c r="F674" s="1251"/>
      <c r="G674" s="1251"/>
      <c r="H674" s="1251"/>
      <c r="I674" s="1251"/>
      <c r="J674" s="1251"/>
      <c r="K674" s="1251"/>
    </row>
    <row r="675">
      <c r="C675" s="1270"/>
      <c r="D675" s="1270"/>
      <c r="E675" s="1270"/>
      <c r="F675" s="1251"/>
      <c r="G675" s="1251"/>
      <c r="H675" s="1251"/>
      <c r="I675" s="1251"/>
      <c r="J675" s="1251"/>
      <c r="K675" s="1251"/>
    </row>
    <row r="676">
      <c r="C676" s="1270"/>
      <c r="D676" s="1270"/>
      <c r="E676" s="1270"/>
      <c r="F676" s="1251"/>
      <c r="G676" s="1251"/>
      <c r="H676" s="1251"/>
      <c r="I676" s="1251"/>
      <c r="J676" s="1251"/>
      <c r="K676" s="1251"/>
    </row>
    <row r="677">
      <c r="C677" s="1270"/>
      <c r="D677" s="1270"/>
      <c r="E677" s="1270"/>
      <c r="F677" s="1251"/>
      <c r="G677" s="1251"/>
      <c r="H677" s="1251"/>
      <c r="I677" s="1251"/>
      <c r="J677" s="1251"/>
      <c r="K677" s="1251"/>
    </row>
    <row r="678">
      <c r="C678" s="1270"/>
      <c r="D678" s="1270"/>
      <c r="E678" s="1270"/>
      <c r="F678" s="1251"/>
      <c r="G678" s="1251"/>
      <c r="H678" s="1251"/>
      <c r="I678" s="1251"/>
      <c r="J678" s="1251"/>
      <c r="K678" s="1251"/>
    </row>
    <row r="679">
      <c r="C679" s="1270"/>
      <c r="D679" s="1270"/>
      <c r="E679" s="1270"/>
      <c r="F679" s="1251"/>
      <c r="G679" s="1251"/>
      <c r="H679" s="1251"/>
      <c r="I679" s="1251"/>
      <c r="J679" s="1251"/>
      <c r="K679" s="1251"/>
    </row>
    <row r="680">
      <c r="C680" s="1270"/>
      <c r="D680" s="1270"/>
      <c r="E680" s="1270"/>
      <c r="F680" s="1251"/>
      <c r="G680" s="1251"/>
      <c r="H680" s="1251"/>
      <c r="I680" s="1251"/>
      <c r="J680" s="1251"/>
      <c r="K680" s="1251"/>
    </row>
    <row r="681">
      <c r="C681" s="1270"/>
      <c r="D681" s="1270"/>
      <c r="E681" s="1270"/>
      <c r="F681" s="1251"/>
      <c r="G681" s="1251"/>
      <c r="H681" s="1251"/>
      <c r="I681" s="1251"/>
      <c r="J681" s="1251"/>
      <c r="K681" s="1251"/>
    </row>
    <row r="682">
      <c r="C682" s="1270"/>
      <c r="D682" s="1270"/>
      <c r="E682" s="1270"/>
      <c r="F682" s="1251"/>
      <c r="G682" s="1251"/>
      <c r="H682" s="1251"/>
      <c r="I682" s="1251"/>
      <c r="J682" s="1251"/>
      <c r="K682" s="1251"/>
    </row>
    <row r="683">
      <c r="C683" s="1270"/>
      <c r="D683" s="1270"/>
      <c r="E683" s="1270"/>
      <c r="F683" s="1251"/>
      <c r="G683" s="1251"/>
      <c r="H683" s="1251"/>
      <c r="I683" s="1251"/>
      <c r="J683" s="1251"/>
      <c r="K683" s="1251"/>
    </row>
    <row r="684">
      <c r="C684" s="1270"/>
      <c r="D684" s="1270"/>
      <c r="E684" s="1270"/>
      <c r="F684" s="1251"/>
      <c r="G684" s="1251"/>
      <c r="H684" s="1251"/>
      <c r="I684" s="1251"/>
      <c r="J684" s="1251"/>
      <c r="K684" s="1251"/>
    </row>
    <row r="685">
      <c r="C685" s="1270"/>
      <c r="D685" s="1270"/>
      <c r="E685" s="1270"/>
      <c r="F685" s="1251"/>
      <c r="G685" s="1251"/>
      <c r="H685" s="1251"/>
      <c r="I685" s="1251"/>
      <c r="J685" s="1251"/>
      <c r="K685" s="1251"/>
    </row>
    <row r="686">
      <c r="C686" s="1270"/>
      <c r="D686" s="1270"/>
      <c r="E686" s="1270"/>
      <c r="F686" s="1251"/>
      <c r="G686" s="1251"/>
      <c r="H686" s="1251"/>
      <c r="I686" s="1251"/>
      <c r="J686" s="1251"/>
      <c r="K686" s="1251"/>
    </row>
    <row r="687">
      <c r="C687" s="1270"/>
      <c r="D687" s="1270"/>
      <c r="E687" s="1270"/>
      <c r="F687" s="1251"/>
      <c r="G687" s="1251"/>
      <c r="H687" s="1251"/>
      <c r="I687" s="1251"/>
      <c r="J687" s="1251"/>
      <c r="K687" s="1251"/>
    </row>
    <row r="688">
      <c r="C688" s="1270"/>
      <c r="D688" s="1270"/>
      <c r="E688" s="1270"/>
      <c r="F688" s="1251"/>
      <c r="G688" s="1251"/>
      <c r="H688" s="1251"/>
      <c r="I688" s="1251"/>
      <c r="J688" s="1251"/>
      <c r="K688" s="1251"/>
    </row>
    <row r="689">
      <c r="C689" s="1270"/>
      <c r="D689" s="1270"/>
      <c r="E689" s="1270"/>
      <c r="F689" s="1251"/>
      <c r="G689" s="1251"/>
      <c r="H689" s="1251"/>
      <c r="I689" s="1251"/>
      <c r="J689" s="1251"/>
      <c r="K689" s="1251"/>
    </row>
    <row r="690">
      <c r="C690" s="1270"/>
      <c r="D690" s="1270"/>
      <c r="E690" s="1270"/>
      <c r="F690" s="1251"/>
      <c r="G690" s="1251"/>
      <c r="H690" s="1251"/>
      <c r="I690" s="1251"/>
      <c r="J690" s="1251"/>
      <c r="K690" s="1251"/>
    </row>
    <row r="691">
      <c r="C691" s="1270"/>
      <c r="D691" s="1270"/>
      <c r="E691" s="1270"/>
      <c r="F691" s="1251"/>
      <c r="G691" s="1251"/>
      <c r="H691" s="1251"/>
      <c r="I691" s="1251"/>
      <c r="J691" s="1251"/>
      <c r="K691" s="1251"/>
    </row>
    <row r="692">
      <c r="C692" s="1270"/>
      <c r="D692" s="1270"/>
      <c r="E692" s="1270"/>
      <c r="F692" s="1251"/>
      <c r="G692" s="1251"/>
      <c r="H692" s="1251"/>
      <c r="I692" s="1251"/>
      <c r="J692" s="1251"/>
      <c r="K692" s="1251"/>
    </row>
    <row r="693">
      <c r="C693" s="1270"/>
      <c r="D693" s="1270"/>
      <c r="E693" s="1270"/>
      <c r="F693" s="1251"/>
      <c r="G693" s="1251"/>
      <c r="H693" s="1251"/>
      <c r="I693" s="1251"/>
      <c r="J693" s="1251"/>
      <c r="K693" s="1251"/>
    </row>
    <row r="694">
      <c r="C694" s="1270"/>
      <c r="D694" s="1270"/>
      <c r="E694" s="1270"/>
      <c r="F694" s="1251"/>
      <c r="G694" s="1251"/>
      <c r="H694" s="1251"/>
      <c r="I694" s="1251"/>
      <c r="J694" s="1251"/>
      <c r="K694" s="1251"/>
    </row>
    <row r="695">
      <c r="C695" s="1270"/>
      <c r="D695" s="1270"/>
      <c r="E695" s="1270"/>
      <c r="F695" s="1251"/>
      <c r="G695" s="1251"/>
      <c r="H695" s="1251"/>
      <c r="I695" s="1251"/>
      <c r="J695" s="1251"/>
      <c r="K695" s="1251"/>
    </row>
    <row r="696">
      <c r="C696" s="1270"/>
      <c r="D696" s="1270"/>
      <c r="E696" s="1270"/>
      <c r="F696" s="1251"/>
      <c r="G696" s="1251"/>
      <c r="H696" s="1251"/>
      <c r="I696" s="1251"/>
      <c r="J696" s="1251"/>
      <c r="K696" s="1251"/>
    </row>
    <row r="697">
      <c r="C697" s="1270"/>
      <c r="D697" s="1270"/>
      <c r="E697" s="1270"/>
      <c r="F697" s="1251"/>
      <c r="G697" s="1251"/>
      <c r="H697" s="1251"/>
      <c r="I697" s="1251"/>
      <c r="J697" s="1251"/>
      <c r="K697" s="1251"/>
    </row>
    <row r="698">
      <c r="C698" s="1270"/>
      <c r="D698" s="1270"/>
      <c r="E698" s="1270"/>
      <c r="F698" s="1251"/>
      <c r="G698" s="1251"/>
      <c r="H698" s="1251"/>
      <c r="I698" s="1251"/>
      <c r="J698" s="1251"/>
      <c r="K698" s="1251"/>
    </row>
    <row r="699">
      <c r="C699" s="1270"/>
      <c r="D699" s="1270"/>
      <c r="E699" s="1270"/>
      <c r="F699" s="1251"/>
      <c r="G699" s="1251"/>
      <c r="H699" s="1251"/>
      <c r="I699" s="1251"/>
      <c r="J699" s="1251"/>
      <c r="K699" s="1251"/>
    </row>
    <row r="700">
      <c r="C700" s="1270"/>
      <c r="D700" s="1270"/>
      <c r="E700" s="1270"/>
      <c r="F700" s="1251"/>
      <c r="G700" s="1251"/>
      <c r="H700" s="1251"/>
      <c r="I700" s="1251"/>
      <c r="J700" s="1251"/>
      <c r="K700" s="1251"/>
    </row>
    <row r="701">
      <c r="C701" s="1270"/>
      <c r="D701" s="1270"/>
      <c r="E701" s="1270"/>
      <c r="F701" s="1251"/>
      <c r="G701" s="1251"/>
      <c r="H701" s="1251"/>
      <c r="I701" s="1251"/>
      <c r="J701" s="1251"/>
      <c r="K701" s="1251"/>
    </row>
    <row r="702">
      <c r="C702" s="1270"/>
      <c r="D702" s="1270"/>
      <c r="E702" s="1270"/>
      <c r="F702" s="1251"/>
      <c r="G702" s="1251"/>
      <c r="H702" s="1251"/>
      <c r="I702" s="1251"/>
      <c r="J702" s="1251"/>
      <c r="K702" s="1251"/>
    </row>
    <row r="703">
      <c r="C703" s="1270"/>
      <c r="D703" s="1270"/>
      <c r="E703" s="1270"/>
      <c r="F703" s="1251"/>
      <c r="G703" s="1251"/>
      <c r="H703" s="1251"/>
      <c r="I703" s="1251"/>
      <c r="J703" s="1251"/>
      <c r="K703" s="1251"/>
    </row>
    <row r="704">
      <c r="C704" s="1270"/>
      <c r="D704" s="1270"/>
      <c r="E704" s="1270"/>
      <c r="F704" s="1251"/>
      <c r="G704" s="1251"/>
      <c r="H704" s="1251"/>
      <c r="I704" s="1251"/>
      <c r="J704" s="1251"/>
      <c r="K704" s="1251"/>
    </row>
    <row r="705">
      <c r="C705" s="1270"/>
      <c r="D705" s="1270"/>
      <c r="E705" s="1270"/>
      <c r="F705" s="1251"/>
      <c r="G705" s="1251"/>
      <c r="H705" s="1251"/>
      <c r="I705" s="1251"/>
      <c r="J705" s="1251"/>
      <c r="K705" s="1251"/>
    </row>
    <row r="706">
      <c r="C706" s="1270"/>
      <c r="D706" s="1270"/>
      <c r="E706" s="1270"/>
      <c r="F706" s="1251"/>
      <c r="G706" s="1251"/>
      <c r="H706" s="1251"/>
      <c r="I706" s="1251"/>
      <c r="J706" s="1251"/>
      <c r="K706" s="1251"/>
    </row>
    <row r="707">
      <c r="C707" s="1270"/>
      <c r="D707" s="1270"/>
      <c r="E707" s="1270"/>
      <c r="F707" s="1251"/>
      <c r="G707" s="1251"/>
      <c r="H707" s="1251"/>
      <c r="I707" s="1251"/>
      <c r="J707" s="1251"/>
      <c r="K707" s="1251"/>
    </row>
    <row r="708">
      <c r="C708" s="1270"/>
      <c r="D708" s="1270"/>
      <c r="E708" s="1270"/>
      <c r="F708" s="1251"/>
      <c r="G708" s="1251"/>
      <c r="H708" s="1251"/>
      <c r="I708" s="1251"/>
      <c r="J708" s="1251"/>
      <c r="K708" s="1251"/>
    </row>
    <row r="709">
      <c r="C709" s="1270"/>
      <c r="D709" s="1270"/>
      <c r="E709" s="1270"/>
      <c r="F709" s="1251"/>
      <c r="G709" s="1251"/>
      <c r="H709" s="1251"/>
      <c r="I709" s="1251"/>
      <c r="J709" s="1251"/>
      <c r="K709" s="1251"/>
    </row>
    <row r="710">
      <c r="C710" s="1270"/>
      <c r="D710" s="1270"/>
      <c r="E710" s="1270"/>
      <c r="F710" s="1251"/>
      <c r="G710" s="1251"/>
      <c r="H710" s="1251"/>
      <c r="I710" s="1251"/>
      <c r="J710" s="1251"/>
      <c r="K710" s="1251"/>
    </row>
    <row r="711">
      <c r="C711" s="1270"/>
      <c r="D711" s="1270"/>
      <c r="E711" s="1270"/>
      <c r="F711" s="1251"/>
      <c r="G711" s="1251"/>
      <c r="H711" s="1251"/>
      <c r="I711" s="1251"/>
      <c r="J711" s="1251"/>
      <c r="K711" s="1251"/>
    </row>
    <row r="712">
      <c r="C712" s="1270"/>
      <c r="D712" s="1270"/>
      <c r="E712" s="1270"/>
      <c r="F712" s="1251"/>
      <c r="G712" s="1251"/>
      <c r="H712" s="1251"/>
      <c r="I712" s="1251"/>
      <c r="J712" s="1251"/>
      <c r="K712" s="1251"/>
    </row>
    <row r="713">
      <c r="C713" s="1270"/>
      <c r="D713" s="1270"/>
      <c r="E713" s="1270"/>
      <c r="F713" s="1251"/>
      <c r="G713" s="1251"/>
      <c r="H713" s="1251"/>
      <c r="I713" s="1251"/>
      <c r="J713" s="1251"/>
      <c r="K713" s="1251"/>
    </row>
    <row r="714">
      <c r="C714" s="1270"/>
      <c r="D714" s="1270"/>
      <c r="E714" s="1270"/>
      <c r="F714" s="1251"/>
      <c r="G714" s="1251"/>
      <c r="H714" s="1251"/>
      <c r="I714" s="1251"/>
      <c r="J714" s="1251"/>
      <c r="K714" s="1251"/>
    </row>
    <row r="715">
      <c r="C715" s="1270"/>
      <c r="D715" s="1270"/>
      <c r="E715" s="1270"/>
      <c r="F715" s="1251"/>
      <c r="G715" s="1251"/>
      <c r="H715" s="1251"/>
      <c r="I715" s="1251"/>
      <c r="J715" s="1251"/>
      <c r="K715" s="1251"/>
    </row>
    <row r="716">
      <c r="C716" s="1270"/>
      <c r="D716" s="1270"/>
      <c r="E716" s="1270"/>
      <c r="F716" s="1251"/>
      <c r="G716" s="1251"/>
      <c r="H716" s="1251"/>
      <c r="I716" s="1251"/>
      <c r="J716" s="1251"/>
      <c r="K716" s="1251"/>
    </row>
    <row r="717">
      <c r="C717" s="1270"/>
      <c r="D717" s="1270"/>
      <c r="E717" s="1270"/>
      <c r="F717" s="1251"/>
      <c r="G717" s="1251"/>
      <c r="H717" s="1251"/>
      <c r="I717" s="1251"/>
      <c r="J717" s="1251"/>
      <c r="K717" s="1251"/>
    </row>
    <row r="718">
      <c r="C718" s="1270"/>
      <c r="D718" s="1270"/>
      <c r="E718" s="1270"/>
      <c r="F718" s="1251"/>
      <c r="G718" s="1251"/>
      <c r="H718" s="1251"/>
      <c r="I718" s="1251"/>
      <c r="J718" s="1251"/>
      <c r="K718" s="1251"/>
    </row>
    <row r="719">
      <c r="C719" s="1270"/>
      <c r="D719" s="1270"/>
      <c r="E719" s="1270"/>
      <c r="F719" s="1251"/>
      <c r="G719" s="1251"/>
      <c r="H719" s="1251"/>
      <c r="I719" s="1251"/>
      <c r="J719" s="1251"/>
      <c r="K719" s="1251"/>
    </row>
    <row r="720">
      <c r="C720" s="1270"/>
      <c r="D720" s="1270"/>
      <c r="E720" s="1270"/>
      <c r="F720" s="1251"/>
      <c r="G720" s="1251"/>
      <c r="H720" s="1251"/>
      <c r="I720" s="1251"/>
      <c r="J720" s="1251"/>
      <c r="K720" s="1251"/>
    </row>
    <row r="721">
      <c r="C721" s="1270"/>
      <c r="D721" s="1270"/>
      <c r="E721" s="1270"/>
      <c r="F721" s="1251"/>
      <c r="G721" s="1251"/>
      <c r="H721" s="1251"/>
      <c r="I721" s="1251"/>
      <c r="J721" s="1251"/>
      <c r="K721" s="1251"/>
    </row>
    <row r="722">
      <c r="C722" s="1270"/>
      <c r="D722" s="1270"/>
      <c r="E722" s="1270"/>
      <c r="F722" s="1251"/>
      <c r="G722" s="1251"/>
      <c r="H722" s="1251"/>
      <c r="I722" s="1251"/>
      <c r="J722" s="1251"/>
      <c r="K722" s="1251"/>
    </row>
    <row r="723">
      <c r="C723" s="1270"/>
      <c r="D723" s="1270"/>
      <c r="E723" s="1270"/>
      <c r="F723" s="1251"/>
      <c r="G723" s="1251"/>
      <c r="H723" s="1251"/>
      <c r="I723" s="1251"/>
      <c r="J723" s="1251"/>
      <c r="K723" s="1251"/>
    </row>
    <row r="724">
      <c r="C724" s="1270"/>
      <c r="D724" s="1270"/>
      <c r="E724" s="1270"/>
      <c r="F724" s="1251"/>
      <c r="G724" s="1251"/>
      <c r="H724" s="1251"/>
      <c r="I724" s="1251"/>
      <c r="J724" s="1251"/>
      <c r="K724" s="1251"/>
    </row>
    <row r="725">
      <c r="C725" s="1270"/>
      <c r="D725" s="1270"/>
      <c r="E725" s="1270"/>
      <c r="F725" s="1251"/>
      <c r="G725" s="1251"/>
      <c r="H725" s="1251"/>
      <c r="I725" s="1251"/>
      <c r="J725" s="1251"/>
      <c r="K725" s="1251"/>
    </row>
    <row r="726">
      <c r="C726" s="1270"/>
      <c r="D726" s="1270"/>
      <c r="E726" s="1270"/>
      <c r="F726" s="1251"/>
      <c r="G726" s="1251"/>
      <c r="H726" s="1251"/>
      <c r="I726" s="1251"/>
      <c r="J726" s="1251"/>
      <c r="K726" s="1251"/>
    </row>
    <row r="727">
      <c r="C727" s="1270"/>
      <c r="D727" s="1270"/>
      <c r="E727" s="1270"/>
      <c r="F727" s="1251"/>
      <c r="G727" s="1251"/>
      <c r="H727" s="1251"/>
      <c r="I727" s="1251"/>
      <c r="J727" s="1251"/>
      <c r="K727" s="1251"/>
    </row>
    <row r="728">
      <c r="C728" s="1270"/>
      <c r="D728" s="1270"/>
      <c r="E728" s="1270"/>
      <c r="F728" s="1251"/>
      <c r="G728" s="1251"/>
      <c r="H728" s="1251"/>
      <c r="I728" s="1251"/>
      <c r="J728" s="1251"/>
      <c r="K728" s="1251"/>
    </row>
    <row r="729">
      <c r="C729" s="1270"/>
      <c r="D729" s="1270"/>
      <c r="E729" s="1270"/>
      <c r="F729" s="1251"/>
      <c r="G729" s="1251"/>
      <c r="H729" s="1251"/>
      <c r="I729" s="1251"/>
      <c r="J729" s="1251"/>
      <c r="K729" s="1251"/>
    </row>
    <row r="730">
      <c r="C730" s="1270"/>
      <c r="D730" s="1270"/>
      <c r="E730" s="1270"/>
      <c r="F730" s="1251"/>
      <c r="G730" s="1251"/>
      <c r="H730" s="1251"/>
      <c r="I730" s="1251"/>
      <c r="J730" s="1251"/>
      <c r="K730" s="1251"/>
    </row>
    <row r="731">
      <c r="C731" s="1270"/>
      <c r="D731" s="1270"/>
      <c r="E731" s="1270"/>
      <c r="F731" s="1251"/>
      <c r="G731" s="1251"/>
      <c r="H731" s="1251"/>
      <c r="I731" s="1251"/>
      <c r="J731" s="1251"/>
      <c r="K731" s="1251"/>
    </row>
    <row r="732">
      <c r="C732" s="1270"/>
      <c r="D732" s="1270"/>
      <c r="E732" s="1270"/>
      <c r="F732" s="1251"/>
      <c r="G732" s="1251"/>
      <c r="H732" s="1251"/>
      <c r="I732" s="1251"/>
      <c r="J732" s="1251"/>
      <c r="K732" s="1251"/>
    </row>
    <row r="733">
      <c r="C733" s="1270"/>
      <c r="D733" s="1270"/>
      <c r="E733" s="1270"/>
      <c r="F733" s="1251"/>
      <c r="G733" s="1251"/>
      <c r="H733" s="1251"/>
      <c r="I733" s="1251"/>
      <c r="J733" s="1251"/>
      <c r="K733" s="1251"/>
    </row>
    <row r="734">
      <c r="C734" s="1270"/>
      <c r="D734" s="1270"/>
      <c r="E734" s="1270"/>
      <c r="F734" s="1251"/>
      <c r="G734" s="1251"/>
      <c r="H734" s="1251"/>
      <c r="I734" s="1251"/>
      <c r="J734" s="1251"/>
      <c r="K734" s="1251"/>
    </row>
    <row r="735">
      <c r="C735" s="1270"/>
      <c r="D735" s="1270"/>
      <c r="E735" s="1270"/>
      <c r="F735" s="1251"/>
      <c r="G735" s="1251"/>
      <c r="H735" s="1251"/>
      <c r="I735" s="1251"/>
      <c r="J735" s="1251"/>
      <c r="K735" s="1251"/>
    </row>
    <row r="736">
      <c r="C736" s="1270"/>
      <c r="D736" s="1270"/>
      <c r="E736" s="1270"/>
      <c r="F736" s="1251"/>
      <c r="G736" s="1251"/>
      <c r="H736" s="1251"/>
      <c r="I736" s="1251"/>
      <c r="J736" s="1251"/>
      <c r="K736" s="1251"/>
    </row>
    <row r="737">
      <c r="C737" s="1270"/>
      <c r="D737" s="1270"/>
      <c r="E737" s="1270"/>
      <c r="F737" s="1251"/>
      <c r="G737" s="1251"/>
      <c r="H737" s="1251"/>
      <c r="I737" s="1251"/>
      <c r="J737" s="1251"/>
      <c r="K737" s="1251"/>
    </row>
    <row r="738">
      <c r="C738" s="1270"/>
      <c r="D738" s="1270"/>
      <c r="E738" s="1270"/>
      <c r="F738" s="1251"/>
      <c r="G738" s="1251"/>
      <c r="H738" s="1251"/>
      <c r="I738" s="1251"/>
      <c r="J738" s="1251"/>
      <c r="K738" s="1251"/>
    </row>
    <row r="739">
      <c r="C739" s="1270"/>
      <c r="D739" s="1270"/>
      <c r="E739" s="1270"/>
      <c r="F739" s="1251"/>
      <c r="G739" s="1251"/>
      <c r="H739" s="1251"/>
      <c r="I739" s="1251"/>
      <c r="J739" s="1251"/>
      <c r="K739" s="1251"/>
    </row>
    <row r="740">
      <c r="C740" s="1270"/>
      <c r="D740" s="1270"/>
      <c r="E740" s="1270"/>
      <c r="F740" s="1251"/>
      <c r="G740" s="1251"/>
      <c r="H740" s="1251"/>
      <c r="I740" s="1251"/>
      <c r="J740" s="1251"/>
      <c r="K740" s="1251"/>
    </row>
    <row r="741">
      <c r="C741" s="1270"/>
      <c r="D741" s="1270"/>
      <c r="E741" s="1270"/>
      <c r="F741" s="1251"/>
      <c r="G741" s="1251"/>
      <c r="H741" s="1251"/>
      <c r="I741" s="1251"/>
      <c r="J741" s="1251"/>
      <c r="K741" s="1251"/>
    </row>
    <row r="742">
      <c r="C742" s="1270"/>
      <c r="D742" s="1270"/>
      <c r="E742" s="1270"/>
      <c r="F742" s="1251"/>
      <c r="G742" s="1251"/>
      <c r="H742" s="1251"/>
      <c r="I742" s="1251"/>
      <c r="J742" s="1251"/>
      <c r="K742" s="1251"/>
    </row>
    <row r="743">
      <c r="C743" s="1270"/>
      <c r="D743" s="1270"/>
      <c r="E743" s="1270"/>
      <c r="F743" s="1251"/>
      <c r="G743" s="1251"/>
      <c r="H743" s="1251"/>
      <c r="I743" s="1251"/>
      <c r="J743" s="1251"/>
      <c r="K743" s="1251"/>
    </row>
    <row r="744">
      <c r="C744" s="1270"/>
      <c r="D744" s="1270"/>
      <c r="E744" s="1270"/>
      <c r="F744" s="1251"/>
      <c r="G744" s="1251"/>
      <c r="H744" s="1251"/>
      <c r="I744" s="1251"/>
      <c r="J744" s="1251"/>
      <c r="K744" s="1251"/>
    </row>
    <row r="745">
      <c r="C745" s="1270"/>
      <c r="D745" s="1270"/>
      <c r="E745" s="1270"/>
      <c r="F745" s="1251"/>
      <c r="G745" s="1251"/>
      <c r="H745" s="1251"/>
      <c r="I745" s="1251"/>
      <c r="J745" s="1251"/>
      <c r="K745" s="1251"/>
    </row>
    <row r="746">
      <c r="C746" s="1270"/>
      <c r="D746" s="1270"/>
      <c r="E746" s="1270"/>
      <c r="F746" s="1251"/>
      <c r="G746" s="1251"/>
      <c r="H746" s="1251"/>
      <c r="I746" s="1251"/>
      <c r="J746" s="1251"/>
      <c r="K746" s="1251"/>
    </row>
    <row r="747">
      <c r="C747" s="1270"/>
      <c r="D747" s="1270"/>
      <c r="E747" s="1270"/>
      <c r="F747" s="1251"/>
      <c r="G747" s="1251"/>
      <c r="H747" s="1251"/>
      <c r="I747" s="1251"/>
      <c r="J747" s="1251"/>
      <c r="K747" s="1251"/>
    </row>
    <row r="748">
      <c r="C748" s="1270"/>
      <c r="D748" s="1270"/>
      <c r="E748" s="1270"/>
      <c r="F748" s="1251"/>
      <c r="G748" s="1251"/>
      <c r="H748" s="1251"/>
      <c r="I748" s="1251"/>
      <c r="J748" s="1251"/>
      <c r="K748" s="1251"/>
    </row>
    <row r="749">
      <c r="C749" s="1270"/>
      <c r="D749" s="1270"/>
      <c r="E749" s="1270"/>
      <c r="F749" s="1251"/>
      <c r="G749" s="1251"/>
      <c r="H749" s="1251"/>
      <c r="I749" s="1251"/>
      <c r="J749" s="1251"/>
      <c r="K749" s="1251"/>
    </row>
    <row r="750">
      <c r="C750" s="1270"/>
      <c r="D750" s="1270"/>
      <c r="E750" s="1270"/>
      <c r="F750" s="1251"/>
      <c r="G750" s="1251"/>
      <c r="H750" s="1251"/>
      <c r="I750" s="1251"/>
      <c r="J750" s="1251"/>
      <c r="K750" s="1251"/>
    </row>
    <row r="751">
      <c r="C751" s="1270"/>
      <c r="D751" s="1270"/>
      <c r="E751" s="1270"/>
      <c r="F751" s="1251"/>
      <c r="G751" s="1251"/>
      <c r="H751" s="1251"/>
      <c r="I751" s="1251"/>
      <c r="J751" s="1251"/>
      <c r="K751" s="1251"/>
    </row>
    <row r="752">
      <c r="C752" s="1270"/>
      <c r="D752" s="1270"/>
      <c r="E752" s="1270"/>
      <c r="F752" s="1251"/>
      <c r="G752" s="1251"/>
      <c r="H752" s="1251"/>
      <c r="I752" s="1251"/>
      <c r="J752" s="1251"/>
      <c r="K752" s="1251"/>
    </row>
    <row r="753">
      <c r="C753" s="1270"/>
      <c r="D753" s="1270"/>
      <c r="E753" s="1270"/>
      <c r="F753" s="1251"/>
      <c r="G753" s="1251"/>
      <c r="H753" s="1251"/>
      <c r="I753" s="1251"/>
      <c r="J753" s="1251"/>
      <c r="K753" s="1251"/>
    </row>
    <row r="754">
      <c r="C754" s="1270"/>
      <c r="D754" s="1270"/>
      <c r="E754" s="1270"/>
      <c r="F754" s="1251"/>
      <c r="G754" s="1251"/>
      <c r="H754" s="1251"/>
      <c r="I754" s="1251"/>
      <c r="J754" s="1251"/>
      <c r="K754" s="1251"/>
    </row>
    <row r="755">
      <c r="C755" s="1270"/>
      <c r="D755" s="1270"/>
      <c r="E755" s="1270"/>
      <c r="F755" s="1251"/>
      <c r="G755" s="1251"/>
      <c r="H755" s="1251"/>
      <c r="I755" s="1251"/>
      <c r="J755" s="1251"/>
      <c r="K755" s="1251"/>
    </row>
    <row r="756">
      <c r="C756" s="1270"/>
      <c r="D756" s="1270"/>
      <c r="E756" s="1270"/>
      <c r="F756" s="1251"/>
      <c r="G756" s="1251"/>
      <c r="H756" s="1251"/>
      <c r="I756" s="1251"/>
      <c r="J756" s="1251"/>
      <c r="K756" s="1251"/>
    </row>
    <row r="757">
      <c r="C757" s="1270"/>
      <c r="D757" s="1270"/>
      <c r="E757" s="1270"/>
      <c r="F757" s="1251"/>
      <c r="G757" s="1251"/>
      <c r="H757" s="1251"/>
      <c r="I757" s="1251"/>
      <c r="J757" s="1251"/>
      <c r="K757" s="1251"/>
    </row>
    <row r="758">
      <c r="C758" s="1270"/>
      <c r="D758" s="1270"/>
      <c r="E758" s="1270"/>
      <c r="F758" s="1251"/>
      <c r="G758" s="1251"/>
      <c r="H758" s="1251"/>
      <c r="I758" s="1251"/>
      <c r="J758" s="1251"/>
      <c r="K758" s="1251"/>
    </row>
    <row r="759">
      <c r="C759" s="1270"/>
      <c r="D759" s="1270"/>
      <c r="E759" s="1270"/>
      <c r="F759" s="1251"/>
      <c r="G759" s="1251"/>
      <c r="H759" s="1251"/>
      <c r="I759" s="1251"/>
      <c r="J759" s="1251"/>
      <c r="K759" s="1251"/>
    </row>
    <row r="760">
      <c r="C760" s="1270"/>
      <c r="D760" s="1270"/>
      <c r="E760" s="1270"/>
      <c r="F760" s="1251"/>
      <c r="G760" s="1251"/>
      <c r="H760" s="1251"/>
      <c r="I760" s="1251"/>
      <c r="J760" s="1251"/>
      <c r="K760" s="1251"/>
    </row>
    <row r="761">
      <c r="C761" s="1270"/>
      <c r="D761" s="1270"/>
      <c r="E761" s="1270"/>
      <c r="F761" s="1251"/>
      <c r="G761" s="1251"/>
      <c r="H761" s="1251"/>
      <c r="I761" s="1251"/>
      <c r="J761" s="1251"/>
      <c r="K761" s="1251"/>
    </row>
    <row r="762">
      <c r="C762" s="1270"/>
      <c r="D762" s="1270"/>
      <c r="E762" s="1270"/>
      <c r="F762" s="1251"/>
      <c r="G762" s="1251"/>
      <c r="H762" s="1251"/>
      <c r="I762" s="1251"/>
      <c r="J762" s="1251"/>
      <c r="K762" s="1251"/>
    </row>
    <row r="763">
      <c r="C763" s="1270"/>
      <c r="D763" s="1270"/>
      <c r="E763" s="1270"/>
      <c r="F763" s="1251"/>
      <c r="G763" s="1251"/>
      <c r="H763" s="1251"/>
      <c r="I763" s="1251"/>
      <c r="J763" s="1251"/>
      <c r="K763" s="1251"/>
    </row>
    <row r="764">
      <c r="C764" s="1270"/>
      <c r="D764" s="1270"/>
      <c r="E764" s="1270"/>
      <c r="F764" s="1251"/>
      <c r="G764" s="1251"/>
      <c r="H764" s="1251"/>
      <c r="I764" s="1251"/>
      <c r="J764" s="1251"/>
      <c r="K764" s="1251"/>
    </row>
    <row r="765">
      <c r="C765" s="1270"/>
      <c r="D765" s="1270"/>
      <c r="E765" s="1270"/>
      <c r="F765" s="1251"/>
      <c r="G765" s="1251"/>
      <c r="H765" s="1251"/>
      <c r="I765" s="1251"/>
      <c r="J765" s="1251"/>
      <c r="K765" s="1251"/>
    </row>
    <row r="766">
      <c r="C766" s="1270"/>
      <c r="D766" s="1270"/>
      <c r="E766" s="1270"/>
      <c r="F766" s="1251"/>
      <c r="G766" s="1251"/>
      <c r="H766" s="1251"/>
      <c r="I766" s="1251"/>
      <c r="J766" s="1251"/>
      <c r="K766" s="1251"/>
    </row>
    <row r="767">
      <c r="C767" s="1270"/>
      <c r="D767" s="1270"/>
      <c r="E767" s="1270"/>
      <c r="F767" s="1251"/>
      <c r="G767" s="1251"/>
      <c r="H767" s="1251"/>
      <c r="I767" s="1251"/>
      <c r="J767" s="1251"/>
      <c r="K767" s="1251"/>
    </row>
    <row r="768">
      <c r="C768" s="1270"/>
      <c r="D768" s="1270"/>
      <c r="E768" s="1270"/>
      <c r="F768" s="1251"/>
      <c r="G768" s="1251"/>
      <c r="H768" s="1251"/>
      <c r="I768" s="1251"/>
      <c r="J768" s="1251"/>
      <c r="K768" s="1251"/>
    </row>
    <row r="769">
      <c r="C769" s="1270"/>
      <c r="D769" s="1270"/>
      <c r="E769" s="1270"/>
      <c r="F769" s="1251"/>
      <c r="G769" s="1251"/>
      <c r="H769" s="1251"/>
      <c r="I769" s="1251"/>
      <c r="J769" s="1251"/>
      <c r="K769" s="1251"/>
    </row>
    <row r="770">
      <c r="C770" s="1270"/>
      <c r="D770" s="1270"/>
      <c r="E770" s="1270"/>
      <c r="F770" s="1251"/>
      <c r="G770" s="1251"/>
      <c r="H770" s="1251"/>
      <c r="I770" s="1251"/>
      <c r="J770" s="1251"/>
      <c r="K770" s="1251"/>
    </row>
    <row r="771">
      <c r="C771" s="1270"/>
      <c r="D771" s="1270"/>
      <c r="E771" s="1270"/>
      <c r="F771" s="1251"/>
      <c r="G771" s="1251"/>
      <c r="H771" s="1251"/>
      <c r="I771" s="1251"/>
      <c r="J771" s="1251"/>
      <c r="K771" s="1251"/>
    </row>
    <row r="772">
      <c r="C772" s="1270"/>
      <c r="D772" s="1270"/>
      <c r="E772" s="1270"/>
      <c r="F772" s="1251"/>
      <c r="G772" s="1251"/>
      <c r="H772" s="1251"/>
      <c r="I772" s="1251"/>
      <c r="J772" s="1251"/>
      <c r="K772" s="1251"/>
    </row>
    <row r="773">
      <c r="C773" s="1270"/>
      <c r="D773" s="1270"/>
      <c r="E773" s="1270"/>
      <c r="F773" s="1251"/>
      <c r="G773" s="1251"/>
      <c r="H773" s="1251"/>
      <c r="I773" s="1251"/>
      <c r="J773" s="1251"/>
      <c r="K773" s="1251"/>
    </row>
    <row r="774">
      <c r="C774" s="1270"/>
      <c r="D774" s="1270"/>
      <c r="E774" s="1270"/>
      <c r="F774" s="1251"/>
      <c r="G774" s="1251"/>
      <c r="H774" s="1251"/>
      <c r="I774" s="1251"/>
      <c r="J774" s="1251"/>
      <c r="K774" s="1251"/>
    </row>
    <row r="775">
      <c r="C775" s="1270"/>
      <c r="D775" s="1270"/>
      <c r="E775" s="1270"/>
      <c r="F775" s="1251"/>
      <c r="G775" s="1251"/>
      <c r="H775" s="1251"/>
      <c r="I775" s="1251"/>
      <c r="J775" s="1251"/>
      <c r="K775" s="1251"/>
    </row>
    <row r="776">
      <c r="C776" s="1270"/>
      <c r="D776" s="1270"/>
      <c r="E776" s="1270"/>
      <c r="F776" s="1251"/>
      <c r="G776" s="1251"/>
      <c r="H776" s="1251"/>
      <c r="I776" s="1251"/>
      <c r="J776" s="1251"/>
      <c r="K776" s="1251"/>
    </row>
    <row r="777">
      <c r="C777" s="1270"/>
      <c r="D777" s="1270"/>
      <c r="E777" s="1270"/>
      <c r="F777" s="1251"/>
      <c r="G777" s="1251"/>
      <c r="H777" s="1251"/>
      <c r="I777" s="1251"/>
      <c r="J777" s="1251"/>
      <c r="K777" s="1251"/>
    </row>
    <row r="778">
      <c r="C778" s="1270"/>
      <c r="D778" s="1270"/>
      <c r="E778" s="1270"/>
      <c r="F778" s="1251"/>
      <c r="G778" s="1251"/>
      <c r="H778" s="1251"/>
      <c r="I778" s="1251"/>
      <c r="J778" s="1251"/>
      <c r="K778" s="1251"/>
    </row>
    <row r="779">
      <c r="C779" s="1270"/>
      <c r="D779" s="1270"/>
      <c r="E779" s="1270"/>
      <c r="F779" s="1251"/>
      <c r="G779" s="1251"/>
      <c r="H779" s="1251"/>
      <c r="I779" s="1251"/>
      <c r="J779" s="1251"/>
      <c r="K779" s="1251"/>
    </row>
    <row r="780">
      <c r="C780" s="1270"/>
      <c r="D780" s="1270"/>
      <c r="E780" s="1270"/>
      <c r="F780" s="1251"/>
      <c r="G780" s="1251"/>
      <c r="H780" s="1251"/>
      <c r="I780" s="1251"/>
      <c r="J780" s="1251"/>
      <c r="K780" s="1251"/>
    </row>
    <row r="781">
      <c r="C781" s="1270"/>
      <c r="D781" s="1270"/>
      <c r="E781" s="1270"/>
      <c r="F781" s="1251"/>
      <c r="G781" s="1251"/>
      <c r="H781" s="1251"/>
      <c r="I781" s="1251"/>
      <c r="J781" s="1251"/>
      <c r="K781" s="1251"/>
    </row>
    <row r="782">
      <c r="C782" s="1270"/>
      <c r="D782" s="1270"/>
      <c r="E782" s="1270"/>
      <c r="F782" s="1251"/>
      <c r="G782" s="1251"/>
      <c r="H782" s="1251"/>
      <c r="I782" s="1251"/>
      <c r="J782" s="1251"/>
      <c r="K782" s="1251"/>
    </row>
    <row r="783">
      <c r="C783" s="1270"/>
      <c r="D783" s="1270"/>
      <c r="E783" s="1270"/>
      <c r="F783" s="1251"/>
      <c r="G783" s="1251"/>
      <c r="H783" s="1251"/>
      <c r="I783" s="1251"/>
      <c r="J783" s="1251"/>
      <c r="K783" s="1251"/>
    </row>
    <row r="784">
      <c r="C784" s="1270"/>
      <c r="D784" s="1270"/>
      <c r="E784" s="1270"/>
      <c r="F784" s="1251"/>
      <c r="G784" s="1251"/>
      <c r="H784" s="1251"/>
      <c r="I784" s="1251"/>
      <c r="J784" s="1251"/>
      <c r="K784" s="1251"/>
    </row>
    <row r="785">
      <c r="C785" s="1270"/>
      <c r="D785" s="1270"/>
      <c r="E785" s="1270"/>
      <c r="F785" s="1251"/>
      <c r="G785" s="1251"/>
      <c r="H785" s="1251"/>
      <c r="I785" s="1251"/>
      <c r="J785" s="1251"/>
      <c r="K785" s="1251"/>
    </row>
    <row r="786">
      <c r="C786" s="1270"/>
      <c r="D786" s="1270"/>
      <c r="E786" s="1270"/>
      <c r="F786" s="1251"/>
      <c r="G786" s="1251"/>
      <c r="H786" s="1251"/>
      <c r="I786" s="1251"/>
      <c r="J786" s="1251"/>
      <c r="K786" s="1251"/>
    </row>
    <row r="787">
      <c r="C787" s="1270"/>
      <c r="D787" s="1270"/>
      <c r="E787" s="1270"/>
      <c r="F787" s="1251"/>
      <c r="G787" s="1251"/>
      <c r="H787" s="1251"/>
      <c r="I787" s="1251"/>
      <c r="J787" s="1251"/>
      <c r="K787" s="1251"/>
    </row>
    <row r="788">
      <c r="C788" s="1270"/>
      <c r="D788" s="1270"/>
      <c r="E788" s="1270"/>
      <c r="F788" s="1251"/>
      <c r="G788" s="1251"/>
      <c r="H788" s="1251"/>
      <c r="I788" s="1251"/>
      <c r="J788" s="1251"/>
      <c r="K788" s="1251"/>
    </row>
    <row r="789">
      <c r="C789" s="1270"/>
      <c r="D789" s="1270"/>
      <c r="E789" s="1270"/>
      <c r="F789" s="1251"/>
      <c r="G789" s="1251"/>
      <c r="H789" s="1251"/>
      <c r="I789" s="1251"/>
      <c r="J789" s="1251"/>
      <c r="K789" s="1251"/>
    </row>
    <row r="790">
      <c r="C790" s="1270"/>
      <c r="D790" s="1270"/>
      <c r="E790" s="1270"/>
      <c r="F790" s="1251"/>
      <c r="G790" s="1251"/>
      <c r="H790" s="1251"/>
      <c r="I790" s="1251"/>
      <c r="J790" s="1251"/>
      <c r="K790" s="1251"/>
    </row>
    <row r="791">
      <c r="C791" s="1270"/>
      <c r="D791" s="1270"/>
      <c r="E791" s="1270"/>
      <c r="F791" s="1251"/>
      <c r="G791" s="1251"/>
      <c r="H791" s="1251"/>
      <c r="I791" s="1251"/>
      <c r="J791" s="1251"/>
      <c r="K791" s="1251"/>
    </row>
    <row r="792">
      <c r="C792" s="1270"/>
      <c r="D792" s="1270"/>
      <c r="E792" s="1270"/>
      <c r="F792" s="1251"/>
      <c r="G792" s="1251"/>
      <c r="H792" s="1251"/>
      <c r="I792" s="1251"/>
      <c r="J792" s="1251"/>
      <c r="K792" s="1251"/>
    </row>
    <row r="793">
      <c r="C793" s="1270"/>
      <c r="D793" s="1270"/>
      <c r="E793" s="1270"/>
      <c r="F793" s="1251"/>
      <c r="G793" s="1251"/>
      <c r="H793" s="1251"/>
      <c r="I793" s="1251"/>
      <c r="J793" s="1251"/>
      <c r="K793" s="1251"/>
    </row>
    <row r="794">
      <c r="C794" s="1270"/>
      <c r="D794" s="1270"/>
      <c r="E794" s="1270"/>
      <c r="F794" s="1251"/>
      <c r="G794" s="1251"/>
      <c r="H794" s="1251"/>
      <c r="I794" s="1251"/>
      <c r="J794" s="1251"/>
      <c r="K794" s="1251"/>
    </row>
    <row r="795">
      <c r="C795" s="1270"/>
      <c r="D795" s="1270"/>
      <c r="E795" s="1270"/>
      <c r="F795" s="1251"/>
      <c r="G795" s="1251"/>
      <c r="H795" s="1251"/>
      <c r="I795" s="1251"/>
      <c r="J795" s="1251"/>
      <c r="K795" s="1251"/>
    </row>
    <row r="796">
      <c r="C796" s="1270"/>
      <c r="D796" s="1270"/>
      <c r="E796" s="1270"/>
      <c r="F796" s="1251"/>
      <c r="G796" s="1251"/>
      <c r="H796" s="1251"/>
      <c r="I796" s="1251"/>
      <c r="J796" s="1251"/>
      <c r="K796" s="1251"/>
    </row>
    <row r="797">
      <c r="C797" s="1270"/>
      <c r="D797" s="1270"/>
      <c r="E797" s="1270"/>
      <c r="F797" s="1251"/>
      <c r="G797" s="1251"/>
      <c r="H797" s="1251"/>
      <c r="I797" s="1251"/>
      <c r="J797" s="1251"/>
      <c r="K797" s="1251"/>
    </row>
    <row r="798">
      <c r="C798" s="1270"/>
      <c r="D798" s="1270"/>
      <c r="E798" s="1270"/>
      <c r="F798" s="1251"/>
      <c r="G798" s="1251"/>
      <c r="H798" s="1251"/>
      <c r="I798" s="1251"/>
      <c r="J798" s="1251"/>
      <c r="K798" s="1251"/>
    </row>
    <row r="799">
      <c r="C799" s="1270"/>
      <c r="D799" s="1270"/>
      <c r="E799" s="1270"/>
      <c r="F799" s="1251"/>
      <c r="G799" s="1251"/>
      <c r="H799" s="1251"/>
      <c r="I799" s="1251"/>
      <c r="J799" s="1251"/>
      <c r="K799" s="1251"/>
    </row>
    <row r="800">
      <c r="C800" s="1270"/>
      <c r="D800" s="1270"/>
      <c r="E800" s="1270"/>
      <c r="F800" s="1251"/>
      <c r="G800" s="1251"/>
      <c r="H800" s="1251"/>
      <c r="I800" s="1251"/>
      <c r="J800" s="1251"/>
      <c r="K800" s="1251"/>
    </row>
    <row r="801">
      <c r="C801" s="1270"/>
      <c r="D801" s="1270"/>
      <c r="E801" s="1270"/>
      <c r="F801" s="1251"/>
      <c r="G801" s="1251"/>
      <c r="H801" s="1251"/>
      <c r="I801" s="1251"/>
      <c r="J801" s="1251"/>
      <c r="K801" s="1251"/>
    </row>
    <row r="802">
      <c r="C802" s="1270"/>
      <c r="D802" s="1270"/>
      <c r="E802" s="1270"/>
      <c r="F802" s="1251"/>
      <c r="G802" s="1251"/>
      <c r="H802" s="1251"/>
      <c r="I802" s="1251"/>
      <c r="J802" s="1251"/>
      <c r="K802" s="1251"/>
    </row>
    <row r="803">
      <c r="C803" s="1270"/>
      <c r="D803" s="1270"/>
      <c r="E803" s="1270"/>
      <c r="F803" s="1251"/>
      <c r="G803" s="1251"/>
      <c r="H803" s="1251"/>
      <c r="I803" s="1251"/>
      <c r="J803" s="1251"/>
      <c r="K803" s="1251"/>
    </row>
    <row r="804">
      <c r="C804" s="1270"/>
      <c r="D804" s="1270"/>
      <c r="E804" s="1270"/>
      <c r="F804" s="1251"/>
      <c r="G804" s="1251"/>
      <c r="H804" s="1251"/>
      <c r="I804" s="1251"/>
      <c r="J804" s="1251"/>
      <c r="K804" s="1251"/>
    </row>
    <row r="805">
      <c r="C805" s="1270"/>
      <c r="D805" s="1270"/>
      <c r="E805" s="1270"/>
      <c r="F805" s="1251"/>
      <c r="G805" s="1251"/>
      <c r="H805" s="1251"/>
      <c r="I805" s="1251"/>
      <c r="J805" s="1251"/>
      <c r="K805" s="1251"/>
    </row>
    <row r="806">
      <c r="C806" s="1270"/>
      <c r="D806" s="1270"/>
      <c r="E806" s="1270"/>
      <c r="F806" s="1251"/>
      <c r="G806" s="1251"/>
      <c r="H806" s="1251"/>
      <c r="I806" s="1251"/>
      <c r="J806" s="1251"/>
      <c r="K806" s="1251"/>
    </row>
    <row r="807">
      <c r="C807" s="1270"/>
      <c r="D807" s="1270"/>
      <c r="E807" s="1270"/>
      <c r="F807" s="1251"/>
      <c r="G807" s="1251"/>
      <c r="H807" s="1251"/>
      <c r="I807" s="1251"/>
      <c r="J807" s="1251"/>
      <c r="K807" s="1251"/>
    </row>
    <row r="808">
      <c r="C808" s="1270"/>
      <c r="D808" s="1270"/>
      <c r="E808" s="1270"/>
      <c r="F808" s="1251"/>
      <c r="G808" s="1251"/>
      <c r="H808" s="1251"/>
      <c r="I808" s="1251"/>
      <c r="J808" s="1251"/>
      <c r="K808" s="1251"/>
    </row>
    <row r="809">
      <c r="C809" s="1270"/>
      <c r="D809" s="1270"/>
      <c r="E809" s="1270"/>
      <c r="F809" s="1251"/>
      <c r="G809" s="1251"/>
      <c r="H809" s="1251"/>
      <c r="I809" s="1251"/>
      <c r="J809" s="1251"/>
      <c r="K809" s="1251"/>
    </row>
    <row r="810">
      <c r="C810" s="1270"/>
      <c r="D810" s="1270"/>
      <c r="E810" s="1270"/>
      <c r="F810" s="1251"/>
      <c r="G810" s="1251"/>
      <c r="H810" s="1251"/>
      <c r="I810" s="1251"/>
      <c r="J810" s="1251"/>
      <c r="K810" s="1251"/>
    </row>
    <row r="811">
      <c r="C811" s="1270"/>
      <c r="D811" s="1270"/>
      <c r="E811" s="1270"/>
      <c r="F811" s="1251"/>
      <c r="G811" s="1251"/>
      <c r="H811" s="1251"/>
      <c r="I811" s="1251"/>
      <c r="J811" s="1251"/>
      <c r="K811" s="1251"/>
    </row>
    <row r="812">
      <c r="C812" s="1270"/>
      <c r="D812" s="1270"/>
      <c r="E812" s="1270"/>
      <c r="F812" s="1251"/>
      <c r="G812" s="1251"/>
      <c r="H812" s="1251"/>
      <c r="I812" s="1251"/>
      <c r="J812" s="1251"/>
      <c r="K812" s="1251"/>
    </row>
    <row r="813">
      <c r="C813" s="1270"/>
      <c r="D813" s="1270"/>
      <c r="E813" s="1270"/>
      <c r="F813" s="1251"/>
      <c r="G813" s="1251"/>
      <c r="H813" s="1251"/>
      <c r="I813" s="1251"/>
      <c r="J813" s="1251"/>
      <c r="K813" s="1251"/>
    </row>
    <row r="814">
      <c r="C814" s="1270"/>
      <c r="D814" s="1270"/>
      <c r="E814" s="1270"/>
      <c r="F814" s="1251"/>
      <c r="G814" s="1251"/>
      <c r="H814" s="1251"/>
      <c r="I814" s="1251"/>
      <c r="J814" s="1251"/>
      <c r="K814" s="1251"/>
    </row>
    <row r="815">
      <c r="C815" s="1270"/>
      <c r="D815" s="1270"/>
      <c r="E815" s="1270"/>
      <c r="F815" s="1251"/>
      <c r="G815" s="1251"/>
      <c r="H815" s="1251"/>
      <c r="I815" s="1251"/>
      <c r="J815" s="1251"/>
      <c r="K815" s="1251"/>
    </row>
    <row r="816">
      <c r="C816" s="1270"/>
      <c r="D816" s="1270"/>
      <c r="E816" s="1270"/>
      <c r="F816" s="1251"/>
      <c r="G816" s="1251"/>
      <c r="H816" s="1251"/>
      <c r="I816" s="1251"/>
      <c r="J816" s="1251"/>
      <c r="K816" s="1251"/>
    </row>
    <row r="817">
      <c r="C817" s="1270"/>
      <c r="D817" s="1270"/>
      <c r="E817" s="1270"/>
      <c r="F817" s="1251"/>
      <c r="G817" s="1251"/>
      <c r="H817" s="1251"/>
      <c r="I817" s="1251"/>
      <c r="J817" s="1251"/>
      <c r="K817" s="1251"/>
    </row>
    <row r="818">
      <c r="C818" s="1270"/>
      <c r="D818" s="1270"/>
      <c r="E818" s="1270"/>
      <c r="F818" s="1251"/>
      <c r="G818" s="1251"/>
      <c r="H818" s="1251"/>
      <c r="I818" s="1251"/>
      <c r="J818" s="1251"/>
      <c r="K818" s="1251"/>
    </row>
    <row r="819">
      <c r="C819" s="1270"/>
      <c r="D819" s="1270"/>
      <c r="E819" s="1270"/>
      <c r="F819" s="1251"/>
      <c r="G819" s="1251"/>
      <c r="H819" s="1251"/>
      <c r="I819" s="1251"/>
      <c r="J819" s="1251"/>
      <c r="K819" s="1251"/>
    </row>
    <row r="820">
      <c r="C820" s="1270"/>
      <c r="D820" s="1270"/>
      <c r="E820" s="1270"/>
      <c r="F820" s="1251"/>
      <c r="G820" s="1251"/>
      <c r="H820" s="1251"/>
      <c r="I820" s="1251"/>
      <c r="J820" s="1251"/>
      <c r="K820" s="1251"/>
    </row>
    <row r="821">
      <c r="C821" s="1270"/>
      <c r="D821" s="1270"/>
      <c r="E821" s="1270"/>
      <c r="F821" s="1251"/>
      <c r="G821" s="1251"/>
      <c r="H821" s="1251"/>
      <c r="I821" s="1251"/>
      <c r="J821" s="1251"/>
      <c r="K821" s="1251"/>
    </row>
    <row r="822">
      <c r="C822" s="1270"/>
      <c r="D822" s="1270"/>
      <c r="E822" s="1270"/>
      <c r="F822" s="1251"/>
      <c r="G822" s="1251"/>
      <c r="H822" s="1251"/>
      <c r="I822" s="1251"/>
      <c r="J822" s="1251"/>
      <c r="K822" s="1251"/>
    </row>
    <row r="823">
      <c r="C823" s="1270"/>
      <c r="D823" s="1270"/>
      <c r="E823" s="1270"/>
      <c r="F823" s="1251"/>
      <c r="G823" s="1251"/>
      <c r="H823" s="1251"/>
      <c r="I823" s="1251"/>
      <c r="J823" s="1251"/>
      <c r="K823" s="1251"/>
    </row>
    <row r="824">
      <c r="C824" s="1270"/>
      <c r="D824" s="1270"/>
      <c r="E824" s="1270"/>
      <c r="F824" s="1251"/>
      <c r="G824" s="1251"/>
      <c r="H824" s="1251"/>
      <c r="I824" s="1251"/>
      <c r="J824" s="1251"/>
      <c r="K824" s="1251"/>
    </row>
    <row r="825">
      <c r="C825" s="1270"/>
      <c r="D825" s="1270"/>
      <c r="E825" s="1270"/>
      <c r="F825" s="1251"/>
      <c r="G825" s="1251"/>
      <c r="H825" s="1251"/>
      <c r="I825" s="1251"/>
      <c r="J825" s="1251"/>
      <c r="K825" s="1251"/>
    </row>
    <row r="826">
      <c r="C826" s="1270"/>
      <c r="D826" s="1270"/>
      <c r="E826" s="1270"/>
      <c r="F826" s="1251"/>
      <c r="G826" s="1251"/>
      <c r="H826" s="1251"/>
      <c r="I826" s="1251"/>
      <c r="J826" s="1251"/>
      <c r="K826" s="1251"/>
    </row>
    <row r="827">
      <c r="C827" s="1270"/>
      <c r="D827" s="1270"/>
      <c r="E827" s="1270"/>
      <c r="F827" s="1251"/>
      <c r="G827" s="1251"/>
      <c r="H827" s="1251"/>
      <c r="I827" s="1251"/>
      <c r="J827" s="1251"/>
      <c r="K827" s="1251"/>
    </row>
    <row r="828">
      <c r="C828" s="1270"/>
      <c r="D828" s="1270"/>
      <c r="E828" s="1270"/>
      <c r="F828" s="1251"/>
      <c r="G828" s="1251"/>
      <c r="H828" s="1251"/>
      <c r="I828" s="1251"/>
      <c r="J828" s="1251"/>
      <c r="K828" s="1251"/>
    </row>
    <row r="829">
      <c r="C829" s="1270"/>
      <c r="D829" s="1270"/>
      <c r="E829" s="1270"/>
      <c r="F829" s="1251"/>
      <c r="G829" s="1251"/>
      <c r="H829" s="1251"/>
      <c r="I829" s="1251"/>
      <c r="J829" s="1251"/>
      <c r="K829" s="1251"/>
    </row>
    <row r="830">
      <c r="C830" s="1270"/>
      <c r="D830" s="1270"/>
      <c r="E830" s="1270"/>
      <c r="F830" s="1251"/>
      <c r="G830" s="1251"/>
      <c r="H830" s="1251"/>
      <c r="I830" s="1251"/>
      <c r="J830" s="1251"/>
      <c r="K830" s="1251"/>
    </row>
    <row r="831">
      <c r="C831" s="1270"/>
      <c r="D831" s="1270"/>
      <c r="E831" s="1270"/>
      <c r="F831" s="1251"/>
      <c r="G831" s="1251"/>
      <c r="H831" s="1251"/>
      <c r="I831" s="1251"/>
      <c r="J831" s="1251"/>
      <c r="K831" s="1251"/>
    </row>
    <row r="832">
      <c r="C832" s="1270"/>
      <c r="D832" s="1270"/>
      <c r="E832" s="1270"/>
      <c r="F832" s="1251"/>
      <c r="G832" s="1251"/>
      <c r="H832" s="1251"/>
      <c r="I832" s="1251"/>
      <c r="J832" s="1251"/>
      <c r="K832" s="1251"/>
    </row>
    <row r="833">
      <c r="C833" s="1270"/>
      <c r="D833" s="1270"/>
      <c r="E833" s="1270"/>
      <c r="F833" s="1251"/>
      <c r="G833" s="1251"/>
      <c r="H833" s="1251"/>
      <c r="I833" s="1251"/>
      <c r="J833" s="1251"/>
      <c r="K833" s="1251"/>
    </row>
    <row r="834">
      <c r="C834" s="1270"/>
      <c r="D834" s="1270"/>
      <c r="E834" s="1270"/>
      <c r="F834" s="1251"/>
      <c r="G834" s="1251"/>
      <c r="H834" s="1251"/>
      <c r="I834" s="1251"/>
      <c r="J834" s="1251"/>
      <c r="K834" s="1251"/>
    </row>
    <row r="835">
      <c r="C835" s="1270"/>
      <c r="D835" s="1270"/>
      <c r="E835" s="1270"/>
      <c r="F835" s="1251"/>
      <c r="G835" s="1251"/>
      <c r="H835" s="1251"/>
      <c r="I835" s="1251"/>
      <c r="J835" s="1251"/>
      <c r="K835" s="1251"/>
    </row>
    <row r="836">
      <c r="C836" s="1270"/>
      <c r="D836" s="1270"/>
      <c r="E836" s="1270"/>
      <c r="F836" s="1251"/>
      <c r="G836" s="1251"/>
      <c r="H836" s="1251"/>
      <c r="I836" s="1251"/>
      <c r="J836" s="1251"/>
      <c r="K836" s="1251"/>
    </row>
    <row r="837">
      <c r="C837" s="1270"/>
      <c r="D837" s="1270"/>
      <c r="E837" s="1270"/>
      <c r="F837" s="1251"/>
      <c r="G837" s="1251"/>
      <c r="H837" s="1251"/>
      <c r="I837" s="1251"/>
      <c r="J837" s="1251"/>
      <c r="K837" s="1251"/>
    </row>
    <row r="838">
      <c r="C838" s="1270"/>
      <c r="D838" s="1270"/>
      <c r="E838" s="1270"/>
      <c r="F838" s="1251"/>
      <c r="G838" s="1251"/>
      <c r="H838" s="1251"/>
      <c r="I838" s="1251"/>
      <c r="J838" s="1251"/>
      <c r="K838" s="1251"/>
    </row>
    <row r="839">
      <c r="C839" s="1270"/>
      <c r="D839" s="1270"/>
      <c r="E839" s="1270"/>
      <c r="F839" s="1251"/>
      <c r="G839" s="1251"/>
      <c r="H839" s="1251"/>
      <c r="I839" s="1251"/>
      <c r="J839" s="1251"/>
      <c r="K839" s="1251"/>
    </row>
    <row r="840">
      <c r="C840" s="1270"/>
      <c r="D840" s="1270"/>
      <c r="E840" s="1270"/>
      <c r="F840" s="1251"/>
      <c r="G840" s="1251"/>
      <c r="H840" s="1251"/>
      <c r="I840" s="1251"/>
      <c r="J840" s="1251"/>
      <c r="K840" s="1251"/>
    </row>
    <row r="841">
      <c r="C841" s="1270"/>
      <c r="D841" s="1270"/>
      <c r="E841" s="1270"/>
      <c r="F841" s="1251"/>
      <c r="G841" s="1251"/>
      <c r="H841" s="1251"/>
      <c r="I841" s="1251"/>
      <c r="J841" s="1251"/>
      <c r="K841" s="1251"/>
    </row>
    <row r="842">
      <c r="C842" s="1270"/>
      <c r="D842" s="1270"/>
      <c r="E842" s="1270"/>
      <c r="F842" s="1251"/>
      <c r="G842" s="1251"/>
      <c r="H842" s="1251"/>
      <c r="I842" s="1251"/>
      <c r="J842" s="1251"/>
      <c r="K842" s="1251"/>
    </row>
    <row r="843">
      <c r="C843" s="1270"/>
      <c r="D843" s="1270"/>
      <c r="E843" s="1270"/>
      <c r="F843" s="1251"/>
      <c r="G843" s="1251"/>
      <c r="H843" s="1251"/>
      <c r="I843" s="1251"/>
      <c r="J843" s="1251"/>
      <c r="K843" s="1251"/>
    </row>
    <row r="844">
      <c r="C844" s="1270"/>
      <c r="D844" s="1270"/>
      <c r="E844" s="1270"/>
      <c r="F844" s="1251"/>
      <c r="G844" s="1251"/>
      <c r="H844" s="1251"/>
      <c r="I844" s="1251"/>
      <c r="J844" s="1251"/>
      <c r="K844" s="1251"/>
    </row>
    <row r="845">
      <c r="C845" s="1270"/>
      <c r="D845" s="1270"/>
      <c r="E845" s="1270"/>
      <c r="F845" s="1251"/>
      <c r="G845" s="1251"/>
      <c r="H845" s="1251"/>
      <c r="I845" s="1251"/>
      <c r="J845" s="1251"/>
      <c r="K845" s="1251"/>
    </row>
    <row r="846">
      <c r="C846" s="1270"/>
      <c r="D846" s="1270"/>
      <c r="E846" s="1270"/>
      <c r="F846" s="1251"/>
      <c r="G846" s="1251"/>
      <c r="H846" s="1251"/>
      <c r="I846" s="1251"/>
      <c r="J846" s="1251"/>
      <c r="K846" s="1251"/>
    </row>
    <row r="847">
      <c r="C847" s="1270"/>
      <c r="D847" s="1270"/>
      <c r="E847" s="1270"/>
      <c r="F847" s="1251"/>
      <c r="G847" s="1251"/>
      <c r="H847" s="1251"/>
      <c r="I847" s="1251"/>
      <c r="J847" s="1251"/>
      <c r="K847" s="1251"/>
    </row>
    <row r="848">
      <c r="C848" s="1270"/>
      <c r="D848" s="1270"/>
      <c r="E848" s="1270"/>
      <c r="F848" s="1251"/>
      <c r="G848" s="1251"/>
      <c r="H848" s="1251"/>
      <c r="I848" s="1251"/>
      <c r="J848" s="1251"/>
      <c r="K848" s="1251"/>
    </row>
    <row r="849">
      <c r="C849" s="1270"/>
      <c r="D849" s="1270"/>
      <c r="E849" s="1270"/>
      <c r="F849" s="1251"/>
      <c r="G849" s="1251"/>
      <c r="H849" s="1251"/>
      <c r="I849" s="1251"/>
      <c r="J849" s="1251"/>
      <c r="K849" s="1251"/>
    </row>
    <row r="850">
      <c r="C850" s="1270"/>
      <c r="D850" s="1270"/>
      <c r="E850" s="1270"/>
      <c r="F850" s="1251"/>
      <c r="G850" s="1251"/>
      <c r="H850" s="1251"/>
      <c r="I850" s="1251"/>
      <c r="J850" s="1251"/>
      <c r="K850" s="1251"/>
    </row>
    <row r="851">
      <c r="C851" s="1270"/>
      <c r="D851" s="1270"/>
      <c r="E851" s="1270"/>
      <c r="F851" s="1251"/>
      <c r="G851" s="1251"/>
      <c r="H851" s="1251"/>
      <c r="I851" s="1251"/>
      <c r="J851" s="1251"/>
      <c r="K851" s="1251"/>
    </row>
    <row r="852">
      <c r="C852" s="1270"/>
      <c r="D852" s="1270"/>
      <c r="E852" s="1270"/>
      <c r="F852" s="1251"/>
      <c r="G852" s="1251"/>
      <c r="H852" s="1251"/>
      <c r="I852" s="1251"/>
      <c r="J852" s="1251"/>
      <c r="K852" s="1251"/>
    </row>
    <row r="853">
      <c r="C853" s="1270"/>
      <c r="D853" s="1270"/>
      <c r="E853" s="1270"/>
      <c r="F853" s="1251"/>
      <c r="G853" s="1251"/>
      <c r="H853" s="1251"/>
      <c r="I853" s="1251"/>
      <c r="J853" s="1251"/>
      <c r="K853" s="1251"/>
    </row>
    <row r="854">
      <c r="C854" s="1270"/>
      <c r="D854" s="1270"/>
      <c r="E854" s="1270"/>
      <c r="F854" s="1251"/>
      <c r="G854" s="1251"/>
      <c r="H854" s="1251"/>
      <c r="I854" s="1251"/>
      <c r="J854" s="1251"/>
      <c r="K854" s="1251"/>
    </row>
    <row r="855">
      <c r="C855" s="1270"/>
      <c r="D855" s="1270"/>
      <c r="E855" s="1270"/>
      <c r="F855" s="1251"/>
      <c r="G855" s="1251"/>
      <c r="H855" s="1251"/>
      <c r="I855" s="1251"/>
      <c r="J855" s="1251"/>
      <c r="K855" s="1251"/>
    </row>
    <row r="856">
      <c r="C856" s="1270"/>
      <c r="D856" s="1270"/>
      <c r="E856" s="1270"/>
      <c r="F856" s="1251"/>
      <c r="G856" s="1251"/>
      <c r="H856" s="1251"/>
      <c r="I856" s="1251"/>
      <c r="J856" s="1251"/>
      <c r="K856" s="1251"/>
    </row>
    <row r="857">
      <c r="C857" s="1270"/>
      <c r="D857" s="1270"/>
      <c r="E857" s="1270"/>
      <c r="F857" s="1251"/>
      <c r="G857" s="1251"/>
      <c r="H857" s="1251"/>
      <c r="I857" s="1251"/>
      <c r="J857" s="1251"/>
      <c r="K857" s="1251"/>
    </row>
    <row r="858">
      <c r="C858" s="1270"/>
      <c r="D858" s="1270"/>
      <c r="E858" s="1270"/>
      <c r="F858" s="1251"/>
      <c r="G858" s="1251"/>
      <c r="H858" s="1251"/>
      <c r="I858" s="1251"/>
      <c r="J858" s="1251"/>
      <c r="K858" s="1251"/>
    </row>
    <row r="859">
      <c r="C859" s="1270"/>
      <c r="D859" s="1270"/>
      <c r="E859" s="1270"/>
      <c r="F859" s="1251"/>
      <c r="G859" s="1251"/>
      <c r="H859" s="1251"/>
      <c r="I859" s="1251"/>
      <c r="J859" s="1251"/>
      <c r="K859" s="1251"/>
    </row>
    <row r="860">
      <c r="C860" s="1270"/>
      <c r="D860" s="1270"/>
      <c r="E860" s="1270"/>
      <c r="F860" s="1251"/>
      <c r="G860" s="1251"/>
      <c r="H860" s="1251"/>
      <c r="I860" s="1251"/>
      <c r="J860" s="1251"/>
      <c r="K860" s="1251"/>
    </row>
    <row r="861">
      <c r="C861" s="1270"/>
      <c r="D861" s="1270"/>
      <c r="E861" s="1270"/>
      <c r="F861" s="1251"/>
      <c r="G861" s="1251"/>
      <c r="H861" s="1251"/>
      <c r="I861" s="1251"/>
      <c r="J861" s="1251"/>
      <c r="K861" s="1251"/>
    </row>
    <row r="862">
      <c r="C862" s="1270"/>
      <c r="D862" s="1270"/>
      <c r="E862" s="1270"/>
      <c r="F862" s="1251"/>
      <c r="G862" s="1251"/>
      <c r="H862" s="1251"/>
      <c r="I862" s="1251"/>
      <c r="J862" s="1251"/>
      <c r="K862" s="1251"/>
    </row>
    <row r="863">
      <c r="C863" s="1270"/>
      <c r="D863" s="1270"/>
      <c r="E863" s="1270"/>
      <c r="F863" s="1251"/>
      <c r="G863" s="1251"/>
      <c r="H863" s="1251"/>
      <c r="I863" s="1251"/>
      <c r="J863" s="1251"/>
      <c r="K863" s="1251"/>
    </row>
    <row r="864">
      <c r="C864" s="1270"/>
      <c r="D864" s="1270"/>
      <c r="E864" s="1270"/>
      <c r="F864" s="1251"/>
      <c r="G864" s="1251"/>
      <c r="H864" s="1251"/>
      <c r="I864" s="1251"/>
      <c r="J864" s="1251"/>
      <c r="K864" s="1251"/>
    </row>
    <row r="865">
      <c r="C865" s="1270"/>
      <c r="D865" s="1270"/>
      <c r="E865" s="1270"/>
      <c r="F865" s="1251"/>
      <c r="G865" s="1251"/>
      <c r="H865" s="1251"/>
      <c r="I865" s="1251"/>
      <c r="J865" s="1251"/>
      <c r="K865" s="1251"/>
    </row>
    <row r="866">
      <c r="C866" s="1270"/>
      <c r="D866" s="1270"/>
      <c r="E866" s="1270"/>
      <c r="F866" s="1251"/>
      <c r="G866" s="1251"/>
      <c r="H866" s="1251"/>
      <c r="I866" s="1251"/>
      <c r="J866" s="1251"/>
      <c r="K866" s="1251"/>
    </row>
    <row r="867">
      <c r="C867" s="1270"/>
      <c r="D867" s="1270"/>
      <c r="E867" s="1270"/>
      <c r="F867" s="1251"/>
      <c r="G867" s="1251"/>
      <c r="H867" s="1251"/>
      <c r="I867" s="1251"/>
      <c r="J867" s="1251"/>
      <c r="K867" s="1251"/>
    </row>
    <row r="868">
      <c r="C868" s="1270"/>
      <c r="D868" s="1270"/>
      <c r="E868" s="1270"/>
      <c r="F868" s="1251"/>
      <c r="G868" s="1251"/>
      <c r="H868" s="1251"/>
      <c r="I868" s="1251"/>
      <c r="J868" s="1251"/>
      <c r="K868" s="1251"/>
    </row>
    <row r="869">
      <c r="C869" s="1270"/>
      <c r="D869" s="1270"/>
      <c r="E869" s="1270"/>
      <c r="F869" s="1251"/>
      <c r="G869" s="1251"/>
      <c r="H869" s="1251"/>
      <c r="I869" s="1251"/>
      <c r="J869" s="1251"/>
      <c r="K869" s="1251"/>
    </row>
    <row r="870">
      <c r="C870" s="1270"/>
      <c r="D870" s="1270"/>
      <c r="E870" s="1270"/>
      <c r="F870" s="1251"/>
      <c r="G870" s="1251"/>
      <c r="H870" s="1251"/>
      <c r="I870" s="1251"/>
      <c r="J870" s="1251"/>
      <c r="K870" s="1251"/>
    </row>
    <row r="871">
      <c r="C871" s="1270"/>
      <c r="D871" s="1270"/>
      <c r="E871" s="1270"/>
      <c r="F871" s="1251"/>
      <c r="G871" s="1251"/>
      <c r="H871" s="1251"/>
      <c r="I871" s="1251"/>
      <c r="J871" s="1251"/>
      <c r="K871" s="1251"/>
    </row>
    <row r="872">
      <c r="C872" s="1270"/>
      <c r="D872" s="1270"/>
      <c r="E872" s="1270"/>
      <c r="F872" s="1251"/>
      <c r="G872" s="1251"/>
      <c r="H872" s="1251"/>
      <c r="I872" s="1251"/>
      <c r="J872" s="1251"/>
      <c r="K872" s="1251"/>
    </row>
    <row r="873">
      <c r="C873" s="1270"/>
      <c r="D873" s="1270"/>
      <c r="E873" s="1270"/>
      <c r="F873" s="1251"/>
      <c r="G873" s="1251"/>
      <c r="H873" s="1251"/>
      <c r="I873" s="1251"/>
      <c r="J873" s="1251"/>
      <c r="K873" s="1251"/>
    </row>
    <row r="874">
      <c r="C874" s="1270"/>
      <c r="D874" s="1270"/>
      <c r="E874" s="1270"/>
      <c r="F874" s="1251"/>
      <c r="G874" s="1251"/>
      <c r="H874" s="1251"/>
      <c r="I874" s="1251"/>
      <c r="J874" s="1251"/>
      <c r="K874" s="1251"/>
    </row>
    <row r="875">
      <c r="C875" s="1270"/>
      <c r="D875" s="1270"/>
      <c r="E875" s="1270"/>
      <c r="F875" s="1251"/>
      <c r="G875" s="1251"/>
      <c r="H875" s="1251"/>
      <c r="I875" s="1251"/>
      <c r="J875" s="1251"/>
      <c r="K875" s="1251"/>
    </row>
    <row r="876">
      <c r="C876" s="1270"/>
      <c r="D876" s="1270"/>
      <c r="E876" s="1270"/>
      <c r="F876" s="1251"/>
      <c r="G876" s="1251"/>
      <c r="H876" s="1251"/>
      <c r="I876" s="1251"/>
      <c r="J876" s="1251"/>
      <c r="K876" s="1251"/>
    </row>
    <row r="877">
      <c r="C877" s="1270"/>
      <c r="D877" s="1270"/>
      <c r="E877" s="1270"/>
      <c r="F877" s="1251"/>
      <c r="G877" s="1251"/>
      <c r="H877" s="1251"/>
      <c r="I877" s="1251"/>
      <c r="J877" s="1251"/>
      <c r="K877" s="1251"/>
    </row>
    <row r="878">
      <c r="C878" s="1270"/>
      <c r="D878" s="1270"/>
      <c r="E878" s="1270"/>
      <c r="F878" s="1251"/>
      <c r="G878" s="1251"/>
      <c r="H878" s="1251"/>
      <c r="I878" s="1251"/>
      <c r="J878" s="1251"/>
      <c r="K878" s="1251"/>
    </row>
    <row r="879">
      <c r="C879" s="1270"/>
      <c r="D879" s="1270"/>
      <c r="E879" s="1270"/>
      <c r="F879" s="1251"/>
      <c r="G879" s="1251"/>
      <c r="H879" s="1251"/>
      <c r="I879" s="1251"/>
      <c r="J879" s="1251"/>
      <c r="K879" s="1251"/>
    </row>
    <row r="880">
      <c r="C880" s="1270"/>
      <c r="D880" s="1270"/>
      <c r="E880" s="1270"/>
      <c r="F880" s="1251"/>
      <c r="G880" s="1251"/>
      <c r="H880" s="1251"/>
      <c r="I880" s="1251"/>
      <c r="J880" s="1251"/>
      <c r="K880" s="1251"/>
    </row>
    <row r="881">
      <c r="C881" s="1270"/>
      <c r="D881" s="1270"/>
      <c r="E881" s="1270"/>
      <c r="F881" s="1251"/>
      <c r="G881" s="1251"/>
      <c r="H881" s="1251"/>
      <c r="I881" s="1251"/>
      <c r="J881" s="1251"/>
      <c r="K881" s="1251"/>
    </row>
    <row r="882">
      <c r="C882" s="1270"/>
      <c r="D882" s="1270"/>
      <c r="E882" s="1270"/>
      <c r="F882" s="1251"/>
      <c r="G882" s="1251"/>
      <c r="H882" s="1251"/>
      <c r="I882" s="1251"/>
      <c r="J882" s="1251"/>
      <c r="K882" s="1251"/>
    </row>
    <row r="883">
      <c r="C883" s="1270"/>
      <c r="D883" s="1270"/>
      <c r="E883" s="1270"/>
      <c r="F883" s="1251"/>
      <c r="G883" s="1251"/>
      <c r="H883" s="1251"/>
      <c r="I883" s="1251"/>
      <c r="J883" s="1251"/>
      <c r="K883" s="1251"/>
    </row>
    <row r="884">
      <c r="C884" s="1270"/>
      <c r="D884" s="1270"/>
      <c r="E884" s="1270"/>
      <c r="F884" s="1251"/>
      <c r="G884" s="1251"/>
      <c r="H884" s="1251"/>
      <c r="I884" s="1251"/>
      <c r="J884" s="1251"/>
      <c r="K884" s="1251"/>
    </row>
    <row r="885">
      <c r="C885" s="1270"/>
      <c r="D885" s="1270"/>
      <c r="E885" s="1270"/>
      <c r="F885" s="1251"/>
      <c r="G885" s="1251"/>
      <c r="H885" s="1251"/>
      <c r="I885" s="1251"/>
      <c r="J885" s="1251"/>
      <c r="K885" s="1251"/>
    </row>
    <row r="886">
      <c r="C886" s="1270"/>
      <c r="D886" s="1270"/>
      <c r="E886" s="1270"/>
      <c r="F886" s="1251"/>
      <c r="G886" s="1251"/>
      <c r="H886" s="1251"/>
      <c r="I886" s="1251"/>
      <c r="J886" s="1251"/>
      <c r="K886" s="1251"/>
    </row>
    <row r="887">
      <c r="C887" s="1270"/>
      <c r="D887" s="1270"/>
      <c r="E887" s="1270"/>
      <c r="F887" s="1251"/>
      <c r="G887" s="1251"/>
      <c r="H887" s="1251"/>
      <c r="I887" s="1251"/>
      <c r="J887" s="1251"/>
      <c r="K887" s="1251"/>
    </row>
    <row r="888">
      <c r="C888" s="1270"/>
      <c r="D888" s="1270"/>
      <c r="E888" s="1270"/>
      <c r="F888" s="1251"/>
      <c r="G888" s="1251"/>
      <c r="H888" s="1251"/>
      <c r="I888" s="1251"/>
      <c r="J888" s="1251"/>
      <c r="K888" s="1251"/>
    </row>
    <row r="889">
      <c r="C889" s="1270"/>
      <c r="D889" s="1270"/>
      <c r="E889" s="1270"/>
      <c r="F889" s="1251"/>
      <c r="G889" s="1251"/>
      <c r="H889" s="1251"/>
      <c r="I889" s="1251"/>
      <c r="J889" s="1251"/>
      <c r="K889" s="1251"/>
    </row>
    <row r="890">
      <c r="C890" s="1270"/>
      <c r="D890" s="1270"/>
      <c r="E890" s="1270"/>
      <c r="F890" s="1251"/>
      <c r="G890" s="1251"/>
      <c r="H890" s="1251"/>
      <c r="I890" s="1251"/>
      <c r="J890" s="1251"/>
      <c r="K890" s="1251"/>
    </row>
    <row r="891">
      <c r="C891" s="1270"/>
      <c r="D891" s="1270"/>
      <c r="E891" s="1270"/>
      <c r="F891" s="1251"/>
      <c r="G891" s="1251"/>
      <c r="H891" s="1251"/>
      <c r="I891" s="1251"/>
      <c r="J891" s="1251"/>
      <c r="K891" s="1251"/>
    </row>
    <row r="892">
      <c r="C892" s="1270"/>
      <c r="D892" s="1270"/>
      <c r="E892" s="1270"/>
      <c r="F892" s="1251"/>
      <c r="G892" s="1251"/>
      <c r="H892" s="1251"/>
      <c r="I892" s="1251"/>
      <c r="J892" s="1251"/>
      <c r="K892" s="1251"/>
    </row>
    <row r="893">
      <c r="C893" s="1270"/>
      <c r="D893" s="1270"/>
      <c r="E893" s="1270"/>
      <c r="F893" s="1251"/>
      <c r="G893" s="1251"/>
      <c r="H893" s="1251"/>
      <c r="I893" s="1251"/>
      <c r="J893" s="1251"/>
      <c r="K893" s="1251"/>
    </row>
    <row r="894">
      <c r="C894" s="1270"/>
      <c r="D894" s="1270"/>
      <c r="E894" s="1270"/>
      <c r="F894" s="1251"/>
      <c r="G894" s="1251"/>
      <c r="H894" s="1251"/>
      <c r="I894" s="1251"/>
      <c r="J894" s="1251"/>
      <c r="K894" s="1251"/>
    </row>
    <row r="895">
      <c r="C895" s="1270"/>
      <c r="D895" s="1270"/>
      <c r="E895" s="1270"/>
      <c r="F895" s="1251"/>
      <c r="G895" s="1251"/>
      <c r="H895" s="1251"/>
      <c r="I895" s="1251"/>
      <c r="J895" s="1251"/>
      <c r="K895" s="1251"/>
    </row>
    <row r="896">
      <c r="C896" s="1270"/>
      <c r="D896" s="1270"/>
      <c r="E896" s="1270"/>
      <c r="F896" s="1251"/>
      <c r="G896" s="1251"/>
      <c r="H896" s="1251"/>
      <c r="I896" s="1251"/>
      <c r="J896" s="1251"/>
      <c r="K896" s="1251"/>
    </row>
    <row r="897">
      <c r="C897" s="1270"/>
      <c r="D897" s="1270"/>
      <c r="E897" s="1270"/>
      <c r="F897" s="1251"/>
      <c r="G897" s="1251"/>
      <c r="H897" s="1251"/>
      <c r="I897" s="1251"/>
      <c r="J897" s="1251"/>
      <c r="K897" s="1251"/>
    </row>
    <row r="898">
      <c r="C898" s="1270"/>
      <c r="D898" s="1270"/>
      <c r="E898" s="1270"/>
      <c r="F898" s="1251"/>
      <c r="G898" s="1251"/>
      <c r="H898" s="1251"/>
      <c r="I898" s="1251"/>
      <c r="J898" s="1251"/>
      <c r="K898" s="1251"/>
    </row>
    <row r="899">
      <c r="C899" s="1270"/>
      <c r="D899" s="1270"/>
      <c r="E899" s="1270"/>
      <c r="F899" s="1251"/>
      <c r="G899" s="1251"/>
      <c r="H899" s="1251"/>
      <c r="I899" s="1251"/>
      <c r="J899" s="1251"/>
      <c r="K899" s="1251"/>
    </row>
    <row r="900">
      <c r="C900" s="1270"/>
      <c r="D900" s="1270"/>
      <c r="E900" s="1270"/>
      <c r="F900" s="1251"/>
      <c r="G900" s="1251"/>
      <c r="H900" s="1251"/>
      <c r="I900" s="1251"/>
      <c r="J900" s="1251"/>
      <c r="K900" s="1251"/>
    </row>
    <row r="901">
      <c r="C901" s="1270"/>
      <c r="D901" s="1270"/>
      <c r="E901" s="1270"/>
      <c r="F901" s="1251"/>
      <c r="G901" s="1251"/>
      <c r="H901" s="1251"/>
      <c r="I901" s="1251"/>
      <c r="J901" s="1251"/>
      <c r="K901" s="1251"/>
    </row>
    <row r="902">
      <c r="C902" s="1270"/>
      <c r="D902" s="1270"/>
      <c r="E902" s="1270"/>
      <c r="F902" s="1251"/>
      <c r="G902" s="1251"/>
      <c r="H902" s="1251"/>
      <c r="I902" s="1251"/>
      <c r="J902" s="1251"/>
      <c r="K902" s="1251"/>
    </row>
    <row r="903">
      <c r="C903" s="1270"/>
      <c r="D903" s="1270"/>
      <c r="E903" s="1270"/>
      <c r="F903" s="1251"/>
      <c r="G903" s="1251"/>
      <c r="H903" s="1251"/>
      <c r="I903" s="1251"/>
      <c r="J903" s="1251"/>
      <c r="K903" s="1251"/>
    </row>
    <row r="904">
      <c r="C904" s="1270"/>
      <c r="D904" s="1270"/>
      <c r="E904" s="1270"/>
      <c r="F904" s="1251"/>
      <c r="G904" s="1251"/>
      <c r="H904" s="1251"/>
      <c r="I904" s="1251"/>
      <c r="J904" s="1251"/>
      <c r="K904" s="1251"/>
    </row>
    <row r="905">
      <c r="C905" s="1270"/>
      <c r="D905" s="1270"/>
      <c r="E905" s="1270"/>
      <c r="F905" s="1251"/>
      <c r="G905" s="1251"/>
      <c r="H905" s="1251"/>
      <c r="I905" s="1251"/>
      <c r="J905" s="1251"/>
      <c r="K905" s="1251"/>
    </row>
    <row r="906">
      <c r="C906" s="1270"/>
      <c r="D906" s="1270"/>
      <c r="E906" s="1270"/>
      <c r="F906" s="1251"/>
      <c r="G906" s="1251"/>
      <c r="H906" s="1251"/>
      <c r="I906" s="1251"/>
      <c r="J906" s="1251"/>
      <c r="K906" s="1251"/>
    </row>
    <row r="907">
      <c r="C907" s="1270"/>
      <c r="D907" s="1270"/>
      <c r="E907" s="1270"/>
      <c r="F907" s="1251"/>
      <c r="G907" s="1251"/>
      <c r="H907" s="1251"/>
      <c r="I907" s="1251"/>
      <c r="J907" s="1251"/>
      <c r="K907" s="1251"/>
    </row>
    <row r="908">
      <c r="C908" s="1270"/>
      <c r="D908" s="1270"/>
      <c r="E908" s="1270"/>
      <c r="F908" s="1251"/>
      <c r="G908" s="1251"/>
      <c r="H908" s="1251"/>
      <c r="I908" s="1251"/>
      <c r="J908" s="1251"/>
      <c r="K908" s="1251"/>
    </row>
    <row r="909">
      <c r="C909" s="1270"/>
      <c r="D909" s="1270"/>
      <c r="E909" s="1270"/>
      <c r="F909" s="1251"/>
      <c r="G909" s="1251"/>
      <c r="H909" s="1251"/>
      <c r="I909" s="1251"/>
      <c r="J909" s="1251"/>
      <c r="K909" s="1251"/>
    </row>
    <row r="910">
      <c r="C910" s="1270"/>
      <c r="D910" s="1270"/>
      <c r="E910" s="1270"/>
      <c r="F910" s="1251"/>
      <c r="G910" s="1251"/>
      <c r="H910" s="1251"/>
      <c r="I910" s="1251"/>
      <c r="J910" s="1251"/>
      <c r="K910" s="1251"/>
    </row>
    <row r="911">
      <c r="C911" s="1270"/>
      <c r="D911" s="1270"/>
      <c r="E911" s="1270"/>
      <c r="F911" s="1251"/>
      <c r="G911" s="1251"/>
      <c r="H911" s="1251"/>
      <c r="I911" s="1251"/>
      <c r="J911" s="1251"/>
      <c r="K911" s="1251"/>
    </row>
    <row r="912">
      <c r="C912" s="1270"/>
      <c r="D912" s="1270"/>
      <c r="E912" s="1270"/>
      <c r="F912" s="1251"/>
      <c r="G912" s="1251"/>
      <c r="H912" s="1251"/>
      <c r="I912" s="1251"/>
      <c r="J912" s="1251"/>
      <c r="K912" s="1251"/>
    </row>
    <row r="913">
      <c r="C913" s="1270"/>
      <c r="D913" s="1270"/>
      <c r="E913" s="1270"/>
      <c r="F913" s="1251"/>
      <c r="G913" s="1251"/>
      <c r="H913" s="1251"/>
      <c r="I913" s="1251"/>
      <c r="J913" s="1251"/>
      <c r="K913" s="1251"/>
    </row>
    <row r="914">
      <c r="C914" s="1270"/>
      <c r="D914" s="1270"/>
      <c r="E914" s="1270"/>
      <c r="F914" s="1251"/>
      <c r="G914" s="1251"/>
      <c r="H914" s="1251"/>
      <c r="I914" s="1251"/>
      <c r="J914" s="1251"/>
      <c r="K914" s="1251"/>
    </row>
    <row r="915">
      <c r="C915" s="1270"/>
      <c r="D915" s="1270"/>
      <c r="E915" s="1270"/>
      <c r="F915" s="1251"/>
      <c r="G915" s="1251"/>
      <c r="H915" s="1251"/>
      <c r="I915" s="1251"/>
      <c r="J915" s="1251"/>
      <c r="K915" s="1251"/>
    </row>
    <row r="916">
      <c r="C916" s="1270"/>
      <c r="D916" s="1270"/>
      <c r="E916" s="1270"/>
      <c r="F916" s="1251"/>
      <c r="G916" s="1251"/>
      <c r="H916" s="1251"/>
      <c r="I916" s="1251"/>
      <c r="J916" s="1251"/>
      <c r="K916" s="1251"/>
    </row>
    <row r="917">
      <c r="C917" s="1270"/>
      <c r="D917" s="1270"/>
      <c r="E917" s="1270"/>
      <c r="F917" s="1251"/>
      <c r="G917" s="1251"/>
      <c r="H917" s="1251"/>
      <c r="I917" s="1251"/>
      <c r="J917" s="1251"/>
      <c r="K917" s="1251"/>
    </row>
    <row r="918">
      <c r="C918" s="1270"/>
      <c r="D918" s="1270"/>
      <c r="E918" s="1270"/>
      <c r="F918" s="1251"/>
      <c r="G918" s="1251"/>
      <c r="H918" s="1251"/>
      <c r="I918" s="1251"/>
      <c r="J918" s="1251"/>
      <c r="K918" s="1251"/>
    </row>
    <row r="919">
      <c r="C919" s="1270"/>
      <c r="D919" s="1270"/>
      <c r="E919" s="1270"/>
      <c r="F919" s="1251"/>
      <c r="G919" s="1251"/>
      <c r="H919" s="1251"/>
      <c r="I919" s="1251"/>
      <c r="J919" s="1251"/>
      <c r="K919" s="1251"/>
    </row>
    <row r="920">
      <c r="C920" s="1270"/>
      <c r="D920" s="1270"/>
      <c r="E920" s="1270"/>
      <c r="F920" s="1251"/>
      <c r="G920" s="1251"/>
      <c r="H920" s="1251"/>
      <c r="I920" s="1251"/>
      <c r="J920" s="1251"/>
      <c r="K920" s="1251"/>
    </row>
    <row r="921">
      <c r="C921" s="1270"/>
      <c r="D921" s="1270"/>
      <c r="E921" s="1270"/>
      <c r="F921" s="1251"/>
      <c r="G921" s="1251"/>
      <c r="H921" s="1251"/>
      <c r="I921" s="1251"/>
      <c r="J921" s="1251"/>
      <c r="K921" s="1251"/>
    </row>
    <row r="922">
      <c r="C922" s="1270"/>
      <c r="D922" s="1270"/>
      <c r="E922" s="1270"/>
      <c r="F922" s="1251"/>
      <c r="G922" s="1251"/>
      <c r="H922" s="1251"/>
      <c r="I922" s="1251"/>
      <c r="J922" s="1251"/>
      <c r="K922" s="1251"/>
    </row>
    <row r="923">
      <c r="C923" s="1270"/>
      <c r="D923" s="1270"/>
      <c r="E923" s="1270"/>
      <c r="F923" s="1251"/>
      <c r="G923" s="1251"/>
      <c r="H923" s="1251"/>
      <c r="I923" s="1251"/>
      <c r="J923" s="1251"/>
      <c r="K923" s="1251"/>
    </row>
    <row r="924">
      <c r="C924" s="1270"/>
      <c r="D924" s="1270"/>
      <c r="E924" s="1270"/>
      <c r="F924" s="1251"/>
      <c r="G924" s="1251"/>
      <c r="H924" s="1251"/>
      <c r="I924" s="1251"/>
      <c r="J924" s="1251"/>
      <c r="K924" s="1251"/>
    </row>
    <row r="925">
      <c r="C925" s="1270"/>
      <c r="D925" s="1270"/>
      <c r="E925" s="1270"/>
      <c r="F925" s="1251"/>
      <c r="G925" s="1251"/>
      <c r="H925" s="1251"/>
      <c r="I925" s="1251"/>
      <c r="J925" s="1251"/>
      <c r="K925" s="1251"/>
    </row>
    <row r="926">
      <c r="C926" s="1270"/>
      <c r="D926" s="1270"/>
      <c r="E926" s="1270"/>
      <c r="F926" s="1251"/>
      <c r="G926" s="1251"/>
      <c r="H926" s="1251"/>
      <c r="I926" s="1251"/>
      <c r="J926" s="1251"/>
      <c r="K926" s="1251"/>
    </row>
    <row r="927">
      <c r="C927" s="1270"/>
      <c r="D927" s="1270"/>
      <c r="E927" s="1270"/>
      <c r="F927" s="1251"/>
      <c r="G927" s="1251"/>
      <c r="H927" s="1251"/>
      <c r="I927" s="1251"/>
      <c r="J927" s="1251"/>
      <c r="K927" s="1251"/>
    </row>
    <row r="928">
      <c r="C928" s="1270"/>
      <c r="D928" s="1270"/>
      <c r="E928" s="1270"/>
      <c r="F928" s="1251"/>
      <c r="G928" s="1251"/>
      <c r="H928" s="1251"/>
      <c r="I928" s="1251"/>
      <c r="J928" s="1251"/>
      <c r="K928" s="1251"/>
    </row>
    <row r="929">
      <c r="C929" s="1270"/>
      <c r="D929" s="1270"/>
      <c r="E929" s="1270"/>
      <c r="F929" s="1251"/>
      <c r="G929" s="1251"/>
      <c r="H929" s="1251"/>
      <c r="I929" s="1251"/>
      <c r="J929" s="1251"/>
      <c r="K929" s="1251"/>
    </row>
    <row r="930">
      <c r="C930" s="1270"/>
      <c r="D930" s="1270"/>
      <c r="E930" s="1270"/>
      <c r="F930" s="1251"/>
      <c r="G930" s="1251"/>
      <c r="H930" s="1251"/>
      <c r="I930" s="1251"/>
      <c r="J930" s="1251"/>
      <c r="K930" s="1251"/>
    </row>
    <row r="931">
      <c r="C931" s="1270"/>
      <c r="D931" s="1270"/>
      <c r="E931" s="1270"/>
      <c r="F931" s="1251"/>
      <c r="G931" s="1251"/>
      <c r="H931" s="1251"/>
      <c r="I931" s="1251"/>
      <c r="J931" s="1251"/>
      <c r="K931" s="1251"/>
    </row>
    <row r="932">
      <c r="C932" s="1270"/>
      <c r="D932" s="1270"/>
      <c r="E932" s="1270"/>
      <c r="F932" s="1251"/>
      <c r="G932" s="1251"/>
      <c r="H932" s="1251"/>
      <c r="I932" s="1251"/>
      <c r="J932" s="1251"/>
      <c r="K932" s="1251"/>
    </row>
    <row r="933">
      <c r="C933" s="1270"/>
      <c r="D933" s="1270"/>
      <c r="E933" s="1270"/>
      <c r="F933" s="1251"/>
      <c r="G933" s="1251"/>
      <c r="H933" s="1251"/>
      <c r="I933" s="1251"/>
      <c r="J933" s="1251"/>
      <c r="K933" s="1251"/>
    </row>
    <row r="934">
      <c r="C934" s="1270"/>
      <c r="D934" s="1270"/>
      <c r="E934" s="1270"/>
      <c r="F934" s="1251"/>
      <c r="G934" s="1251"/>
      <c r="H934" s="1251"/>
      <c r="I934" s="1251"/>
      <c r="J934" s="1251"/>
      <c r="K934" s="1251"/>
    </row>
    <row r="935">
      <c r="C935" s="1270"/>
      <c r="D935" s="1270"/>
      <c r="E935" s="1270"/>
      <c r="F935" s="1251"/>
      <c r="G935" s="1251"/>
      <c r="H935" s="1251"/>
      <c r="I935" s="1251"/>
      <c r="J935" s="1251"/>
      <c r="K935" s="1251"/>
    </row>
    <row r="936">
      <c r="C936" s="1270"/>
      <c r="D936" s="1270"/>
      <c r="E936" s="1270"/>
      <c r="F936" s="1251"/>
      <c r="G936" s="1251"/>
      <c r="H936" s="1251"/>
      <c r="I936" s="1251"/>
      <c r="J936" s="1251"/>
      <c r="K936" s="1251"/>
    </row>
    <row r="937">
      <c r="C937" s="1270"/>
      <c r="D937" s="1270"/>
      <c r="E937" s="1270"/>
      <c r="F937" s="1251"/>
      <c r="G937" s="1251"/>
      <c r="H937" s="1251"/>
      <c r="I937" s="1251"/>
      <c r="J937" s="1251"/>
      <c r="K937" s="1251"/>
    </row>
    <row r="938">
      <c r="C938" s="1270"/>
      <c r="D938" s="1270"/>
      <c r="E938" s="1270"/>
      <c r="F938" s="1251"/>
      <c r="G938" s="1251"/>
      <c r="H938" s="1251"/>
      <c r="I938" s="1251"/>
      <c r="J938" s="1251"/>
      <c r="K938" s="1251"/>
    </row>
    <row r="939">
      <c r="C939" s="1270"/>
      <c r="D939" s="1270"/>
      <c r="E939" s="1270"/>
      <c r="F939" s="1251"/>
      <c r="G939" s="1251"/>
      <c r="H939" s="1251"/>
      <c r="I939" s="1251"/>
      <c r="J939" s="1251"/>
      <c r="K939" s="1251"/>
    </row>
    <row r="940">
      <c r="C940" s="1270"/>
      <c r="D940" s="1270"/>
      <c r="E940" s="1270"/>
      <c r="F940" s="1251"/>
      <c r="G940" s="1251"/>
      <c r="H940" s="1251"/>
      <c r="I940" s="1251"/>
      <c r="J940" s="1251"/>
      <c r="K940" s="1251"/>
    </row>
    <row r="941">
      <c r="C941" s="1270"/>
      <c r="D941" s="1270"/>
      <c r="E941" s="1270"/>
      <c r="F941" s="1251"/>
      <c r="G941" s="1251"/>
      <c r="H941" s="1251"/>
      <c r="I941" s="1251"/>
      <c r="J941" s="1251"/>
      <c r="K941" s="1251"/>
    </row>
    <row r="942">
      <c r="C942" s="1270"/>
      <c r="D942" s="1270"/>
      <c r="E942" s="1270"/>
      <c r="F942" s="1251"/>
      <c r="G942" s="1251"/>
      <c r="H942" s="1251"/>
      <c r="I942" s="1251"/>
      <c r="J942" s="1251"/>
      <c r="K942" s="1251"/>
    </row>
    <row r="943">
      <c r="C943" s="1270"/>
      <c r="D943" s="1270"/>
      <c r="E943" s="1270"/>
      <c r="F943" s="1251"/>
      <c r="G943" s="1251"/>
      <c r="H943" s="1251"/>
      <c r="I943" s="1251"/>
      <c r="J943" s="1251"/>
      <c r="K943" s="1251"/>
    </row>
    <row r="944">
      <c r="C944" s="1270"/>
      <c r="D944" s="1270"/>
      <c r="E944" s="1270"/>
      <c r="F944" s="1251"/>
      <c r="G944" s="1251"/>
      <c r="H944" s="1251"/>
      <c r="I944" s="1251"/>
      <c r="J944" s="1251"/>
      <c r="K944" s="1251"/>
    </row>
    <row r="945">
      <c r="C945" s="1270"/>
      <c r="D945" s="1270"/>
      <c r="E945" s="1270"/>
      <c r="F945" s="1251"/>
      <c r="G945" s="1251"/>
      <c r="H945" s="1251"/>
      <c r="I945" s="1251"/>
      <c r="J945" s="1251"/>
      <c r="K945" s="1251"/>
    </row>
    <row r="946">
      <c r="C946" s="1270"/>
      <c r="D946" s="1270"/>
      <c r="E946" s="1270"/>
      <c r="F946" s="1251"/>
      <c r="G946" s="1251"/>
      <c r="H946" s="1251"/>
      <c r="I946" s="1251"/>
      <c r="J946" s="1251"/>
      <c r="K946" s="1251"/>
    </row>
    <row r="947">
      <c r="C947" s="1270"/>
      <c r="D947" s="1270"/>
      <c r="E947" s="1270"/>
      <c r="F947" s="1251"/>
      <c r="G947" s="1251"/>
      <c r="H947" s="1251"/>
      <c r="I947" s="1251"/>
      <c r="J947" s="1251"/>
      <c r="K947" s="1251"/>
    </row>
    <row r="948">
      <c r="C948" s="1270"/>
      <c r="D948" s="1270"/>
      <c r="E948" s="1270"/>
      <c r="F948" s="1251"/>
      <c r="G948" s="1251"/>
      <c r="H948" s="1251"/>
      <c r="I948" s="1251"/>
      <c r="J948" s="1251"/>
      <c r="K948" s="1251"/>
    </row>
    <row r="949">
      <c r="C949" s="1270"/>
      <c r="D949" s="1270"/>
      <c r="E949" s="1270"/>
      <c r="F949" s="1251"/>
      <c r="G949" s="1251"/>
      <c r="H949" s="1251"/>
      <c r="I949" s="1251"/>
      <c r="J949" s="1251"/>
      <c r="K949" s="1251"/>
    </row>
    <row r="950">
      <c r="C950" s="1270"/>
      <c r="D950" s="1270"/>
      <c r="E950" s="1270"/>
      <c r="F950" s="1251"/>
      <c r="G950" s="1251"/>
      <c r="H950" s="1251"/>
      <c r="I950" s="1251"/>
      <c r="J950" s="1251"/>
      <c r="K950" s="1251"/>
    </row>
    <row r="951">
      <c r="C951" s="1270"/>
      <c r="D951" s="1270"/>
      <c r="E951" s="1270"/>
      <c r="F951" s="1251"/>
      <c r="G951" s="1251"/>
      <c r="H951" s="1251"/>
      <c r="I951" s="1251"/>
      <c r="J951" s="1251"/>
      <c r="K951" s="1251"/>
    </row>
    <row r="952">
      <c r="C952" s="1270"/>
      <c r="D952" s="1270"/>
      <c r="E952" s="1270"/>
      <c r="F952" s="1251"/>
      <c r="G952" s="1251"/>
      <c r="H952" s="1251"/>
      <c r="I952" s="1251"/>
      <c r="J952" s="1251"/>
      <c r="K952" s="1251"/>
    </row>
    <row r="953">
      <c r="C953" s="1270"/>
      <c r="D953" s="1270"/>
      <c r="E953" s="1270"/>
      <c r="F953" s="1251"/>
      <c r="G953" s="1251"/>
      <c r="H953" s="1251"/>
      <c r="I953" s="1251"/>
      <c r="J953" s="1251"/>
      <c r="K953" s="1251"/>
    </row>
    <row r="954">
      <c r="C954" s="1270"/>
      <c r="D954" s="1270"/>
      <c r="E954" s="1270"/>
      <c r="F954" s="1251"/>
      <c r="G954" s="1251"/>
      <c r="H954" s="1251"/>
      <c r="I954" s="1251"/>
      <c r="J954" s="1251"/>
      <c r="K954" s="1251"/>
    </row>
    <row r="955">
      <c r="C955" s="1270"/>
      <c r="D955" s="1270"/>
      <c r="E955" s="1270"/>
      <c r="F955" s="1251"/>
      <c r="G955" s="1251"/>
      <c r="H955" s="1251"/>
      <c r="I955" s="1251"/>
      <c r="J955" s="1251"/>
      <c r="K955" s="1251"/>
    </row>
    <row r="956">
      <c r="C956" s="1270"/>
      <c r="D956" s="1270"/>
      <c r="E956" s="1270"/>
      <c r="F956" s="1251"/>
      <c r="G956" s="1251"/>
      <c r="H956" s="1251"/>
      <c r="I956" s="1251"/>
      <c r="J956" s="1251"/>
      <c r="K956" s="1251"/>
    </row>
    <row r="957">
      <c r="C957" s="1270"/>
      <c r="D957" s="1270"/>
      <c r="E957" s="1270"/>
      <c r="F957" s="1251"/>
      <c r="G957" s="1251"/>
      <c r="H957" s="1251"/>
      <c r="I957" s="1251"/>
      <c r="J957" s="1251"/>
      <c r="K957" s="1251"/>
    </row>
    <row r="958">
      <c r="C958" s="1270"/>
      <c r="D958" s="1270"/>
      <c r="E958" s="1270"/>
      <c r="F958" s="1251"/>
      <c r="G958" s="1251"/>
      <c r="H958" s="1251"/>
      <c r="I958" s="1251"/>
      <c r="J958" s="1251"/>
      <c r="K958" s="1251"/>
    </row>
    <row r="959">
      <c r="C959" s="1270"/>
      <c r="D959" s="1270"/>
      <c r="E959" s="1270"/>
      <c r="F959" s="1251"/>
      <c r="G959" s="1251"/>
      <c r="H959" s="1251"/>
      <c r="I959" s="1251"/>
      <c r="J959" s="1251"/>
      <c r="K959" s="1251"/>
    </row>
    <row r="960">
      <c r="C960" s="1270"/>
      <c r="D960" s="1270"/>
      <c r="E960" s="1270"/>
      <c r="F960" s="1251"/>
      <c r="G960" s="1251"/>
      <c r="H960" s="1251"/>
      <c r="I960" s="1251"/>
      <c r="J960" s="1251"/>
      <c r="K960" s="1251"/>
    </row>
    <row r="961">
      <c r="C961" s="1270"/>
      <c r="D961" s="1270"/>
      <c r="E961" s="1270"/>
      <c r="F961" s="1251"/>
      <c r="G961" s="1251"/>
      <c r="H961" s="1251"/>
      <c r="I961" s="1251"/>
      <c r="J961" s="1251"/>
      <c r="K961" s="1251"/>
    </row>
    <row r="962">
      <c r="C962" s="1270"/>
      <c r="D962" s="1270"/>
      <c r="E962" s="1270"/>
      <c r="F962" s="1251"/>
      <c r="G962" s="1251"/>
      <c r="H962" s="1251"/>
      <c r="I962" s="1251"/>
      <c r="J962" s="1251"/>
      <c r="K962" s="1251"/>
    </row>
    <row r="963">
      <c r="C963" s="1270"/>
      <c r="D963" s="1270"/>
      <c r="E963" s="1270"/>
      <c r="F963" s="1251"/>
      <c r="G963" s="1251"/>
      <c r="H963" s="1251"/>
      <c r="I963" s="1251"/>
      <c r="J963" s="1251"/>
      <c r="K963" s="1251"/>
    </row>
    <row r="964">
      <c r="C964" s="1270"/>
      <c r="D964" s="1270"/>
      <c r="E964" s="1270"/>
      <c r="F964" s="1251"/>
      <c r="G964" s="1251"/>
      <c r="H964" s="1251"/>
      <c r="I964" s="1251"/>
      <c r="J964" s="1251"/>
      <c r="K964" s="1251"/>
    </row>
    <row r="965">
      <c r="C965" s="1270"/>
      <c r="D965" s="1270"/>
      <c r="E965" s="1270"/>
      <c r="F965" s="1251"/>
      <c r="G965" s="1251"/>
      <c r="H965" s="1251"/>
      <c r="I965" s="1251"/>
      <c r="J965" s="1251"/>
      <c r="K965" s="1251"/>
    </row>
    <row r="966">
      <c r="C966" s="1270"/>
      <c r="D966" s="1270"/>
      <c r="E966" s="1270"/>
      <c r="F966" s="1251"/>
      <c r="G966" s="1251"/>
      <c r="H966" s="1251"/>
      <c r="I966" s="1251"/>
      <c r="J966" s="1251"/>
      <c r="K966" s="1251"/>
    </row>
    <row r="967">
      <c r="C967" s="1270"/>
      <c r="D967" s="1270"/>
      <c r="E967" s="1270"/>
      <c r="F967" s="1251"/>
      <c r="G967" s="1251"/>
      <c r="H967" s="1251"/>
      <c r="I967" s="1251"/>
      <c r="J967" s="1251"/>
      <c r="K967" s="1251"/>
    </row>
    <row r="968">
      <c r="C968" s="1270"/>
      <c r="D968" s="1270"/>
      <c r="E968" s="1270"/>
      <c r="F968" s="1251"/>
      <c r="G968" s="1251"/>
      <c r="H968" s="1251"/>
      <c r="I968" s="1251"/>
      <c r="J968" s="1251"/>
      <c r="K968" s="1251"/>
    </row>
    <row r="969">
      <c r="C969" s="1270"/>
      <c r="D969" s="1270"/>
      <c r="E969" s="1270"/>
      <c r="F969" s="1251"/>
      <c r="G969" s="1251"/>
      <c r="H969" s="1251"/>
      <c r="I969" s="1251"/>
      <c r="J969" s="1251"/>
      <c r="K969" s="1251"/>
    </row>
    <row r="970">
      <c r="C970" s="1270"/>
      <c r="D970" s="1270"/>
      <c r="E970" s="1270"/>
      <c r="F970" s="1251"/>
      <c r="G970" s="1251"/>
      <c r="H970" s="1251"/>
      <c r="I970" s="1251"/>
      <c r="J970" s="1251"/>
      <c r="K970" s="1251"/>
    </row>
    <row r="971">
      <c r="C971" s="1270"/>
      <c r="D971" s="1270"/>
      <c r="E971" s="1270"/>
      <c r="F971" s="1251"/>
      <c r="G971" s="1251"/>
      <c r="H971" s="1251"/>
      <c r="I971" s="1251"/>
      <c r="J971" s="1251"/>
      <c r="K971" s="1251"/>
    </row>
    <row r="972">
      <c r="C972" s="1270"/>
      <c r="D972" s="1270"/>
      <c r="E972" s="1270"/>
      <c r="F972" s="1251"/>
      <c r="G972" s="1251"/>
      <c r="H972" s="1251"/>
      <c r="I972" s="1251"/>
      <c r="J972" s="1251"/>
      <c r="K972" s="1251"/>
    </row>
    <row r="973">
      <c r="C973" s="1270"/>
      <c r="D973" s="1270"/>
      <c r="E973" s="1270"/>
      <c r="F973" s="1251"/>
      <c r="G973" s="1251"/>
      <c r="H973" s="1251"/>
      <c r="I973" s="1251"/>
      <c r="J973" s="1251"/>
      <c r="K973" s="1251"/>
    </row>
    <row r="974">
      <c r="C974" s="1270"/>
      <c r="D974" s="1270"/>
      <c r="E974" s="1270"/>
      <c r="F974" s="1251"/>
      <c r="G974" s="1251"/>
      <c r="H974" s="1251"/>
      <c r="I974" s="1251"/>
      <c r="J974" s="1251"/>
      <c r="K974" s="1251"/>
    </row>
    <row r="975">
      <c r="C975" s="1270"/>
      <c r="D975" s="1270"/>
      <c r="E975" s="1270"/>
      <c r="F975" s="1251"/>
      <c r="G975" s="1251"/>
      <c r="H975" s="1251"/>
      <c r="I975" s="1251"/>
      <c r="J975" s="1251"/>
      <c r="K975" s="1251"/>
    </row>
    <row r="976">
      <c r="C976" s="1270"/>
      <c r="D976" s="1270"/>
      <c r="E976" s="1270"/>
      <c r="F976" s="1251"/>
      <c r="G976" s="1251"/>
      <c r="H976" s="1251"/>
      <c r="I976" s="1251"/>
      <c r="J976" s="1251"/>
      <c r="K976" s="1251"/>
    </row>
    <row r="977">
      <c r="C977" s="1270"/>
      <c r="D977" s="1270"/>
      <c r="E977" s="1270"/>
      <c r="F977" s="1251"/>
      <c r="G977" s="1251"/>
      <c r="H977" s="1251"/>
      <c r="I977" s="1251"/>
      <c r="J977" s="1251"/>
      <c r="K977" s="1251"/>
    </row>
    <row r="978">
      <c r="C978" s="1270"/>
      <c r="D978" s="1270"/>
      <c r="E978" s="1270"/>
      <c r="F978" s="1251"/>
      <c r="G978" s="1251"/>
      <c r="H978" s="1251"/>
      <c r="I978" s="1251"/>
      <c r="J978" s="1251"/>
      <c r="K978" s="1251"/>
    </row>
    <row r="979">
      <c r="C979" s="1270"/>
      <c r="D979" s="1270"/>
      <c r="E979" s="1270"/>
      <c r="F979" s="1251"/>
      <c r="G979" s="1251"/>
      <c r="H979" s="1251"/>
      <c r="I979" s="1251"/>
      <c r="J979" s="1251"/>
      <c r="K979" s="1251"/>
    </row>
    <row r="980">
      <c r="C980" s="1270"/>
      <c r="D980" s="1270"/>
      <c r="E980" s="1270"/>
      <c r="F980" s="1251"/>
      <c r="G980" s="1251"/>
      <c r="H980" s="1251"/>
      <c r="I980" s="1251"/>
      <c r="J980" s="1251"/>
      <c r="K980" s="1251"/>
    </row>
    <row r="981">
      <c r="C981" s="1270"/>
      <c r="D981" s="1270"/>
      <c r="E981" s="1270"/>
      <c r="F981" s="1251"/>
      <c r="G981" s="1251"/>
      <c r="H981" s="1251"/>
      <c r="I981" s="1251"/>
      <c r="J981" s="1251"/>
      <c r="K981" s="1251"/>
    </row>
    <row r="982">
      <c r="C982" s="1270"/>
      <c r="D982" s="1270"/>
      <c r="E982" s="1270"/>
      <c r="F982" s="1251"/>
      <c r="G982" s="1251"/>
      <c r="H982" s="1251"/>
      <c r="I982" s="1251"/>
      <c r="J982" s="1251"/>
      <c r="K982" s="1251"/>
    </row>
    <row r="983">
      <c r="C983" s="1270"/>
      <c r="D983" s="1270"/>
      <c r="E983" s="1270"/>
      <c r="F983" s="1251"/>
      <c r="G983" s="1251"/>
      <c r="H983" s="1251"/>
      <c r="I983" s="1251"/>
      <c r="J983" s="1251"/>
      <c r="K983" s="1251"/>
    </row>
    <row r="984">
      <c r="C984" s="1270"/>
      <c r="D984" s="1270"/>
      <c r="E984" s="1270"/>
      <c r="F984" s="1251"/>
      <c r="G984" s="1251"/>
      <c r="H984" s="1251"/>
      <c r="I984" s="1251"/>
      <c r="J984" s="1251"/>
      <c r="K984" s="1251"/>
    </row>
    <row r="985">
      <c r="C985" s="1270"/>
      <c r="D985" s="1270"/>
      <c r="E985" s="1270"/>
      <c r="F985" s="1251"/>
      <c r="G985" s="1251"/>
      <c r="H985" s="1251"/>
      <c r="I985" s="1251"/>
      <c r="J985" s="1251"/>
      <c r="K985" s="1251"/>
    </row>
    <row r="986">
      <c r="C986" s="1270"/>
      <c r="D986" s="1270"/>
      <c r="E986" s="1270"/>
      <c r="F986" s="1251"/>
      <c r="G986" s="1251"/>
      <c r="H986" s="1251"/>
      <c r="I986" s="1251"/>
      <c r="J986" s="1251"/>
      <c r="K986" s="1251"/>
    </row>
    <row r="987">
      <c r="C987" s="1270"/>
      <c r="D987" s="1270"/>
      <c r="E987" s="1270"/>
      <c r="F987" s="1251"/>
      <c r="G987" s="1251"/>
      <c r="H987" s="1251"/>
      <c r="I987" s="1251"/>
      <c r="J987" s="1251"/>
      <c r="K987" s="1251"/>
    </row>
    <row r="988">
      <c r="C988" s="1270"/>
      <c r="D988" s="1270"/>
      <c r="E988" s="1270"/>
      <c r="F988" s="1251"/>
      <c r="G988" s="1251"/>
      <c r="H988" s="1251"/>
      <c r="I988" s="1251"/>
      <c r="J988" s="1251"/>
      <c r="K988" s="1251"/>
    </row>
    <row r="989">
      <c r="C989" s="1270"/>
      <c r="D989" s="1270"/>
      <c r="E989" s="1270"/>
      <c r="F989" s="1251"/>
      <c r="G989" s="1251"/>
      <c r="H989" s="1251"/>
      <c r="I989" s="1251"/>
      <c r="J989" s="1251"/>
      <c r="K989" s="1251"/>
    </row>
    <row r="990">
      <c r="C990" s="1270"/>
      <c r="D990" s="1270"/>
      <c r="E990" s="1270"/>
      <c r="F990" s="1251"/>
      <c r="G990" s="1251"/>
      <c r="H990" s="1251"/>
      <c r="I990" s="1251"/>
      <c r="J990" s="1251"/>
      <c r="K990" s="1251"/>
    </row>
    <row r="991">
      <c r="C991" s="1270"/>
      <c r="D991" s="1270"/>
      <c r="E991" s="1270"/>
      <c r="F991" s="1251"/>
      <c r="G991" s="1251"/>
      <c r="H991" s="1251"/>
      <c r="I991" s="1251"/>
      <c r="J991" s="1251"/>
      <c r="K991" s="1251"/>
    </row>
    <row r="992">
      <c r="C992" s="1270"/>
      <c r="D992" s="1270"/>
      <c r="E992" s="1270"/>
      <c r="F992" s="1251"/>
      <c r="G992" s="1251"/>
      <c r="H992" s="1251"/>
      <c r="I992" s="1251"/>
      <c r="J992" s="1251"/>
      <c r="K992" s="1251"/>
    </row>
    <row r="993">
      <c r="C993" s="1270"/>
      <c r="D993" s="1270"/>
      <c r="E993" s="1270"/>
      <c r="F993" s="1251"/>
      <c r="G993" s="1251"/>
      <c r="H993" s="1251"/>
      <c r="I993" s="1251"/>
      <c r="J993" s="1251"/>
      <c r="K993" s="1251"/>
    </row>
    <row r="994">
      <c r="C994" s="1270"/>
      <c r="D994" s="1270"/>
      <c r="E994" s="1270"/>
      <c r="F994" s="1251"/>
      <c r="G994" s="1251"/>
      <c r="H994" s="1251"/>
      <c r="I994" s="1251"/>
      <c r="J994" s="1251"/>
      <c r="K994" s="1251"/>
    </row>
    <row r="995">
      <c r="C995" s="1270"/>
      <c r="D995" s="1270"/>
      <c r="E995" s="1270"/>
      <c r="F995" s="1251"/>
      <c r="G995" s="1251"/>
      <c r="H995" s="1251"/>
      <c r="I995" s="1251"/>
      <c r="J995" s="1251"/>
      <c r="K995" s="1251"/>
    </row>
    <row r="996">
      <c r="C996" s="1270"/>
      <c r="D996" s="1270"/>
      <c r="E996" s="1270"/>
      <c r="F996" s="1251"/>
      <c r="G996" s="1251"/>
      <c r="H996" s="1251"/>
      <c r="I996" s="1251"/>
      <c r="J996" s="1251"/>
      <c r="K996" s="1251"/>
    </row>
    <row r="997">
      <c r="C997" s="1270"/>
      <c r="D997" s="1270"/>
      <c r="E997" s="1270"/>
      <c r="F997" s="1251"/>
      <c r="G997" s="1251"/>
      <c r="H997" s="1251"/>
      <c r="I997" s="1251"/>
      <c r="J997" s="1251"/>
      <c r="K997" s="1251"/>
    </row>
    <row r="998">
      <c r="C998" s="1270"/>
      <c r="D998" s="1270"/>
      <c r="E998" s="1270"/>
      <c r="F998" s="1251"/>
      <c r="G998" s="1251"/>
      <c r="H998" s="1251"/>
      <c r="I998" s="1251"/>
      <c r="J998" s="1251"/>
      <c r="K998" s="1251"/>
    </row>
    <row r="999">
      <c r="C999" s="1270"/>
      <c r="D999" s="1270"/>
      <c r="E999" s="1270"/>
      <c r="F999" s="1251"/>
      <c r="G999" s="1251"/>
      <c r="H999" s="1251"/>
      <c r="I999" s="1251"/>
      <c r="J999" s="1251"/>
      <c r="K999" s="1251"/>
    </row>
    <row r="1000">
      <c r="C1000" s="1270"/>
      <c r="D1000" s="1270"/>
      <c r="E1000" s="1270"/>
      <c r="F1000" s="1251"/>
      <c r="G1000" s="1251"/>
      <c r="H1000" s="1251"/>
      <c r="I1000" s="1251"/>
      <c r="J1000" s="1251"/>
      <c r="K1000" s="1251"/>
    </row>
    <row r="1001">
      <c r="C1001" s="1270"/>
      <c r="D1001" s="1270"/>
      <c r="E1001" s="1270"/>
      <c r="F1001" s="1251"/>
      <c r="G1001" s="1251"/>
      <c r="H1001" s="1251"/>
      <c r="I1001" s="1251"/>
      <c r="J1001" s="1251"/>
      <c r="K1001" s="1251"/>
    </row>
    <row r="1002">
      <c r="C1002" s="1270"/>
      <c r="D1002" s="1270"/>
      <c r="E1002" s="1270"/>
      <c r="F1002" s="1251"/>
      <c r="G1002" s="1251"/>
      <c r="H1002" s="1251"/>
      <c r="I1002" s="1251"/>
      <c r="J1002" s="1251"/>
      <c r="K1002" s="1251"/>
    </row>
    <row r="1003">
      <c r="C1003" s="1270"/>
      <c r="D1003" s="1270"/>
      <c r="E1003" s="1270"/>
      <c r="F1003" s="1251"/>
      <c r="G1003" s="1251"/>
      <c r="H1003" s="1251"/>
      <c r="I1003" s="1251"/>
      <c r="J1003" s="1251"/>
      <c r="K1003" s="1251"/>
    </row>
    <row r="1004">
      <c r="C1004" s="1270"/>
      <c r="D1004" s="1270"/>
      <c r="E1004" s="1270"/>
      <c r="F1004" s="1251"/>
      <c r="G1004" s="1251"/>
      <c r="H1004" s="1251"/>
      <c r="I1004" s="1251"/>
      <c r="J1004" s="1251"/>
      <c r="K1004" s="1251"/>
    </row>
    <row r="1005">
      <c r="C1005" s="1270"/>
      <c r="D1005" s="1270"/>
      <c r="E1005" s="1270"/>
      <c r="F1005" s="1251"/>
      <c r="G1005" s="1251"/>
      <c r="H1005" s="1251"/>
      <c r="I1005" s="1251"/>
      <c r="J1005" s="1251"/>
      <c r="K1005" s="1251"/>
    </row>
    <row r="1006">
      <c r="C1006" s="1270"/>
      <c r="D1006" s="1270"/>
      <c r="E1006" s="1270"/>
      <c r="F1006" s="1251"/>
      <c r="G1006" s="1251"/>
      <c r="H1006" s="1251"/>
      <c r="I1006" s="1251"/>
      <c r="J1006" s="1251"/>
      <c r="K1006" s="1251"/>
    </row>
    <row r="1007">
      <c r="C1007" s="1270"/>
      <c r="D1007" s="1270"/>
      <c r="E1007" s="1270"/>
      <c r="F1007" s="1251"/>
      <c r="G1007" s="1251"/>
      <c r="H1007" s="1251"/>
      <c r="I1007" s="1251"/>
      <c r="J1007" s="1251"/>
      <c r="K1007" s="1251"/>
    </row>
    <row r="1008">
      <c r="C1008" s="1270"/>
      <c r="D1008" s="1270"/>
      <c r="E1008" s="1270"/>
      <c r="F1008" s="1251"/>
      <c r="G1008" s="1251"/>
      <c r="H1008" s="1251"/>
      <c r="I1008" s="1251"/>
      <c r="J1008" s="1251"/>
      <c r="K1008" s="1251"/>
    </row>
    <row r="1009">
      <c r="C1009" s="1270"/>
      <c r="D1009" s="1270"/>
      <c r="E1009" s="1270"/>
      <c r="F1009" s="1251"/>
      <c r="G1009" s="1251"/>
      <c r="H1009" s="1251"/>
      <c r="I1009" s="1251"/>
      <c r="J1009" s="1251"/>
      <c r="K1009" s="1251"/>
    </row>
    <row r="1010">
      <c r="C1010" s="1270"/>
      <c r="D1010" s="1270"/>
      <c r="E1010" s="1270"/>
      <c r="F1010" s="1251"/>
      <c r="G1010" s="1251"/>
      <c r="H1010" s="1251"/>
      <c r="I1010" s="1251"/>
      <c r="J1010" s="1251"/>
      <c r="K1010" s="1251"/>
    </row>
    <row r="1011">
      <c r="C1011" s="1270"/>
      <c r="D1011" s="1270"/>
      <c r="E1011" s="1270"/>
      <c r="F1011" s="1251"/>
      <c r="G1011" s="1251"/>
      <c r="H1011" s="1251"/>
      <c r="I1011" s="1251"/>
      <c r="J1011" s="1251"/>
      <c r="K1011" s="1251"/>
    </row>
    <row r="1012">
      <c r="C1012" s="1270"/>
      <c r="D1012" s="1270"/>
      <c r="E1012" s="1270"/>
      <c r="F1012" s="1251"/>
      <c r="G1012" s="1251"/>
      <c r="H1012" s="1251"/>
      <c r="I1012" s="1251"/>
      <c r="J1012" s="1251"/>
      <c r="K1012" s="1251"/>
    </row>
    <row r="1013">
      <c r="C1013" s="1270"/>
      <c r="D1013" s="1270"/>
      <c r="E1013" s="1270"/>
      <c r="F1013" s="1251"/>
      <c r="G1013" s="1251"/>
      <c r="H1013" s="1251"/>
      <c r="I1013" s="1251"/>
      <c r="J1013" s="1251"/>
      <c r="K1013" s="1251"/>
    </row>
    <row r="1014">
      <c r="C1014" s="1270"/>
      <c r="D1014" s="1270"/>
      <c r="E1014" s="1270"/>
      <c r="F1014" s="1251"/>
      <c r="G1014" s="1251"/>
      <c r="H1014" s="1251"/>
      <c r="I1014" s="1251"/>
      <c r="J1014" s="1251"/>
      <c r="K1014" s="1251"/>
    </row>
    <row r="1015">
      <c r="C1015" s="1270"/>
      <c r="D1015" s="1270"/>
      <c r="E1015" s="1270"/>
      <c r="F1015" s="1251"/>
      <c r="G1015" s="1251"/>
      <c r="H1015" s="1251"/>
      <c r="I1015" s="1251"/>
      <c r="J1015" s="1251"/>
      <c r="K1015" s="1251"/>
    </row>
    <row r="1016">
      <c r="C1016" s="1270"/>
      <c r="D1016" s="1270"/>
      <c r="E1016" s="1270"/>
      <c r="F1016" s="1251"/>
      <c r="G1016" s="1251"/>
      <c r="H1016" s="1251"/>
      <c r="I1016" s="1251"/>
      <c r="J1016" s="1251"/>
      <c r="K1016" s="1251"/>
    </row>
    <row r="1017">
      <c r="C1017" s="1270"/>
      <c r="D1017" s="1270"/>
      <c r="E1017" s="1270"/>
      <c r="F1017" s="1251"/>
      <c r="G1017" s="1251"/>
      <c r="H1017" s="1251"/>
      <c r="I1017" s="1251"/>
      <c r="J1017" s="1251"/>
      <c r="K1017" s="1251"/>
    </row>
    <row r="1018">
      <c r="C1018" s="1270"/>
      <c r="D1018" s="1270"/>
      <c r="E1018" s="1270"/>
      <c r="F1018" s="1251"/>
      <c r="G1018" s="1251"/>
      <c r="H1018" s="1251"/>
      <c r="I1018" s="1251"/>
      <c r="J1018" s="1251"/>
      <c r="K1018" s="1251"/>
    </row>
    <row r="1019">
      <c r="C1019" s="1270"/>
      <c r="D1019" s="1270"/>
      <c r="E1019" s="1270"/>
      <c r="F1019" s="1251"/>
      <c r="G1019" s="1251"/>
      <c r="H1019" s="1251"/>
      <c r="I1019" s="1251"/>
      <c r="J1019" s="1251"/>
      <c r="K1019" s="1251"/>
    </row>
    <row r="1020">
      <c r="C1020" s="1270"/>
      <c r="D1020" s="1270"/>
      <c r="E1020" s="1270"/>
      <c r="F1020" s="1251"/>
      <c r="G1020" s="1251"/>
      <c r="H1020" s="1251"/>
      <c r="I1020" s="1251"/>
      <c r="J1020" s="1251"/>
      <c r="K1020" s="1251"/>
    </row>
    <row r="1021">
      <c r="C1021" s="1270"/>
      <c r="D1021" s="1270"/>
      <c r="E1021" s="1270"/>
      <c r="F1021" s="1251"/>
      <c r="G1021" s="1251"/>
      <c r="H1021" s="1251"/>
      <c r="I1021" s="1251"/>
      <c r="J1021" s="1251"/>
      <c r="K1021" s="1251"/>
    </row>
    <row r="1022">
      <c r="C1022" s="1270"/>
      <c r="D1022" s="1270"/>
      <c r="E1022" s="1270"/>
      <c r="F1022" s="1251"/>
      <c r="G1022" s="1251"/>
      <c r="H1022" s="1251"/>
      <c r="I1022" s="1251"/>
      <c r="J1022" s="1251"/>
      <c r="K1022" s="1251"/>
    </row>
    <row r="1023">
      <c r="C1023" s="1270"/>
      <c r="D1023" s="1270"/>
      <c r="E1023" s="1270"/>
      <c r="F1023" s="1251"/>
      <c r="G1023" s="1251"/>
      <c r="H1023" s="1251"/>
      <c r="I1023" s="1251"/>
      <c r="J1023" s="1251"/>
      <c r="K1023" s="1251"/>
    </row>
    <row r="1024">
      <c r="C1024" s="1270"/>
      <c r="D1024" s="1270"/>
      <c r="E1024" s="1270"/>
      <c r="F1024" s="1251"/>
      <c r="G1024" s="1251"/>
      <c r="H1024" s="1251"/>
      <c r="I1024" s="1251"/>
      <c r="J1024" s="1251"/>
      <c r="K1024" s="1251"/>
    </row>
    <row r="1025">
      <c r="C1025" s="1270"/>
      <c r="D1025" s="1270"/>
      <c r="E1025" s="1270"/>
      <c r="F1025" s="1251"/>
      <c r="G1025" s="1251"/>
      <c r="H1025" s="1251"/>
      <c r="I1025" s="1251"/>
      <c r="J1025" s="1251"/>
      <c r="K1025" s="1251"/>
    </row>
    <row r="1026">
      <c r="C1026" s="1270"/>
      <c r="D1026" s="1270"/>
      <c r="E1026" s="1270"/>
      <c r="F1026" s="1251"/>
      <c r="G1026" s="1251"/>
      <c r="H1026" s="1251"/>
      <c r="I1026" s="1251"/>
      <c r="J1026" s="1251"/>
      <c r="K1026" s="1251"/>
    </row>
    <row r="1027">
      <c r="C1027" s="1270"/>
      <c r="D1027" s="1270"/>
      <c r="E1027" s="1270"/>
      <c r="F1027" s="1251"/>
      <c r="G1027" s="1251"/>
      <c r="H1027" s="1251"/>
      <c r="I1027" s="1251"/>
      <c r="J1027" s="1251"/>
      <c r="K1027" s="1251"/>
    </row>
  </sheetData>
  <autoFilter ref="$B$5:$Y$325"/>
  <mergeCells count="23">
    <mergeCell ref="J3:K3"/>
    <mergeCell ref="M3:Y3"/>
    <mergeCell ref="B3:C4"/>
    <mergeCell ref="D3:E4"/>
    <mergeCell ref="F3:F4"/>
    <mergeCell ref="G3:G4"/>
    <mergeCell ref="H3:H4"/>
    <mergeCell ref="I3:I4"/>
    <mergeCell ref="L3:L4"/>
    <mergeCell ref="AE328:AE329"/>
    <mergeCell ref="AF328:AF329"/>
    <mergeCell ref="AG328:AJ328"/>
    <mergeCell ref="AA331:AA336"/>
    <mergeCell ref="AA337:AA338"/>
    <mergeCell ref="AA339:AA342"/>
    <mergeCell ref="AA343:AC343"/>
    <mergeCell ref="B325:C325"/>
    <mergeCell ref="B326:C326"/>
    <mergeCell ref="B327:C327"/>
    <mergeCell ref="AA328:AA329"/>
    <mergeCell ref="AB328:AB329"/>
    <mergeCell ref="AC328:AC329"/>
    <mergeCell ref="AD328:AD329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6.0"/>
    <col customWidth="1" min="2" max="2" width="4.29"/>
    <col customWidth="1" min="3" max="3" width="46.14"/>
    <col customWidth="1" min="5" max="6" width="10.0"/>
    <col customWidth="1" min="10" max="10" width="12.29"/>
    <col customWidth="1" min="11" max="11" width="18.86"/>
    <col customWidth="1" min="12" max="12" width="10.0"/>
    <col customWidth="1" min="13" max="23" width="11.14"/>
    <col customWidth="1" min="24" max="24" width="12.29"/>
    <col customWidth="1" min="25" max="26" width="4.14"/>
    <col customWidth="1" min="27" max="28" width="5.71"/>
    <col customWidth="1" min="29" max="29" width="4.57"/>
    <col customWidth="1" min="30" max="32" width="5.71"/>
    <col customWidth="1" min="33" max="33" width="4.29"/>
    <col customWidth="1" min="34" max="34" width="4.14"/>
    <col customWidth="1" min="35" max="36" width="5.71"/>
    <col customWidth="1" min="37" max="37" width="4.57"/>
    <col customWidth="1" min="38" max="40" width="5.71"/>
    <col customWidth="1" min="41" max="41" width="4.29"/>
    <col customWidth="1" min="42" max="42" width="4.14"/>
    <col customWidth="1" min="43" max="44" width="5.71"/>
    <col customWidth="1" min="45" max="45" width="4.86"/>
    <col customWidth="1" min="46" max="48" width="5.71"/>
    <col customWidth="1" min="49" max="49" width="4.29"/>
    <col customWidth="1" min="50" max="50" width="4.14"/>
    <col customWidth="1" min="51" max="52" width="5.71"/>
    <col customWidth="1" min="53" max="53" width="4.86"/>
    <col customWidth="1" min="54" max="56" width="5.71"/>
    <col customWidth="1" min="57" max="57" width="4.29"/>
    <col customWidth="1" min="58" max="58" width="4.14"/>
    <col customWidth="1" min="59" max="60" width="5.71"/>
    <col customWidth="1" min="61" max="61" width="4.57"/>
    <col customWidth="1" min="62" max="64" width="5.71"/>
    <col customWidth="1" min="65" max="66" width="4.29"/>
    <col customWidth="1" min="67" max="68" width="5.71"/>
    <col customWidth="1" min="69" max="69" width="4.86"/>
    <col customWidth="1" min="70" max="72" width="5.71"/>
    <col customWidth="1" min="73" max="74" width="4.29"/>
    <col customWidth="1" min="75" max="76" width="5.71"/>
    <col customWidth="1" min="77" max="77" width="4.57"/>
    <col customWidth="1" min="78" max="80" width="5.71"/>
    <col customWidth="1" min="81" max="82" width="4.29"/>
    <col customWidth="1" min="83" max="84" width="5.71"/>
    <col customWidth="1" min="85" max="85" width="4.57"/>
    <col customWidth="1" min="86" max="88" width="5.71"/>
    <col customWidth="1" min="89" max="90" width="4.29"/>
    <col customWidth="1" min="91" max="92" width="5.71"/>
    <col customWidth="1" min="93" max="93" width="4.71"/>
    <col customWidth="1" min="94" max="95" width="5.71"/>
    <col customWidth="1" min="96" max="96" width="6.0"/>
    <col customWidth="1" min="97" max="98" width="4.29"/>
    <col customWidth="1" min="99" max="100" width="5.71"/>
    <col customWidth="1" min="101" max="101" width="4.86"/>
    <col customWidth="1" min="102" max="104" width="5.71"/>
    <col customWidth="1" min="105" max="106" width="4.29"/>
    <col customWidth="1" min="107" max="108" width="5.71"/>
    <col customWidth="1" min="109" max="109" width="4.57"/>
    <col customWidth="1" min="110" max="112" width="5.71"/>
    <col customWidth="1" min="113" max="114" width="4.29"/>
    <col customWidth="1" min="115" max="116" width="5.71"/>
    <col customWidth="1" min="117" max="117" width="4.57"/>
    <col customWidth="1" min="118" max="120" width="5.71"/>
    <col customWidth="1" min="121" max="121" width="4.29"/>
    <col customWidth="1" min="122" max="122" width="6.29"/>
  </cols>
  <sheetData>
    <row r="1">
      <c r="A1" s="1" t="s">
        <v>1877</v>
      </c>
      <c r="B1" s="2"/>
      <c r="C1" s="2"/>
    </row>
    <row r="2">
      <c r="A2" s="2"/>
      <c r="B2" s="2"/>
      <c r="C2" s="2"/>
    </row>
    <row r="3">
      <c r="A3" s="2"/>
      <c r="B3" s="2"/>
      <c r="C3" s="2"/>
    </row>
    <row r="4">
      <c r="A4" s="1364" t="s">
        <v>1</v>
      </c>
      <c r="B4" s="1364" t="s">
        <v>1878</v>
      </c>
      <c r="C4" s="1350"/>
      <c r="D4" s="1365"/>
      <c r="E4" s="1366"/>
      <c r="F4" s="1366"/>
      <c r="G4" s="1366"/>
      <c r="H4" s="1366"/>
      <c r="I4" s="1366"/>
      <c r="J4" s="1367" t="s">
        <v>160</v>
      </c>
      <c r="K4" s="138"/>
      <c r="L4" s="1368" t="s">
        <v>1735</v>
      </c>
      <c r="M4" s="1369"/>
      <c r="N4" s="1369"/>
      <c r="O4" s="1369"/>
      <c r="P4" s="1369"/>
      <c r="Q4" s="1369"/>
      <c r="R4" s="1369"/>
      <c r="S4" s="1369"/>
      <c r="T4" s="1369"/>
      <c r="U4" s="1369"/>
      <c r="V4" s="1369"/>
      <c r="W4" s="1369"/>
      <c r="X4" s="1370"/>
      <c r="Y4" s="1371"/>
      <c r="Z4" s="1372" t="s">
        <v>11</v>
      </c>
      <c r="AA4" s="1373"/>
      <c r="AB4" s="1373"/>
      <c r="AC4" s="1373"/>
      <c r="AD4" s="1373"/>
      <c r="AE4" s="1373"/>
      <c r="AF4" s="1373"/>
      <c r="AG4" s="138"/>
      <c r="AH4" s="1372" t="s">
        <v>12</v>
      </c>
      <c r="AI4" s="1373"/>
      <c r="AJ4" s="1373"/>
      <c r="AK4" s="1373"/>
      <c r="AL4" s="1373"/>
      <c r="AM4" s="1373"/>
      <c r="AN4" s="1373"/>
      <c r="AO4" s="138"/>
      <c r="AP4" s="1372" t="s">
        <v>13</v>
      </c>
      <c r="AQ4" s="1373"/>
      <c r="AR4" s="1373"/>
      <c r="AS4" s="1373"/>
      <c r="AT4" s="1373"/>
      <c r="AU4" s="1373"/>
      <c r="AV4" s="1373"/>
      <c r="AW4" s="138"/>
      <c r="AX4" s="1372" t="s">
        <v>14</v>
      </c>
      <c r="AY4" s="1373"/>
      <c r="AZ4" s="1373"/>
      <c r="BA4" s="1373"/>
      <c r="BB4" s="1373"/>
      <c r="BC4" s="1373"/>
      <c r="BD4" s="1373"/>
      <c r="BE4" s="138"/>
      <c r="BF4" s="1372" t="s">
        <v>15</v>
      </c>
      <c r="BG4" s="1373"/>
      <c r="BH4" s="1373"/>
      <c r="BI4" s="1373"/>
      <c r="BJ4" s="1373"/>
      <c r="BK4" s="1373"/>
      <c r="BL4" s="1373"/>
      <c r="BM4" s="138"/>
      <c r="BN4" s="1372" t="s">
        <v>16</v>
      </c>
      <c r="BO4" s="1373"/>
      <c r="BP4" s="1373"/>
      <c r="BQ4" s="1373"/>
      <c r="BR4" s="1373"/>
      <c r="BS4" s="1373"/>
      <c r="BT4" s="1373"/>
      <c r="BU4" s="138"/>
      <c r="BV4" s="1372" t="s">
        <v>17</v>
      </c>
      <c r="BW4" s="1373"/>
      <c r="BX4" s="1373"/>
      <c r="BY4" s="1373"/>
      <c r="BZ4" s="1373"/>
      <c r="CA4" s="1373"/>
      <c r="CB4" s="1373"/>
      <c r="CC4" s="138"/>
      <c r="CD4" s="1372" t="s">
        <v>18</v>
      </c>
      <c r="CE4" s="1373"/>
      <c r="CF4" s="1373"/>
      <c r="CG4" s="1373"/>
      <c r="CH4" s="1373"/>
      <c r="CI4" s="1373"/>
      <c r="CJ4" s="1373"/>
      <c r="CK4" s="138"/>
      <c r="CL4" s="1372" t="s">
        <v>19</v>
      </c>
      <c r="CM4" s="1373"/>
      <c r="CN4" s="1373"/>
      <c r="CO4" s="1373"/>
      <c r="CP4" s="1373"/>
      <c r="CQ4" s="1373"/>
      <c r="CR4" s="1373"/>
      <c r="CS4" s="138"/>
      <c r="CT4" s="1372" t="s">
        <v>20</v>
      </c>
      <c r="CU4" s="1373"/>
      <c r="CV4" s="1373"/>
      <c r="CW4" s="1373"/>
      <c r="CX4" s="1373"/>
      <c r="CY4" s="1373"/>
      <c r="CZ4" s="1373"/>
      <c r="DA4" s="138"/>
      <c r="DB4" s="1372" t="s">
        <v>21</v>
      </c>
      <c r="DC4" s="1373"/>
      <c r="DD4" s="1373"/>
      <c r="DE4" s="1373"/>
      <c r="DF4" s="1373"/>
      <c r="DG4" s="1373"/>
      <c r="DH4" s="1373"/>
      <c r="DI4" s="138"/>
      <c r="DJ4" s="1372" t="s">
        <v>22</v>
      </c>
      <c r="DK4" s="1373"/>
      <c r="DL4" s="1373"/>
      <c r="DM4" s="1373"/>
      <c r="DN4" s="1373"/>
      <c r="DO4" s="1373"/>
      <c r="DP4" s="1373"/>
      <c r="DQ4" s="138"/>
    </row>
    <row r="5">
      <c r="A5" s="1374"/>
      <c r="B5" s="1374"/>
      <c r="C5" s="157"/>
      <c r="D5" s="1375" t="s">
        <v>157</v>
      </c>
      <c r="E5" s="1366" t="s">
        <v>1734</v>
      </c>
      <c r="F5" s="1366" t="s">
        <v>1879</v>
      </c>
      <c r="G5" s="1366" t="s">
        <v>1733</v>
      </c>
      <c r="H5" s="1366" t="s">
        <v>81</v>
      </c>
      <c r="I5" s="1366" t="s">
        <v>158</v>
      </c>
      <c r="J5" s="155" t="s">
        <v>169</v>
      </c>
      <c r="K5" s="155" t="s">
        <v>170</v>
      </c>
      <c r="L5" s="155" t="s">
        <v>11</v>
      </c>
      <c r="M5" s="155" t="s">
        <v>12</v>
      </c>
      <c r="N5" s="155" t="s">
        <v>13</v>
      </c>
      <c r="O5" s="155" t="s">
        <v>14</v>
      </c>
      <c r="P5" s="155" t="s">
        <v>15</v>
      </c>
      <c r="Q5" s="155" t="s">
        <v>16</v>
      </c>
      <c r="R5" s="155" t="s">
        <v>17</v>
      </c>
      <c r="S5" s="155" t="s">
        <v>18</v>
      </c>
      <c r="T5" s="155" t="s">
        <v>19</v>
      </c>
      <c r="U5" s="155" t="s">
        <v>20</v>
      </c>
      <c r="V5" s="155" t="s">
        <v>21</v>
      </c>
      <c r="W5" s="155" t="s">
        <v>22</v>
      </c>
      <c r="X5" s="1376">
        <v>2025.0</v>
      </c>
      <c r="Y5" s="1377"/>
      <c r="Z5" s="1378" t="s">
        <v>1880</v>
      </c>
      <c r="AA5" s="1378" t="s">
        <v>1881</v>
      </c>
      <c r="AB5" s="1378" t="s">
        <v>1882</v>
      </c>
      <c r="AC5" s="1378" t="s">
        <v>1883</v>
      </c>
      <c r="AD5" s="1378" t="s">
        <v>1884</v>
      </c>
      <c r="AE5" s="1378" t="s">
        <v>1885</v>
      </c>
      <c r="AF5" s="1378" t="s">
        <v>1886</v>
      </c>
      <c r="AG5" s="1378" t="s">
        <v>1887</v>
      </c>
      <c r="AH5" s="1378" t="s">
        <v>1880</v>
      </c>
      <c r="AI5" s="1378" t="s">
        <v>1881</v>
      </c>
      <c r="AJ5" s="1378" t="s">
        <v>1882</v>
      </c>
      <c r="AK5" s="1378" t="s">
        <v>1883</v>
      </c>
      <c r="AL5" s="1378" t="s">
        <v>1884</v>
      </c>
      <c r="AM5" s="1378" t="s">
        <v>1885</v>
      </c>
      <c r="AN5" s="1378" t="s">
        <v>1886</v>
      </c>
      <c r="AO5" s="1378" t="s">
        <v>1887</v>
      </c>
      <c r="AP5" s="1378" t="s">
        <v>1880</v>
      </c>
      <c r="AQ5" s="1378" t="s">
        <v>1881</v>
      </c>
      <c r="AR5" s="1378" t="s">
        <v>1882</v>
      </c>
      <c r="AS5" s="1378" t="s">
        <v>1883</v>
      </c>
      <c r="AT5" s="1378" t="s">
        <v>1884</v>
      </c>
      <c r="AU5" s="1378" t="s">
        <v>1885</v>
      </c>
      <c r="AV5" s="1378" t="s">
        <v>1886</v>
      </c>
      <c r="AW5" s="1378" t="s">
        <v>1887</v>
      </c>
      <c r="AX5" s="1378" t="s">
        <v>1880</v>
      </c>
      <c r="AY5" s="1378" t="s">
        <v>1881</v>
      </c>
      <c r="AZ5" s="1378" t="s">
        <v>1882</v>
      </c>
      <c r="BA5" s="1378" t="s">
        <v>1883</v>
      </c>
      <c r="BB5" s="1378" t="s">
        <v>1884</v>
      </c>
      <c r="BC5" s="1378" t="s">
        <v>1885</v>
      </c>
      <c r="BD5" s="1378" t="s">
        <v>1886</v>
      </c>
      <c r="BE5" s="1378" t="s">
        <v>1887</v>
      </c>
      <c r="BF5" s="1378" t="s">
        <v>1880</v>
      </c>
      <c r="BG5" s="1378" t="s">
        <v>1881</v>
      </c>
      <c r="BH5" s="1378" t="s">
        <v>1882</v>
      </c>
      <c r="BI5" s="1378" t="s">
        <v>1883</v>
      </c>
      <c r="BJ5" s="1378" t="s">
        <v>1884</v>
      </c>
      <c r="BK5" s="1378" t="s">
        <v>1885</v>
      </c>
      <c r="BL5" s="1378" t="s">
        <v>1886</v>
      </c>
      <c r="BM5" s="1378" t="s">
        <v>1887</v>
      </c>
      <c r="BN5" s="1378" t="s">
        <v>1880</v>
      </c>
      <c r="BO5" s="1378" t="s">
        <v>1881</v>
      </c>
      <c r="BP5" s="1378" t="s">
        <v>1882</v>
      </c>
      <c r="BQ5" s="1378" t="s">
        <v>1883</v>
      </c>
      <c r="BR5" s="1378" t="s">
        <v>1884</v>
      </c>
      <c r="BS5" s="1378" t="s">
        <v>1885</v>
      </c>
      <c r="BT5" s="1378" t="s">
        <v>1886</v>
      </c>
      <c r="BU5" s="1378" t="s">
        <v>1887</v>
      </c>
      <c r="BV5" s="1378" t="s">
        <v>1880</v>
      </c>
      <c r="BW5" s="1378" t="s">
        <v>1881</v>
      </c>
      <c r="BX5" s="1378" t="s">
        <v>1882</v>
      </c>
      <c r="BY5" s="1378" t="s">
        <v>1883</v>
      </c>
      <c r="BZ5" s="1378" t="s">
        <v>1884</v>
      </c>
      <c r="CA5" s="1378" t="s">
        <v>1885</v>
      </c>
      <c r="CB5" s="1378" t="s">
        <v>1886</v>
      </c>
      <c r="CC5" s="1378" t="s">
        <v>1887</v>
      </c>
      <c r="CD5" s="1378" t="s">
        <v>1880</v>
      </c>
      <c r="CE5" s="1378" t="s">
        <v>1881</v>
      </c>
      <c r="CF5" s="1378" t="s">
        <v>1882</v>
      </c>
      <c r="CG5" s="1378" t="s">
        <v>1883</v>
      </c>
      <c r="CH5" s="1378" t="s">
        <v>1884</v>
      </c>
      <c r="CI5" s="1378" t="s">
        <v>1885</v>
      </c>
      <c r="CJ5" s="1378" t="s">
        <v>1886</v>
      </c>
      <c r="CK5" s="1378" t="s">
        <v>1887</v>
      </c>
      <c r="CL5" s="1378" t="s">
        <v>1880</v>
      </c>
      <c r="CM5" s="1378" t="s">
        <v>1881</v>
      </c>
      <c r="CN5" s="1378" t="s">
        <v>1882</v>
      </c>
      <c r="CO5" s="1378" t="s">
        <v>1883</v>
      </c>
      <c r="CP5" s="1378" t="s">
        <v>1884</v>
      </c>
      <c r="CQ5" s="1378" t="s">
        <v>1885</v>
      </c>
      <c r="CR5" s="1378" t="s">
        <v>1886</v>
      </c>
      <c r="CS5" s="1378" t="s">
        <v>1887</v>
      </c>
      <c r="CT5" s="1378" t="s">
        <v>1880</v>
      </c>
      <c r="CU5" s="1378" t="s">
        <v>1881</v>
      </c>
      <c r="CV5" s="1378" t="s">
        <v>1882</v>
      </c>
      <c r="CW5" s="1378" t="s">
        <v>1883</v>
      </c>
      <c r="CX5" s="1378" t="s">
        <v>1884</v>
      </c>
      <c r="CY5" s="1378" t="s">
        <v>1885</v>
      </c>
      <c r="CZ5" s="1378" t="s">
        <v>1886</v>
      </c>
      <c r="DA5" s="1378" t="s">
        <v>1887</v>
      </c>
      <c r="DB5" s="1378" t="s">
        <v>1880</v>
      </c>
      <c r="DC5" s="1378" t="s">
        <v>1881</v>
      </c>
      <c r="DD5" s="1378" t="s">
        <v>1882</v>
      </c>
      <c r="DE5" s="1378" t="s">
        <v>1883</v>
      </c>
      <c r="DF5" s="1378" t="s">
        <v>1884</v>
      </c>
      <c r="DG5" s="1378" t="s">
        <v>1885</v>
      </c>
      <c r="DH5" s="1378" t="s">
        <v>1886</v>
      </c>
      <c r="DI5" s="1378" t="s">
        <v>1887</v>
      </c>
      <c r="DJ5" s="1378" t="s">
        <v>1880</v>
      </c>
      <c r="DK5" s="1378" t="s">
        <v>1881</v>
      </c>
      <c r="DL5" s="1378" t="s">
        <v>1882</v>
      </c>
      <c r="DM5" s="1378" t="s">
        <v>1883</v>
      </c>
      <c r="DN5" s="1378" t="s">
        <v>1884</v>
      </c>
      <c r="DO5" s="1378" t="s">
        <v>1885</v>
      </c>
      <c r="DP5" s="1378" t="s">
        <v>1886</v>
      </c>
      <c r="DQ5" s="1378" t="s">
        <v>1887</v>
      </c>
      <c r="DR5" s="1379"/>
    </row>
    <row r="6">
      <c r="A6" s="1380"/>
      <c r="B6" s="1381"/>
      <c r="C6" s="1077"/>
    </row>
    <row r="7">
      <c r="A7" s="1382" t="s">
        <v>27</v>
      </c>
      <c r="B7" s="1383" t="s">
        <v>28</v>
      </c>
      <c r="C7" s="26" t="s">
        <v>28</v>
      </c>
      <c r="L7" s="46">
        <f t="shared" ref="L7:X7" si="1">L8+L14+L31+L44+L51+L54+L58+L61+L64+L67</f>
        <v>13842493451</v>
      </c>
      <c r="M7" s="46">
        <f t="shared" si="1"/>
        <v>13842493451</v>
      </c>
      <c r="N7" s="46">
        <f t="shared" si="1"/>
        <v>13842493451</v>
      </c>
      <c r="O7" s="46">
        <f t="shared" si="1"/>
        <v>13842493451</v>
      </c>
      <c r="P7" s="46">
        <f t="shared" si="1"/>
        <v>13842493451</v>
      </c>
      <c r="Q7" s="46">
        <f t="shared" si="1"/>
        <v>13842493451</v>
      </c>
      <c r="R7" s="46">
        <f t="shared" si="1"/>
        <v>13842493451</v>
      </c>
      <c r="S7" s="46">
        <f t="shared" si="1"/>
        <v>13842493451</v>
      </c>
      <c r="T7" s="46">
        <f t="shared" si="1"/>
        <v>13842493451</v>
      </c>
      <c r="U7" s="46">
        <f t="shared" si="1"/>
        <v>13842493451</v>
      </c>
      <c r="V7" s="46">
        <f t="shared" si="1"/>
        <v>13842493451</v>
      </c>
      <c r="W7" s="46">
        <f t="shared" si="1"/>
        <v>13842493451</v>
      </c>
      <c r="X7" s="46">
        <f t="shared" si="1"/>
        <v>166109921408</v>
      </c>
    </row>
    <row r="8" hidden="1">
      <c r="A8" s="1384">
        <v>1.0</v>
      </c>
      <c r="B8" s="1385" t="s">
        <v>29</v>
      </c>
      <c r="C8" s="1077"/>
      <c r="D8" s="86"/>
      <c r="E8" s="86"/>
      <c r="F8" s="86"/>
      <c r="G8" s="86"/>
      <c r="H8" s="86"/>
      <c r="I8" s="86"/>
      <c r="J8" s="86"/>
      <c r="K8" s="86"/>
      <c r="L8" s="1386">
        <f t="shared" ref="L8:X8" si="2">L9+L10+L11+L12+L13</f>
        <v>273856973.4</v>
      </c>
      <c r="M8" s="1386">
        <f t="shared" si="2"/>
        <v>273856973.4</v>
      </c>
      <c r="N8" s="1386">
        <f t="shared" si="2"/>
        <v>273856973.4</v>
      </c>
      <c r="O8" s="1386">
        <f t="shared" si="2"/>
        <v>273856973.4</v>
      </c>
      <c r="P8" s="1386">
        <f t="shared" si="2"/>
        <v>273856973.4</v>
      </c>
      <c r="Q8" s="1386">
        <f t="shared" si="2"/>
        <v>273856973.4</v>
      </c>
      <c r="R8" s="1386">
        <f t="shared" si="2"/>
        <v>273856973.4</v>
      </c>
      <c r="S8" s="1386">
        <f t="shared" si="2"/>
        <v>273856973.4</v>
      </c>
      <c r="T8" s="1386">
        <f t="shared" si="2"/>
        <v>273856973.4</v>
      </c>
      <c r="U8" s="1386">
        <f t="shared" si="2"/>
        <v>273856973.4</v>
      </c>
      <c r="V8" s="1386">
        <f t="shared" si="2"/>
        <v>273856973.4</v>
      </c>
      <c r="W8" s="1386">
        <f t="shared" si="2"/>
        <v>273856973.4</v>
      </c>
      <c r="X8" s="1386">
        <f t="shared" si="2"/>
        <v>3286283680</v>
      </c>
    </row>
    <row r="9" hidden="1">
      <c r="A9" s="1387"/>
      <c r="B9" s="1388">
        <v>1.0</v>
      </c>
      <c r="C9" s="1389" t="s">
        <v>185</v>
      </c>
      <c r="D9" s="185" t="s">
        <v>186</v>
      </c>
      <c r="E9" s="185" t="s">
        <v>189</v>
      </c>
      <c r="F9" s="185" t="s">
        <v>1888</v>
      </c>
      <c r="G9" s="185" t="s">
        <v>86</v>
      </c>
      <c r="H9" s="185" t="s">
        <v>86</v>
      </c>
      <c r="I9" s="185" t="s">
        <v>103</v>
      </c>
      <c r="J9" s="185" t="s">
        <v>1889</v>
      </c>
      <c r="K9" s="185" t="s">
        <v>188</v>
      </c>
      <c r="L9" s="1390">
        <v>1.04692192192192E8</v>
      </c>
      <c r="M9" s="1390">
        <v>1.04692192192192E8</v>
      </c>
      <c r="N9" s="1390">
        <v>1.04692192192192E8</v>
      </c>
      <c r="O9" s="1390">
        <v>1.04692192192192E8</v>
      </c>
      <c r="P9" s="1390">
        <v>1.04692192192192E8</v>
      </c>
      <c r="Q9" s="1390">
        <v>1.04692192192192E8</v>
      </c>
      <c r="R9" s="1390">
        <v>1.04692192192192E8</v>
      </c>
      <c r="S9" s="1390">
        <v>1.04692192192192E8</v>
      </c>
      <c r="T9" s="1390">
        <v>1.04692192192192E8</v>
      </c>
      <c r="U9" s="1390">
        <v>1.04692192192192E8</v>
      </c>
      <c r="V9" s="1390">
        <v>1.04692192192192E8</v>
      </c>
      <c r="W9" s="1390">
        <v>1.04692192192192E8</v>
      </c>
      <c r="X9" s="1391">
        <v>1.256306306306304E9</v>
      </c>
      <c r="Y9" s="1392">
        <f t="shared" ref="Y9:Y238" si="3">SUM(L9:W9)-X9</f>
        <v>0</v>
      </c>
      <c r="Z9" s="1393">
        <v>1.2938023223563824E7</v>
      </c>
      <c r="AA9" s="1393">
        <v>0.0</v>
      </c>
      <c r="AB9" s="1393">
        <v>0.0</v>
      </c>
      <c r="AC9" s="1393">
        <v>7.209092218163604E7</v>
      </c>
      <c r="AD9" s="1393">
        <v>0.0</v>
      </c>
      <c r="AE9" s="1393">
        <v>0.0</v>
      </c>
      <c r="AF9" s="1393">
        <v>0.0</v>
      </c>
      <c r="AG9" s="1393">
        <v>4202349.569288404</v>
      </c>
      <c r="AH9" s="1393">
        <v>1.3198442505952498E7</v>
      </c>
      <c r="AI9" s="1393">
        <v>0.0</v>
      </c>
      <c r="AJ9" s="1393">
        <v>0.0</v>
      </c>
      <c r="AK9" s="1393">
        <v>7.33555511060334E7</v>
      </c>
      <c r="AL9" s="1393">
        <v>0.0</v>
      </c>
      <c r="AM9" s="1393">
        <v>0.0</v>
      </c>
      <c r="AN9" s="1393">
        <v>0.0</v>
      </c>
      <c r="AO9" s="1393">
        <v>4286935.354942838</v>
      </c>
      <c r="AP9" s="1393">
        <v>1.4503507197228452E7</v>
      </c>
      <c r="AQ9" s="1393">
        <v>0.0</v>
      </c>
      <c r="AR9" s="1393">
        <v>0.0</v>
      </c>
      <c r="AS9" s="1393">
        <v>8.04803638454031E7</v>
      </c>
      <c r="AT9" s="1393">
        <v>0.0</v>
      </c>
      <c r="AU9" s="1393">
        <v>0.0</v>
      </c>
      <c r="AV9" s="1393">
        <v>0.0</v>
      </c>
      <c r="AW9" s="1393">
        <v>4710828.398610317</v>
      </c>
      <c r="AX9" s="1393">
        <v>1.3478751190775968E7</v>
      </c>
      <c r="AY9" s="1393">
        <v>0.0</v>
      </c>
      <c r="AZ9" s="1393">
        <v>0.0</v>
      </c>
      <c r="BA9" s="1393">
        <v>7.484294191231263E7</v>
      </c>
      <c r="BB9" s="1393">
        <v>0.0</v>
      </c>
      <c r="BC9" s="1393">
        <v>0.0</v>
      </c>
      <c r="BD9" s="1393">
        <v>0.0</v>
      </c>
      <c r="BE9" s="1393">
        <v>4377981.340916206</v>
      </c>
      <c r="BF9" s="1393">
        <v>1.3335573509664636E7</v>
      </c>
      <c r="BG9" s="1393">
        <v>0.0</v>
      </c>
      <c r="BH9" s="1393">
        <v>0.0</v>
      </c>
      <c r="BI9" s="1393">
        <v>7.405493073445742E7</v>
      </c>
      <c r="BJ9" s="1393">
        <v>0.0</v>
      </c>
      <c r="BK9" s="1393">
        <v>0.0</v>
      </c>
      <c r="BL9" s="1393">
        <v>0.0</v>
      </c>
      <c r="BM9" s="1393">
        <v>4331476.348912939</v>
      </c>
      <c r="BN9" s="1393">
        <v>1.3535324412396107E7</v>
      </c>
      <c r="BO9" s="1393">
        <v>0.0</v>
      </c>
      <c r="BP9" s="1393">
        <v>0.0</v>
      </c>
      <c r="BQ9" s="1393">
        <v>7.514871783325423E7</v>
      </c>
      <c r="BR9" s="1393">
        <v>0.0</v>
      </c>
      <c r="BS9" s="1393">
        <v>0.0</v>
      </c>
      <c r="BT9" s="1393">
        <v>0.0</v>
      </c>
      <c r="BU9" s="1393">
        <v>4396356.671474869</v>
      </c>
      <c r="BV9" s="1393">
        <v>1.4157608293980531E7</v>
      </c>
      <c r="BW9" s="1393">
        <v>0.0</v>
      </c>
      <c r="BX9" s="1393">
        <v>0.0</v>
      </c>
      <c r="BY9" s="1393">
        <v>7.856882822538961E7</v>
      </c>
      <c r="BZ9" s="1393">
        <v>0.0</v>
      </c>
      <c r="CA9" s="1393">
        <v>0.0</v>
      </c>
      <c r="CB9" s="1393">
        <v>0.0</v>
      </c>
      <c r="CC9" s="1393">
        <v>4598478.306021688</v>
      </c>
      <c r="CD9" s="1393">
        <v>1.424533300013148E7</v>
      </c>
      <c r="CE9" s="1393">
        <v>0.0</v>
      </c>
      <c r="CF9" s="1393">
        <v>0.0</v>
      </c>
      <c r="CG9" s="1393">
        <v>7.90508194314993E7</v>
      </c>
      <c r="CH9" s="1393">
        <v>0.0</v>
      </c>
      <c r="CI9" s="1393">
        <v>0.0</v>
      </c>
      <c r="CJ9" s="1393">
        <v>0.0</v>
      </c>
      <c r="CK9" s="1393">
        <v>4626971.8304758705</v>
      </c>
      <c r="CL9" s="1393">
        <v>1.3780437804412195E7</v>
      </c>
      <c r="CM9" s="1393">
        <v>0.0</v>
      </c>
      <c r="CN9" s="1393">
        <v>0.0</v>
      </c>
      <c r="CO9" s="1393">
        <v>7.649080484508885E7</v>
      </c>
      <c r="CP9" s="1393">
        <v>0.0</v>
      </c>
      <c r="CQ9" s="1393">
        <v>0.0</v>
      </c>
      <c r="CR9" s="1393">
        <v>0.0</v>
      </c>
      <c r="CS9" s="1393">
        <v>4475971.009737117</v>
      </c>
      <c r="CT9" s="1393">
        <v>1.3749805133092122E7</v>
      </c>
      <c r="CU9" s="1393">
        <v>0.0</v>
      </c>
      <c r="CV9" s="1393">
        <v>0.0</v>
      </c>
      <c r="CW9" s="1393">
        <v>7.632244391297577E7</v>
      </c>
      <c r="CX9" s="1393">
        <v>0.0</v>
      </c>
      <c r="CY9" s="1393">
        <v>0.0</v>
      </c>
      <c r="CZ9" s="1393">
        <v>0.0</v>
      </c>
      <c r="DA9" s="1393">
        <v>4466021.32956545</v>
      </c>
      <c r="DB9" s="1393">
        <v>1.3524279009293623E7</v>
      </c>
      <c r="DC9" s="1393">
        <v>0.0</v>
      </c>
      <c r="DD9" s="1393">
        <v>0.0</v>
      </c>
      <c r="DE9" s="1393">
        <v>7.508261068881792E7</v>
      </c>
      <c r="DF9" s="1393">
        <v>0.0</v>
      </c>
      <c r="DG9" s="1393">
        <v>0.0</v>
      </c>
      <c r="DH9" s="1393">
        <v>0.0</v>
      </c>
      <c r="DI9" s="1393">
        <v>4392769.056568922</v>
      </c>
      <c r="DJ9" s="1393">
        <v>1.3735900660549227E7</v>
      </c>
      <c r="DK9" s="1393">
        <v>0.0</v>
      </c>
      <c r="DL9" s="1393">
        <v>0.0</v>
      </c>
      <c r="DM9" s="1393">
        <v>7.624570933236974E7</v>
      </c>
      <c r="DN9" s="1393">
        <v>0.0</v>
      </c>
      <c r="DO9" s="1393">
        <v>0.0</v>
      </c>
      <c r="DP9" s="1393">
        <v>0.0</v>
      </c>
      <c r="DQ9" s="1393">
        <v>4461505.071309288</v>
      </c>
      <c r="DR9" s="1379">
        <f t="shared" ref="DR9:DR13" si="4">SUM(Z9:DQ9)</f>
        <v>1129245274</v>
      </c>
    </row>
    <row r="10" hidden="1">
      <c r="A10" s="1387"/>
      <c r="B10" s="1394">
        <f t="shared" ref="B10:B13" si="5">B9+1</f>
        <v>2</v>
      </c>
      <c r="C10" s="1389" t="s">
        <v>196</v>
      </c>
      <c r="D10" s="185" t="s">
        <v>186</v>
      </c>
      <c r="E10" s="185" t="s">
        <v>189</v>
      </c>
      <c r="F10" s="185" t="s">
        <v>1888</v>
      </c>
      <c r="G10" s="185" t="s">
        <v>86</v>
      </c>
      <c r="H10" s="185" t="s">
        <v>86</v>
      </c>
      <c r="I10" s="185" t="s">
        <v>103</v>
      </c>
      <c r="J10" s="185" t="s">
        <v>1889</v>
      </c>
      <c r="K10" s="185" t="s">
        <v>188</v>
      </c>
      <c r="L10" s="1390">
        <v>1.46771771771772E7</v>
      </c>
      <c r="M10" s="1390">
        <v>1.46771771771772E7</v>
      </c>
      <c r="N10" s="1390">
        <v>1.46771771771772E7</v>
      </c>
      <c r="O10" s="1390">
        <v>1.46771771771772E7</v>
      </c>
      <c r="P10" s="1390">
        <v>1.46771771771772E7</v>
      </c>
      <c r="Q10" s="1390">
        <v>1.46771771771772E7</v>
      </c>
      <c r="R10" s="1390">
        <v>1.46771771771772E7</v>
      </c>
      <c r="S10" s="1390">
        <v>1.46771771771772E7</v>
      </c>
      <c r="T10" s="1390">
        <v>1.46771771771772E7</v>
      </c>
      <c r="U10" s="1390">
        <v>1.46771771771772E7</v>
      </c>
      <c r="V10" s="1390">
        <v>1.46771771771772E7</v>
      </c>
      <c r="W10" s="1390">
        <v>1.46771771771772E7</v>
      </c>
      <c r="X10" s="1391">
        <v>1.761261261261264E8</v>
      </c>
      <c r="Y10" s="1392">
        <f t="shared" si="3"/>
        <v>0</v>
      </c>
      <c r="Z10" s="1393">
        <v>1813828.2826867956</v>
      </c>
      <c r="AA10" s="1393">
        <v>0.0</v>
      </c>
      <c r="AB10" s="1393">
        <v>0.0</v>
      </c>
      <c r="AC10" s="1393">
        <v>1.0106687190039363E7</v>
      </c>
      <c r="AD10" s="1393">
        <v>0.0</v>
      </c>
      <c r="AE10" s="1393">
        <v>0.0</v>
      </c>
      <c r="AF10" s="1393">
        <v>0.0</v>
      </c>
      <c r="AG10" s="1393">
        <v>589142.5893122164</v>
      </c>
      <c r="AH10" s="1393">
        <v>1850337.4040256166</v>
      </c>
      <c r="AI10" s="1393">
        <v>0.0</v>
      </c>
      <c r="AJ10" s="1393">
        <v>0.0</v>
      </c>
      <c r="AK10" s="1393">
        <v>1.0283980094105111E7</v>
      </c>
      <c r="AL10" s="1393">
        <v>0.0</v>
      </c>
      <c r="AM10" s="1393">
        <v>0.0</v>
      </c>
      <c r="AN10" s="1393">
        <v>0.0</v>
      </c>
      <c r="AO10" s="1393">
        <v>601000.9766162263</v>
      </c>
      <c r="AP10" s="1393">
        <v>2033299.1445379504</v>
      </c>
      <c r="AQ10" s="1393">
        <v>0.0</v>
      </c>
      <c r="AR10" s="1393">
        <v>0.0</v>
      </c>
      <c r="AS10" s="1393">
        <v>1.128283336807197E7</v>
      </c>
      <c r="AT10" s="1393">
        <v>0.0</v>
      </c>
      <c r="AU10" s="1393">
        <v>0.0</v>
      </c>
      <c r="AV10" s="1393">
        <v>0.0</v>
      </c>
      <c r="AW10" s="1393">
        <v>660428.075961506</v>
      </c>
      <c r="AX10" s="1393">
        <v>1889634.8926473365</v>
      </c>
      <c r="AY10" s="1393">
        <v>0.0</v>
      </c>
      <c r="AZ10" s="1393">
        <v>0.0</v>
      </c>
      <c r="BA10" s="1393">
        <v>1.0492502792296283E7</v>
      </c>
      <c r="BB10" s="1393">
        <v>0.0</v>
      </c>
      <c r="BC10" s="1393">
        <v>0.0</v>
      </c>
      <c r="BD10" s="1393">
        <v>0.0</v>
      </c>
      <c r="BE10" s="1393">
        <v>613765.0427745581</v>
      </c>
      <c r="BF10" s="1393">
        <v>1869562.2955463931</v>
      </c>
      <c r="BG10" s="1393">
        <v>0.0</v>
      </c>
      <c r="BH10" s="1393">
        <v>0.0</v>
      </c>
      <c r="BI10" s="1393">
        <v>1.038202865441841E7</v>
      </c>
      <c r="BJ10" s="1393">
        <v>0.0</v>
      </c>
      <c r="BK10" s="1393">
        <v>0.0</v>
      </c>
      <c r="BL10" s="1393">
        <v>0.0</v>
      </c>
      <c r="BM10" s="1393">
        <v>607245.3397005969</v>
      </c>
      <c r="BN10" s="1393">
        <v>1897566.0972559685</v>
      </c>
      <c r="BO10" s="1393">
        <v>0.0</v>
      </c>
      <c r="BP10" s="1393">
        <v>0.0</v>
      </c>
      <c r="BQ10" s="1393">
        <v>1.0535370624884369E7</v>
      </c>
      <c r="BR10" s="1393">
        <v>0.0</v>
      </c>
      <c r="BS10" s="1393">
        <v>0.0</v>
      </c>
      <c r="BT10" s="1393">
        <v>0.0</v>
      </c>
      <c r="BU10" s="1393">
        <v>616341.1468435567</v>
      </c>
      <c r="BV10" s="1393">
        <v>1984806.3259040539</v>
      </c>
      <c r="BW10" s="1393">
        <v>0.0</v>
      </c>
      <c r="BX10" s="1393">
        <v>0.0</v>
      </c>
      <c r="BY10" s="1393">
        <v>1.1014848273979004E7</v>
      </c>
      <c r="BZ10" s="1393">
        <v>0.0</v>
      </c>
      <c r="CA10" s="1393">
        <v>0.0</v>
      </c>
      <c r="CB10" s="1393">
        <v>0.0</v>
      </c>
      <c r="CC10" s="1393">
        <v>644677.3100231215</v>
      </c>
      <c r="CD10" s="1393">
        <v>1997104.7698284073</v>
      </c>
      <c r="CE10" s="1393">
        <v>0.0</v>
      </c>
      <c r="CF10" s="1393">
        <v>0.0</v>
      </c>
      <c r="CG10" s="1393">
        <v>1.108242036490367E7</v>
      </c>
      <c r="CH10" s="1393">
        <v>0.0</v>
      </c>
      <c r="CI10" s="1393">
        <v>0.0</v>
      </c>
      <c r="CJ10" s="1393">
        <v>0.0</v>
      </c>
      <c r="CK10" s="1393">
        <v>648671.9202997747</v>
      </c>
      <c r="CL10" s="1393">
        <v>1931929.430450049</v>
      </c>
      <c r="CM10" s="1393">
        <v>0.0</v>
      </c>
      <c r="CN10" s="1393">
        <v>0.0</v>
      </c>
      <c r="CO10" s="1393">
        <v>1.0723522658454586E7</v>
      </c>
      <c r="CP10" s="1393">
        <v>0.0</v>
      </c>
      <c r="CQ10" s="1393">
        <v>0.0</v>
      </c>
      <c r="CR10" s="1393">
        <v>0.0</v>
      </c>
      <c r="CS10" s="1393">
        <v>627502.5689520326</v>
      </c>
      <c r="CT10" s="1393">
        <v>1927634.9254352949</v>
      </c>
      <c r="CU10" s="1393">
        <v>0.0</v>
      </c>
      <c r="CV10" s="1393">
        <v>0.0</v>
      </c>
      <c r="CW10" s="1393">
        <v>1.0699919530288143E7</v>
      </c>
      <c r="CX10" s="1393">
        <v>0.0</v>
      </c>
      <c r="CY10" s="1393">
        <v>0.0</v>
      </c>
      <c r="CZ10" s="1393">
        <v>0.0</v>
      </c>
      <c r="DA10" s="1393">
        <v>626107.6872929712</v>
      </c>
      <c r="DB10" s="1393">
        <v>1896017.6022351468</v>
      </c>
      <c r="DC10" s="1393">
        <v>0.0</v>
      </c>
      <c r="DD10" s="1393">
        <v>0.0</v>
      </c>
      <c r="DE10" s="1393">
        <v>1.0526102825144462E7</v>
      </c>
      <c r="DF10" s="1393">
        <v>0.0</v>
      </c>
      <c r="DG10" s="1393">
        <v>0.0</v>
      </c>
      <c r="DH10" s="1393">
        <v>0.0</v>
      </c>
      <c r="DI10" s="1393">
        <v>615838.1861306756</v>
      </c>
      <c r="DJ10" s="1393">
        <v>1925685.6071261258</v>
      </c>
      <c r="DK10" s="1393">
        <v>0.0</v>
      </c>
      <c r="DL10" s="1393">
        <v>0.0</v>
      </c>
      <c r="DM10" s="1393">
        <v>1.0689161831823833E7</v>
      </c>
      <c r="DN10" s="1393">
        <v>0.0</v>
      </c>
      <c r="DO10" s="1393">
        <v>0.0</v>
      </c>
      <c r="DP10" s="1393">
        <v>0.0</v>
      </c>
      <c r="DQ10" s="1393">
        <v>625474.5367091923</v>
      </c>
      <c r="DR10" s="1379">
        <f t="shared" si="4"/>
        <v>158312980.4</v>
      </c>
    </row>
    <row r="11" hidden="1">
      <c r="A11" s="1387"/>
      <c r="B11" s="1394">
        <f t="shared" si="5"/>
        <v>3</v>
      </c>
      <c r="C11" s="1389" t="s">
        <v>211</v>
      </c>
      <c r="D11" s="185" t="s">
        <v>186</v>
      </c>
      <c r="E11" s="185" t="s">
        <v>189</v>
      </c>
      <c r="F11" s="185" t="s">
        <v>1888</v>
      </c>
      <c r="G11" s="185" t="s">
        <v>203</v>
      </c>
      <c r="H11" s="185" t="s">
        <v>135</v>
      </c>
      <c r="I11" s="185" t="s">
        <v>135</v>
      </c>
      <c r="J11" s="185" t="s">
        <v>1889</v>
      </c>
      <c r="K11" s="185" t="s">
        <v>188</v>
      </c>
      <c r="L11" s="1390">
        <v>1.9384865E7</v>
      </c>
      <c r="M11" s="1390">
        <v>1.9384865E7</v>
      </c>
      <c r="N11" s="1390">
        <v>1.9384865E7</v>
      </c>
      <c r="O11" s="1390">
        <v>1.9384865E7</v>
      </c>
      <c r="P11" s="1390">
        <v>1.9384865E7</v>
      </c>
      <c r="Q11" s="1390">
        <v>1.9384865E7</v>
      </c>
      <c r="R11" s="1390">
        <v>1.9384865E7</v>
      </c>
      <c r="S11" s="1390">
        <v>1.9384865E7</v>
      </c>
      <c r="T11" s="1390">
        <v>1.9384865E7</v>
      </c>
      <c r="U11" s="1390">
        <v>1.9384865E7</v>
      </c>
      <c r="V11" s="1390">
        <v>1.9384865E7</v>
      </c>
      <c r="W11" s="1390">
        <v>1.9384865E7</v>
      </c>
      <c r="X11" s="1391">
        <v>2.3261838E8</v>
      </c>
      <c r="Y11" s="1392">
        <f t="shared" si="3"/>
        <v>0</v>
      </c>
      <c r="Z11" s="1393">
        <v>329700.0984582931</v>
      </c>
      <c r="AA11" s="1393">
        <v>0.0</v>
      </c>
      <c r="AB11" s="1393">
        <v>0.0</v>
      </c>
      <c r="AC11" s="1393">
        <v>1.4103822319234122E7</v>
      </c>
      <c r="AD11" s="1393">
        <v>0.0</v>
      </c>
      <c r="AE11" s="1393">
        <v>0.0</v>
      </c>
      <c r="AF11" s="1393">
        <v>0.0</v>
      </c>
      <c r="AG11" s="1393">
        <v>1456400.044934494</v>
      </c>
      <c r="AH11" s="1393">
        <v>325793.4155066383</v>
      </c>
      <c r="AI11" s="1393">
        <v>0.0</v>
      </c>
      <c r="AJ11" s="1393">
        <v>0.0</v>
      </c>
      <c r="AK11" s="1393">
        <v>1.3933761299940834E7</v>
      </c>
      <c r="AL11" s="1393">
        <v>0.0</v>
      </c>
      <c r="AM11" s="1393">
        <v>0.0</v>
      </c>
      <c r="AN11" s="1393">
        <v>0.0</v>
      </c>
      <c r="AO11" s="1393">
        <v>1439142.8671145886</v>
      </c>
      <c r="AP11" s="1393">
        <v>408819.294617513</v>
      </c>
      <c r="AQ11" s="1393">
        <v>0.0</v>
      </c>
      <c r="AR11" s="1393">
        <v>0.0</v>
      </c>
      <c r="AS11" s="1393">
        <v>1.7461840950229295E7</v>
      </c>
      <c r="AT11" s="1393">
        <v>0.0</v>
      </c>
      <c r="AU11" s="1393">
        <v>0.0</v>
      </c>
      <c r="AV11" s="1393">
        <v>0.0</v>
      </c>
      <c r="AW11" s="1393">
        <v>1805897.061709104</v>
      </c>
      <c r="AX11" s="1393">
        <v>340021.55146839895</v>
      </c>
      <c r="AY11" s="1393">
        <v>0.0</v>
      </c>
      <c r="AZ11" s="1393">
        <v>0.0</v>
      </c>
      <c r="BA11" s="1393">
        <v>1.4538326408732727E7</v>
      </c>
      <c r="BB11" s="1393">
        <v>0.0</v>
      </c>
      <c r="BC11" s="1393">
        <v>0.0</v>
      </c>
      <c r="BD11" s="1393">
        <v>0.0</v>
      </c>
      <c r="BE11" s="1393">
        <v>1501993.493944667</v>
      </c>
      <c r="BF11" s="1393">
        <v>324904.2040268569</v>
      </c>
      <c r="BG11" s="1393">
        <v>0.0</v>
      </c>
      <c r="BH11" s="1393">
        <v>0.0</v>
      </c>
      <c r="BI11" s="1393">
        <v>1.3894383664018877E7</v>
      </c>
      <c r="BJ11" s="1393">
        <v>0.0</v>
      </c>
      <c r="BK11" s="1393">
        <v>0.0</v>
      </c>
      <c r="BL11" s="1393">
        <v>0.0</v>
      </c>
      <c r="BM11" s="1393">
        <v>1435214.9106318168</v>
      </c>
      <c r="BN11" s="1393">
        <v>339713.6082076071</v>
      </c>
      <c r="BO11" s="1393">
        <v>0.0</v>
      </c>
      <c r="BP11" s="1393">
        <v>0.0</v>
      </c>
      <c r="BQ11" s="1393">
        <v>1.4524279352098893E7</v>
      </c>
      <c r="BR11" s="1393">
        <v>0.0</v>
      </c>
      <c r="BS11" s="1393">
        <v>0.0</v>
      </c>
      <c r="BT11" s="1393">
        <v>0.0</v>
      </c>
      <c r="BU11" s="1393">
        <v>1500633.2014213963</v>
      </c>
      <c r="BV11" s="1393">
        <v>311455.6662728564</v>
      </c>
      <c r="BW11" s="1393">
        <v>0.0</v>
      </c>
      <c r="BX11" s="1393">
        <v>0.0</v>
      </c>
      <c r="BY11" s="1393">
        <v>1.3306582291523494E7</v>
      </c>
      <c r="BZ11" s="1393">
        <v>0.0</v>
      </c>
      <c r="CA11" s="1393">
        <v>0.0</v>
      </c>
      <c r="CB11" s="1393">
        <v>0.0</v>
      </c>
      <c r="CC11" s="1393">
        <v>1375808.0403250814</v>
      </c>
      <c r="CD11" s="1393">
        <v>304693.2768601504</v>
      </c>
      <c r="CE11" s="1393">
        <v>0.0</v>
      </c>
      <c r="CF11" s="1393">
        <v>0.0</v>
      </c>
      <c r="CG11" s="1393">
        <v>1.3016753520994693E7</v>
      </c>
      <c r="CH11" s="1393">
        <v>0.0</v>
      </c>
      <c r="CI11" s="1393">
        <v>0.0</v>
      </c>
      <c r="CJ11" s="1393">
        <v>0.0</v>
      </c>
      <c r="CK11" s="1393">
        <v>1345936.213502514</v>
      </c>
      <c r="CL11" s="1393">
        <v>369090.75538946537</v>
      </c>
      <c r="CM11" s="1393">
        <v>0.0</v>
      </c>
      <c r="CN11" s="1393">
        <v>0.0</v>
      </c>
      <c r="CO11" s="1393">
        <v>1.577522591151283E7</v>
      </c>
      <c r="CP11" s="1393">
        <v>0.0</v>
      </c>
      <c r="CQ11" s="1393">
        <v>0.0</v>
      </c>
      <c r="CR11" s="1393">
        <v>0.0</v>
      </c>
      <c r="CS11" s="1393">
        <v>1630402.2814907427</v>
      </c>
      <c r="CT11" s="1393">
        <v>373135.619015555</v>
      </c>
      <c r="CU11" s="1393">
        <v>0.0</v>
      </c>
      <c r="CV11" s="1393">
        <v>0.0</v>
      </c>
      <c r="CW11" s="1393">
        <v>1.5948883186831135E7</v>
      </c>
      <c r="CX11" s="1393">
        <v>0.0</v>
      </c>
      <c r="CY11" s="1393">
        <v>0.0</v>
      </c>
      <c r="CZ11" s="1393">
        <v>0.0</v>
      </c>
      <c r="DA11" s="1393">
        <v>1648269.8514257756</v>
      </c>
      <c r="DB11" s="1393">
        <v>349472.8106248126</v>
      </c>
      <c r="DC11" s="1393">
        <v>0.0</v>
      </c>
      <c r="DD11" s="1393">
        <v>0.0</v>
      </c>
      <c r="DE11" s="1393">
        <v>1.4941292750731915E7</v>
      </c>
      <c r="DF11" s="1393">
        <v>0.0</v>
      </c>
      <c r="DG11" s="1393">
        <v>0.0</v>
      </c>
      <c r="DH11" s="1393">
        <v>0.0</v>
      </c>
      <c r="DI11" s="1393">
        <v>1543742.9939431623</v>
      </c>
      <c r="DJ11" s="1393">
        <v>345196.62467372353</v>
      </c>
      <c r="DK11" s="1393">
        <v>0.0</v>
      </c>
      <c r="DL11" s="1393">
        <v>0.0</v>
      </c>
      <c r="DM11" s="1393">
        <v>1.4754934929880036E7</v>
      </c>
      <c r="DN11" s="1393">
        <v>0.0</v>
      </c>
      <c r="DO11" s="1393">
        <v>0.0</v>
      </c>
      <c r="DP11" s="1393">
        <v>0.0</v>
      </c>
      <c r="DQ11" s="1393">
        <v>1524853.5928163922</v>
      </c>
      <c r="DR11" s="1379">
        <f t="shared" si="4"/>
        <v>198530378.1</v>
      </c>
    </row>
    <row r="12" hidden="1">
      <c r="A12" s="1387"/>
      <c r="B12" s="1394">
        <f t="shared" si="5"/>
        <v>4</v>
      </c>
      <c r="C12" s="1389" t="s">
        <v>202</v>
      </c>
      <c r="D12" s="185" t="s">
        <v>186</v>
      </c>
      <c r="E12" s="185" t="s">
        <v>189</v>
      </c>
      <c r="F12" s="185" t="s">
        <v>1888</v>
      </c>
      <c r="G12" s="185" t="s">
        <v>203</v>
      </c>
      <c r="H12" s="185" t="s">
        <v>135</v>
      </c>
      <c r="I12" s="185" t="s">
        <v>135</v>
      </c>
      <c r="J12" s="185" t="s">
        <v>1889</v>
      </c>
      <c r="K12" s="185" t="s">
        <v>188</v>
      </c>
      <c r="L12" s="1390">
        <v>5.3221217E7</v>
      </c>
      <c r="M12" s="1390">
        <v>5.3221217E7</v>
      </c>
      <c r="N12" s="1390">
        <v>5.3221217E7</v>
      </c>
      <c r="O12" s="1390">
        <v>5.3221217E7</v>
      </c>
      <c r="P12" s="1390">
        <v>5.3221217E7</v>
      </c>
      <c r="Q12" s="1390">
        <v>5.3221217E7</v>
      </c>
      <c r="R12" s="1390">
        <v>5.3221217E7</v>
      </c>
      <c r="S12" s="1390">
        <v>5.3221217E7</v>
      </c>
      <c r="T12" s="1390">
        <v>5.3221217E7</v>
      </c>
      <c r="U12" s="1390">
        <v>5.3221217E7</v>
      </c>
      <c r="V12" s="1390">
        <v>5.3221217E7</v>
      </c>
      <c r="W12" s="1390">
        <v>5.3221217E7</v>
      </c>
      <c r="X12" s="1391">
        <v>6.38654604E8</v>
      </c>
      <c r="Y12" s="1392">
        <f t="shared" si="3"/>
        <v>0</v>
      </c>
      <c r="Z12" s="1393">
        <v>905192.8133092588</v>
      </c>
      <c r="AA12" s="1393">
        <v>0.0</v>
      </c>
      <c r="AB12" s="1393">
        <v>0.0</v>
      </c>
      <c r="AC12" s="1393">
        <v>3.872209521094949E7</v>
      </c>
      <c r="AD12" s="1393">
        <v>0.0</v>
      </c>
      <c r="AE12" s="1393">
        <v>0.0</v>
      </c>
      <c r="AF12" s="1393">
        <v>0.0</v>
      </c>
      <c r="AG12" s="1393">
        <v>3998551.593228452</v>
      </c>
      <c r="AH12" s="1393">
        <v>894467.0011294875</v>
      </c>
      <c r="AI12" s="1393">
        <v>0.0</v>
      </c>
      <c r="AJ12" s="1393">
        <v>0.0</v>
      </c>
      <c r="AK12" s="1393">
        <v>3.825519206712831E7</v>
      </c>
      <c r="AL12" s="1393">
        <v>0.0</v>
      </c>
      <c r="AM12" s="1393">
        <v>0.0</v>
      </c>
      <c r="AN12" s="1393">
        <v>0.0</v>
      </c>
      <c r="AO12" s="1393">
        <v>3951171.9490802586</v>
      </c>
      <c r="AP12" s="1393">
        <v>1122414.852650539</v>
      </c>
      <c r="AQ12" s="1393">
        <v>0.0</v>
      </c>
      <c r="AR12" s="1393">
        <v>0.0</v>
      </c>
      <c r="AS12" s="1393">
        <v>4.79415475130541E7</v>
      </c>
      <c r="AT12" s="1393">
        <v>0.0</v>
      </c>
      <c r="AU12" s="1393">
        <v>0.0</v>
      </c>
      <c r="AV12" s="1393">
        <v>0.0</v>
      </c>
      <c r="AW12" s="1393">
        <v>4958096.91740864</v>
      </c>
      <c r="AX12" s="1393">
        <v>933530.399895812</v>
      </c>
      <c r="AY12" s="1393">
        <v>0.0</v>
      </c>
      <c r="AZ12" s="1393">
        <v>0.0</v>
      </c>
      <c r="BA12" s="1393">
        <v>3.991502776088434E7</v>
      </c>
      <c r="BB12" s="1393">
        <v>0.0</v>
      </c>
      <c r="BC12" s="1393">
        <v>0.0</v>
      </c>
      <c r="BD12" s="1393">
        <v>0.0</v>
      </c>
      <c r="BE12" s="1393">
        <v>4123728.5724619343</v>
      </c>
      <c r="BF12" s="1393">
        <v>892025.6677942108</v>
      </c>
      <c r="BG12" s="1393">
        <v>0.0</v>
      </c>
      <c r="BH12" s="1393">
        <v>0.0</v>
      </c>
      <c r="BI12" s="1393">
        <v>3.814708062521992E7</v>
      </c>
      <c r="BJ12" s="1393">
        <v>0.0</v>
      </c>
      <c r="BK12" s="1393">
        <v>0.0</v>
      </c>
      <c r="BL12" s="1393">
        <v>0.0</v>
      </c>
      <c r="BM12" s="1393">
        <v>3940387.7303438284</v>
      </c>
      <c r="BN12" s="1393">
        <v>932684.9405590413</v>
      </c>
      <c r="BO12" s="1393">
        <v>0.0</v>
      </c>
      <c r="BP12" s="1393">
        <v>0.0</v>
      </c>
      <c r="BQ12" s="1393">
        <v>3.9876461516068056E7</v>
      </c>
      <c r="BR12" s="1393">
        <v>0.0</v>
      </c>
      <c r="BS12" s="1393">
        <v>0.0</v>
      </c>
      <c r="BT12" s="1393">
        <v>0.0</v>
      </c>
      <c r="BU12" s="1393">
        <v>4119993.8844171907</v>
      </c>
      <c r="BV12" s="1393">
        <v>855102.6587282022</v>
      </c>
      <c r="BW12" s="1393">
        <v>0.0</v>
      </c>
      <c r="BX12" s="1393">
        <v>0.0</v>
      </c>
      <c r="BY12" s="1393">
        <v>3.6533269830124125E7</v>
      </c>
      <c r="BZ12" s="1393">
        <v>0.0</v>
      </c>
      <c r="CA12" s="1393">
        <v>0.0</v>
      </c>
      <c r="CB12" s="1393">
        <v>0.0</v>
      </c>
      <c r="CC12" s="1393">
        <v>3777285.952957935</v>
      </c>
      <c r="CD12" s="1393">
        <v>836536.4941264818</v>
      </c>
      <c r="CE12" s="1393">
        <v>0.0</v>
      </c>
      <c r="CF12" s="1393">
        <v>0.0</v>
      </c>
      <c r="CG12" s="1393">
        <v>3.573754389191633E7</v>
      </c>
      <c r="CH12" s="1393">
        <v>0.0</v>
      </c>
      <c r="CI12" s="1393">
        <v>0.0</v>
      </c>
      <c r="CJ12" s="1393">
        <v>0.0</v>
      </c>
      <c r="CK12" s="1393">
        <v>3695272.744327888</v>
      </c>
      <c r="CL12" s="1393">
        <v>1013340.004445564</v>
      </c>
      <c r="CM12" s="1393">
        <v>0.0</v>
      </c>
      <c r="CN12" s="1393">
        <v>0.0</v>
      </c>
      <c r="CO12" s="1393">
        <v>4.33109398213837E7</v>
      </c>
      <c r="CP12" s="1393">
        <v>0.0</v>
      </c>
      <c r="CQ12" s="1393">
        <v>0.0</v>
      </c>
      <c r="CR12" s="1393">
        <v>0.0</v>
      </c>
      <c r="CS12" s="1393">
        <v>4476275.363306059</v>
      </c>
      <c r="CT12" s="1393">
        <v>1024445.1921669911</v>
      </c>
      <c r="CU12" s="1393">
        <v>0.0</v>
      </c>
      <c r="CV12" s="1393">
        <v>0.0</v>
      </c>
      <c r="CW12" s="1393">
        <v>4.378771649913432E7</v>
      </c>
      <c r="CX12" s="1393">
        <v>0.0</v>
      </c>
      <c r="CY12" s="1393">
        <v>0.0</v>
      </c>
      <c r="CZ12" s="1393">
        <v>0.0</v>
      </c>
      <c r="DA12" s="1393">
        <v>4525330.8412149865</v>
      </c>
      <c r="DB12" s="1393">
        <v>959478.8661083302</v>
      </c>
      <c r="DC12" s="1393">
        <v>0.0</v>
      </c>
      <c r="DD12" s="1393">
        <v>0.0</v>
      </c>
      <c r="DE12" s="1393">
        <v>4.102137331094284E7</v>
      </c>
      <c r="DF12" s="1393">
        <v>0.0</v>
      </c>
      <c r="DG12" s="1393">
        <v>0.0</v>
      </c>
      <c r="DH12" s="1393">
        <v>0.0</v>
      </c>
      <c r="DI12" s="1393">
        <v>4238351.97577485</v>
      </c>
      <c r="DJ12" s="1393">
        <v>947738.5821065968</v>
      </c>
      <c r="DK12" s="1393">
        <v>0.0</v>
      </c>
      <c r="DL12" s="1393">
        <v>0.0</v>
      </c>
      <c r="DM12" s="1393">
        <v>4.0509727239473954E7</v>
      </c>
      <c r="DN12" s="1393">
        <v>0.0</v>
      </c>
      <c r="DO12" s="1393">
        <v>0.0</v>
      </c>
      <c r="DP12" s="1393">
        <v>0.0</v>
      </c>
      <c r="DQ12" s="1393">
        <v>4186491.0566315963</v>
      </c>
      <c r="DR12" s="1379">
        <f t="shared" si="4"/>
        <v>545065871.3</v>
      </c>
    </row>
    <row r="13" hidden="1">
      <c r="A13" s="1387"/>
      <c r="B13" s="1394">
        <f t="shared" si="5"/>
        <v>5</v>
      </c>
      <c r="C13" s="1389" t="s">
        <v>1890</v>
      </c>
      <c r="D13" s="185" t="s">
        <v>186</v>
      </c>
      <c r="E13" s="185" t="s">
        <v>189</v>
      </c>
      <c r="F13" s="185" t="s">
        <v>1888</v>
      </c>
      <c r="G13" s="185" t="s">
        <v>218</v>
      </c>
      <c r="H13" s="185" t="s">
        <v>88</v>
      </c>
      <c r="I13" s="185" t="s">
        <v>88</v>
      </c>
      <c r="J13" s="185" t="s">
        <v>1889</v>
      </c>
      <c r="K13" s="185" t="s">
        <v>188</v>
      </c>
      <c r="L13" s="1390">
        <v>8.1881522E7</v>
      </c>
      <c r="M13" s="1390">
        <v>8.1881522E7</v>
      </c>
      <c r="N13" s="1390">
        <v>8.1881522E7</v>
      </c>
      <c r="O13" s="1390">
        <v>8.1881522E7</v>
      </c>
      <c r="P13" s="1390">
        <v>8.1881522E7</v>
      </c>
      <c r="Q13" s="1390">
        <v>8.1881522E7</v>
      </c>
      <c r="R13" s="1390">
        <v>8.1881522E7</v>
      </c>
      <c r="S13" s="1390">
        <v>8.1881522E7</v>
      </c>
      <c r="T13" s="1390">
        <v>8.1881522E7</v>
      </c>
      <c r="U13" s="1390">
        <v>8.1881522E7</v>
      </c>
      <c r="V13" s="1390">
        <v>8.1881522E7</v>
      </c>
      <c r="W13" s="1390">
        <v>8.1881522E7</v>
      </c>
      <c r="X13" s="1391">
        <v>9.82578264E8</v>
      </c>
      <c r="Y13" s="1392">
        <f t="shared" si="3"/>
        <v>0</v>
      </c>
      <c r="Z13" s="1393">
        <v>1473214.5711791473</v>
      </c>
      <c r="AA13" s="1393">
        <v>0.0</v>
      </c>
      <c r="AB13" s="1393">
        <v>0.0</v>
      </c>
      <c r="AC13" s="1393">
        <v>6.457427374739942E7</v>
      </c>
      <c r="AD13" s="1393">
        <v>0.0</v>
      </c>
      <c r="AE13" s="1393">
        <v>0.0</v>
      </c>
      <c r="AF13" s="1393">
        <v>0.0</v>
      </c>
      <c r="AG13" s="1393">
        <v>9902054.157527504</v>
      </c>
      <c r="AH13" s="1393">
        <v>1473214.5711791473</v>
      </c>
      <c r="AI13" s="1393">
        <v>0.0</v>
      </c>
      <c r="AJ13" s="1393">
        <v>0.0</v>
      </c>
      <c r="AK13" s="1393">
        <v>6.457427374739942E7</v>
      </c>
      <c r="AL13" s="1393">
        <v>0.0</v>
      </c>
      <c r="AM13" s="1393">
        <v>0.0</v>
      </c>
      <c r="AN13" s="1393">
        <v>0.0</v>
      </c>
      <c r="AO13" s="1393">
        <v>9902054.157527504</v>
      </c>
      <c r="AP13" s="1393">
        <v>1473214.5711791473</v>
      </c>
      <c r="AQ13" s="1393">
        <v>0.0</v>
      </c>
      <c r="AR13" s="1393">
        <v>0.0</v>
      </c>
      <c r="AS13" s="1393">
        <v>6.457427374739942E7</v>
      </c>
      <c r="AT13" s="1393">
        <v>0.0</v>
      </c>
      <c r="AU13" s="1393">
        <v>0.0</v>
      </c>
      <c r="AV13" s="1393">
        <v>0.0</v>
      </c>
      <c r="AW13" s="1393">
        <v>9902054.157527504</v>
      </c>
      <c r="AX13" s="1393">
        <v>1473214.5711791473</v>
      </c>
      <c r="AY13" s="1393">
        <v>0.0</v>
      </c>
      <c r="AZ13" s="1393">
        <v>0.0</v>
      </c>
      <c r="BA13" s="1393">
        <v>6.457427374739942E7</v>
      </c>
      <c r="BB13" s="1393">
        <v>0.0</v>
      </c>
      <c r="BC13" s="1393">
        <v>0.0</v>
      </c>
      <c r="BD13" s="1393">
        <v>0.0</v>
      </c>
      <c r="BE13" s="1393">
        <v>9902054.157527504</v>
      </c>
      <c r="BF13" s="1393">
        <v>1473214.5711791473</v>
      </c>
      <c r="BG13" s="1393">
        <v>0.0</v>
      </c>
      <c r="BH13" s="1393">
        <v>0.0</v>
      </c>
      <c r="BI13" s="1393">
        <v>6.457427374739942E7</v>
      </c>
      <c r="BJ13" s="1393">
        <v>0.0</v>
      </c>
      <c r="BK13" s="1393">
        <v>0.0</v>
      </c>
      <c r="BL13" s="1393">
        <v>0.0</v>
      </c>
      <c r="BM13" s="1393">
        <v>9902054.157527504</v>
      </c>
      <c r="BN13" s="1393">
        <v>1473214.5711791473</v>
      </c>
      <c r="BO13" s="1393">
        <v>0.0</v>
      </c>
      <c r="BP13" s="1393">
        <v>0.0</v>
      </c>
      <c r="BQ13" s="1393">
        <v>6.457427374739942E7</v>
      </c>
      <c r="BR13" s="1393">
        <v>0.0</v>
      </c>
      <c r="BS13" s="1393">
        <v>0.0</v>
      </c>
      <c r="BT13" s="1393">
        <v>0.0</v>
      </c>
      <c r="BU13" s="1393">
        <v>9902054.157527504</v>
      </c>
      <c r="BV13" s="1393">
        <v>1473214.5711791473</v>
      </c>
      <c r="BW13" s="1393">
        <v>0.0</v>
      </c>
      <c r="BX13" s="1393">
        <v>0.0</v>
      </c>
      <c r="BY13" s="1393">
        <v>6.457427374739942E7</v>
      </c>
      <c r="BZ13" s="1393">
        <v>0.0</v>
      </c>
      <c r="CA13" s="1393">
        <v>0.0</v>
      </c>
      <c r="CB13" s="1393">
        <v>0.0</v>
      </c>
      <c r="CC13" s="1393">
        <v>9902054.157527504</v>
      </c>
      <c r="CD13" s="1393">
        <v>1473214.5711791473</v>
      </c>
      <c r="CE13" s="1393">
        <v>0.0</v>
      </c>
      <c r="CF13" s="1393">
        <v>0.0</v>
      </c>
      <c r="CG13" s="1393">
        <v>6.457427374739942E7</v>
      </c>
      <c r="CH13" s="1393">
        <v>0.0</v>
      </c>
      <c r="CI13" s="1393">
        <v>0.0</v>
      </c>
      <c r="CJ13" s="1393">
        <v>0.0</v>
      </c>
      <c r="CK13" s="1393">
        <v>9902054.157527504</v>
      </c>
      <c r="CL13" s="1393">
        <v>1473214.5711791473</v>
      </c>
      <c r="CM13" s="1393">
        <v>0.0</v>
      </c>
      <c r="CN13" s="1393">
        <v>0.0</v>
      </c>
      <c r="CO13" s="1393">
        <v>6.457427374739942E7</v>
      </c>
      <c r="CP13" s="1393">
        <v>0.0</v>
      </c>
      <c r="CQ13" s="1393">
        <v>0.0</v>
      </c>
      <c r="CR13" s="1393">
        <v>0.0</v>
      </c>
      <c r="CS13" s="1393">
        <v>9902054.157527504</v>
      </c>
      <c r="CT13" s="1393">
        <v>1473214.5711791473</v>
      </c>
      <c r="CU13" s="1393">
        <v>0.0</v>
      </c>
      <c r="CV13" s="1393">
        <v>0.0</v>
      </c>
      <c r="CW13" s="1393">
        <v>6.457427374739942E7</v>
      </c>
      <c r="CX13" s="1393">
        <v>0.0</v>
      </c>
      <c r="CY13" s="1393">
        <v>0.0</v>
      </c>
      <c r="CZ13" s="1393">
        <v>0.0</v>
      </c>
      <c r="DA13" s="1393">
        <v>9902054.157527504</v>
      </c>
      <c r="DB13" s="1393">
        <v>1473214.5711791473</v>
      </c>
      <c r="DC13" s="1393">
        <v>0.0</v>
      </c>
      <c r="DD13" s="1393">
        <v>0.0</v>
      </c>
      <c r="DE13" s="1393">
        <v>6.457427374739942E7</v>
      </c>
      <c r="DF13" s="1393">
        <v>0.0</v>
      </c>
      <c r="DG13" s="1393">
        <v>0.0</v>
      </c>
      <c r="DH13" s="1393">
        <v>0.0</v>
      </c>
      <c r="DI13" s="1393">
        <v>9902054.157527504</v>
      </c>
      <c r="DJ13" s="1393">
        <v>1473214.5711791473</v>
      </c>
      <c r="DK13" s="1393">
        <v>0.0</v>
      </c>
      <c r="DL13" s="1393">
        <v>0.0</v>
      </c>
      <c r="DM13" s="1393">
        <v>6.457427374739942E7</v>
      </c>
      <c r="DN13" s="1393">
        <v>0.0</v>
      </c>
      <c r="DO13" s="1393">
        <v>0.0</v>
      </c>
      <c r="DP13" s="1393">
        <v>0.0</v>
      </c>
      <c r="DQ13" s="1393">
        <v>9902054.157527504</v>
      </c>
      <c r="DR13" s="1379">
        <f t="shared" si="4"/>
        <v>911394509.7</v>
      </c>
    </row>
    <row r="14" hidden="1">
      <c r="A14" s="1387">
        <v>2.0</v>
      </c>
      <c r="B14" s="1395" t="s">
        <v>30</v>
      </c>
      <c r="C14" s="7"/>
      <c r="D14" s="1225"/>
      <c r="E14" s="1225"/>
      <c r="F14" s="1225"/>
      <c r="G14" s="1225"/>
      <c r="H14" s="1225"/>
      <c r="I14" s="1225"/>
      <c r="J14" s="1225"/>
      <c r="K14" s="1225"/>
      <c r="L14" s="1396">
        <f t="shared" ref="L14:X14" si="6">L15+L16+L17+L18+L19+L20+L21+L22+L23+L24+L25+L26+L27+L28+L29+L30</f>
        <v>6653930449</v>
      </c>
      <c r="M14" s="1396">
        <f t="shared" si="6"/>
        <v>6653930449</v>
      </c>
      <c r="N14" s="1396">
        <f t="shared" si="6"/>
        <v>6653930449</v>
      </c>
      <c r="O14" s="1396">
        <f t="shared" si="6"/>
        <v>6653930449</v>
      </c>
      <c r="P14" s="1396">
        <f t="shared" si="6"/>
        <v>6653930449</v>
      </c>
      <c r="Q14" s="1396">
        <f t="shared" si="6"/>
        <v>6653930449</v>
      </c>
      <c r="R14" s="1396">
        <f t="shared" si="6"/>
        <v>6653930449</v>
      </c>
      <c r="S14" s="1396">
        <f t="shared" si="6"/>
        <v>6653930449</v>
      </c>
      <c r="T14" s="1396">
        <f t="shared" si="6"/>
        <v>6653930449</v>
      </c>
      <c r="U14" s="1396">
        <f t="shared" si="6"/>
        <v>6653930449</v>
      </c>
      <c r="V14" s="1396">
        <f t="shared" si="6"/>
        <v>6653930449</v>
      </c>
      <c r="W14" s="1396">
        <f t="shared" si="6"/>
        <v>6653930449</v>
      </c>
      <c r="X14" s="1396">
        <f t="shared" si="6"/>
        <v>79847165387</v>
      </c>
      <c r="Y14" s="1392">
        <f t="shared" si="3"/>
        <v>-0.00003051757813</v>
      </c>
    </row>
    <row r="15" hidden="1">
      <c r="A15" s="1387"/>
      <c r="B15" s="1388">
        <v>1.0</v>
      </c>
      <c r="C15" s="1389" t="s">
        <v>252</v>
      </c>
      <c r="D15" s="185" t="s">
        <v>186</v>
      </c>
      <c r="E15" s="185" t="s">
        <v>230</v>
      </c>
      <c r="F15" s="185" t="s">
        <v>1888</v>
      </c>
      <c r="G15" s="185" t="s">
        <v>86</v>
      </c>
      <c r="H15" s="185" t="s">
        <v>86</v>
      </c>
      <c r="I15" s="185" t="s">
        <v>103</v>
      </c>
      <c r="J15" s="185" t="s">
        <v>253</v>
      </c>
      <c r="K15" s="185" t="s">
        <v>254</v>
      </c>
      <c r="L15" s="1390">
        <v>1026026.0</v>
      </c>
      <c r="M15" s="1390">
        <v>1026026.0</v>
      </c>
      <c r="N15" s="1390">
        <v>1026026.0</v>
      </c>
      <c r="O15" s="1390">
        <v>1026026.0</v>
      </c>
      <c r="P15" s="1390">
        <v>1026026.0</v>
      </c>
      <c r="Q15" s="1390">
        <v>1026026.0</v>
      </c>
      <c r="R15" s="1390">
        <v>1026026.0</v>
      </c>
      <c r="S15" s="1390">
        <v>1026026.0</v>
      </c>
      <c r="T15" s="1390">
        <v>1026026.0</v>
      </c>
      <c r="U15" s="1390">
        <v>1026026.0</v>
      </c>
      <c r="V15" s="1390">
        <v>1026026.0</v>
      </c>
      <c r="W15" s="1390">
        <v>1026026.0</v>
      </c>
      <c r="X15" s="1391">
        <v>1.2312312E7</v>
      </c>
      <c r="Y15" s="1392">
        <f t="shared" si="3"/>
        <v>0</v>
      </c>
      <c r="Z15" s="1393">
        <v>126797.88184787225</v>
      </c>
      <c r="AA15" s="1393">
        <v>0.0</v>
      </c>
      <c r="AB15" s="1393">
        <v>0.0</v>
      </c>
      <c r="AC15" s="1393">
        <v>706520.3142040214</v>
      </c>
      <c r="AD15" s="1393">
        <v>0.0</v>
      </c>
      <c r="AE15" s="1393">
        <v>0.0</v>
      </c>
      <c r="AF15" s="1393">
        <v>0.0</v>
      </c>
      <c r="AG15" s="1393">
        <v>41184.73239401968</v>
      </c>
      <c r="AH15" s="1393">
        <v>129350.09657408229</v>
      </c>
      <c r="AI15" s="1393">
        <v>0.0</v>
      </c>
      <c r="AJ15" s="1393">
        <v>0.0</v>
      </c>
      <c r="AK15" s="1393">
        <v>718914.19124121</v>
      </c>
      <c r="AL15" s="1393">
        <v>0.0</v>
      </c>
      <c r="AM15" s="1393">
        <v>0.0</v>
      </c>
      <c r="AN15" s="1393">
        <v>0.0</v>
      </c>
      <c r="AO15" s="1393">
        <v>42013.70744454258</v>
      </c>
      <c r="AP15" s="1393">
        <v>142140.26054803876</v>
      </c>
      <c r="AQ15" s="1393">
        <v>0.0</v>
      </c>
      <c r="AR15" s="1393">
        <v>0.0</v>
      </c>
      <c r="AS15" s="1393">
        <v>788740.2495427168</v>
      </c>
      <c r="AT15" s="1393">
        <v>0.0</v>
      </c>
      <c r="AU15" s="1393">
        <v>0.0</v>
      </c>
      <c r="AV15" s="1393">
        <v>0.0</v>
      </c>
      <c r="AW15" s="1393">
        <v>46168.031419567786</v>
      </c>
      <c r="AX15" s="1393">
        <v>132097.23552143289</v>
      </c>
      <c r="AY15" s="1393">
        <v>0.0</v>
      </c>
      <c r="AZ15" s="1393">
        <v>0.0</v>
      </c>
      <c r="BA15" s="1393">
        <v>733491.2251866055</v>
      </c>
      <c r="BB15" s="1393">
        <v>0.0</v>
      </c>
      <c r="BC15" s="1393">
        <v>0.0</v>
      </c>
      <c r="BD15" s="1393">
        <v>0.0</v>
      </c>
      <c r="BE15" s="1393">
        <v>42905.995081741166</v>
      </c>
      <c r="BF15" s="1393">
        <v>130694.03610069431</v>
      </c>
      <c r="BG15" s="1393">
        <v>0.0</v>
      </c>
      <c r="BH15" s="1393">
        <v>0.0</v>
      </c>
      <c r="BI15" s="1393">
        <v>725768.395624628</v>
      </c>
      <c r="BJ15" s="1393">
        <v>0.0</v>
      </c>
      <c r="BK15" s="1393">
        <v>0.0</v>
      </c>
      <c r="BL15" s="1393">
        <v>0.0</v>
      </c>
      <c r="BM15" s="1393">
        <v>42450.22727398002</v>
      </c>
      <c r="BN15" s="1393">
        <v>132651.67606824526</v>
      </c>
      <c r="BO15" s="1393">
        <v>0.0</v>
      </c>
      <c r="BP15" s="1393">
        <v>0.0</v>
      </c>
      <c r="BQ15" s="1393">
        <v>736487.9533904059</v>
      </c>
      <c r="BR15" s="1393">
        <v>0.0</v>
      </c>
      <c r="BS15" s="1393">
        <v>0.0</v>
      </c>
      <c r="BT15" s="1393">
        <v>0.0</v>
      </c>
      <c r="BU15" s="1393">
        <v>43086.08078361635</v>
      </c>
      <c r="BV15" s="1393">
        <v>138750.3108233035</v>
      </c>
      <c r="BW15" s="1393">
        <v>0.0</v>
      </c>
      <c r="BX15" s="1393">
        <v>0.0</v>
      </c>
      <c r="BY15" s="1393">
        <v>770006.424173395</v>
      </c>
      <c r="BZ15" s="1393">
        <v>0.0</v>
      </c>
      <c r="CA15" s="1393">
        <v>0.0</v>
      </c>
      <c r="CB15" s="1393">
        <v>0.0</v>
      </c>
      <c r="CC15" s="1393">
        <v>45066.95488573494</v>
      </c>
      <c r="CD15" s="1393">
        <v>139610.0485694384</v>
      </c>
      <c r="CE15" s="1393">
        <v>0.0</v>
      </c>
      <c r="CF15" s="1393">
        <v>0.0</v>
      </c>
      <c r="CG15" s="1393">
        <v>774730.1337345823</v>
      </c>
      <c r="CH15" s="1393">
        <v>0.0</v>
      </c>
      <c r="CI15" s="1393">
        <v>0.0</v>
      </c>
      <c r="CJ15" s="1393">
        <v>0.0</v>
      </c>
      <c r="CK15" s="1393">
        <v>45346.20299688307</v>
      </c>
      <c r="CL15" s="1393">
        <v>135053.88685293312</v>
      </c>
      <c r="CM15" s="1393">
        <v>0.0</v>
      </c>
      <c r="CN15" s="1393">
        <v>0.0</v>
      </c>
      <c r="CO15" s="1393">
        <v>749640.9511409611</v>
      </c>
      <c r="CP15" s="1393">
        <v>0.0</v>
      </c>
      <c r="CQ15" s="1393">
        <v>0.0</v>
      </c>
      <c r="CR15" s="1393">
        <v>0.0</v>
      </c>
      <c r="CS15" s="1393">
        <v>43866.333630742745</v>
      </c>
      <c r="CT15" s="1393">
        <v>134753.67423377093</v>
      </c>
      <c r="CU15" s="1393">
        <v>0.0</v>
      </c>
      <c r="CV15" s="1393">
        <v>0.0</v>
      </c>
      <c r="CW15" s="1393">
        <v>747990.9456332427</v>
      </c>
      <c r="CX15" s="1393">
        <v>0.0</v>
      </c>
      <c r="CY15" s="1393">
        <v>0.0</v>
      </c>
      <c r="CZ15" s="1393">
        <v>0.0</v>
      </c>
      <c r="DA15" s="1393">
        <v>43768.82272439861</v>
      </c>
      <c r="DB15" s="1393">
        <v>132543.4266321954</v>
      </c>
      <c r="DC15" s="1393">
        <v>0.0</v>
      </c>
      <c r="DD15" s="1393">
        <v>0.0</v>
      </c>
      <c r="DE15" s="1393">
        <v>735840.0765281762</v>
      </c>
      <c r="DF15" s="1393">
        <v>0.0</v>
      </c>
      <c r="DG15" s="1393">
        <v>0.0</v>
      </c>
      <c r="DH15" s="1393">
        <v>0.0</v>
      </c>
      <c r="DI15" s="1393">
        <v>43050.920700572795</v>
      </c>
      <c r="DJ15" s="1393">
        <v>134617.40475610914</v>
      </c>
      <c r="DK15" s="1393">
        <v>0.0</v>
      </c>
      <c r="DL15" s="1393">
        <v>0.0</v>
      </c>
      <c r="DM15" s="1393">
        <v>747238.9155806449</v>
      </c>
      <c r="DN15" s="1393">
        <v>0.0</v>
      </c>
      <c r="DO15" s="1393">
        <v>0.0</v>
      </c>
      <c r="DP15" s="1393">
        <v>0.0</v>
      </c>
      <c r="DQ15" s="1393">
        <v>43724.56155939187</v>
      </c>
      <c r="DR15" s="1379">
        <f t="shared" ref="DR15:DR30" si="7">SUM(Z15:DQ15)</f>
        <v>11067062.29</v>
      </c>
    </row>
    <row r="16" hidden="1">
      <c r="A16" s="1387"/>
      <c r="B16" s="1394">
        <f t="shared" ref="B16:B30" si="8">B15+1</f>
        <v>2</v>
      </c>
      <c r="C16" s="1389" t="s">
        <v>1891</v>
      </c>
      <c r="D16" s="185" t="s">
        <v>186</v>
      </c>
      <c r="E16" s="185" t="s">
        <v>230</v>
      </c>
      <c r="F16" s="185" t="s">
        <v>1888</v>
      </c>
      <c r="G16" s="185" t="s">
        <v>86</v>
      </c>
      <c r="H16" s="185" t="s">
        <v>86</v>
      </c>
      <c r="I16" s="185" t="s">
        <v>103</v>
      </c>
      <c r="J16" s="185" t="s">
        <v>1889</v>
      </c>
      <c r="K16" s="185" t="s">
        <v>188</v>
      </c>
      <c r="L16" s="1390">
        <v>4.90990991E8</v>
      </c>
      <c r="M16" s="1390">
        <v>4.90990991E8</v>
      </c>
      <c r="N16" s="1390">
        <v>4.90990991E8</v>
      </c>
      <c r="O16" s="1390">
        <v>4.90990991E8</v>
      </c>
      <c r="P16" s="1390">
        <v>4.90990991E8</v>
      </c>
      <c r="Q16" s="1390">
        <v>4.90990991E8</v>
      </c>
      <c r="R16" s="1390">
        <v>4.90990991E8</v>
      </c>
      <c r="S16" s="1390">
        <v>4.90990991E8</v>
      </c>
      <c r="T16" s="1390">
        <v>4.90990991E8</v>
      </c>
      <c r="U16" s="1390">
        <v>4.90990991E8</v>
      </c>
      <c r="V16" s="1390">
        <v>4.90990991E8</v>
      </c>
      <c r="W16" s="1390">
        <v>4.90990991E8</v>
      </c>
      <c r="X16" s="1391">
        <v>5.891891892E9</v>
      </c>
      <c r="Y16" s="1392">
        <f t="shared" si="3"/>
        <v>0</v>
      </c>
      <c r="Z16" s="1393">
        <v>6.067742695135183E7</v>
      </c>
      <c r="AA16" s="1393">
        <v>0.0</v>
      </c>
      <c r="AB16" s="1393">
        <v>0.0</v>
      </c>
      <c r="AC16" s="1393">
        <v>3.380958272330953E8</v>
      </c>
      <c r="AD16" s="1393">
        <v>0.0</v>
      </c>
      <c r="AE16" s="1393">
        <v>0.0</v>
      </c>
      <c r="AF16" s="1393">
        <v>0.0</v>
      </c>
      <c r="AG16" s="1393">
        <v>1.970840170932269E7</v>
      </c>
      <c r="AH16" s="1393">
        <v>6.189875510255527E7</v>
      </c>
      <c r="AI16" s="1393">
        <v>0.0</v>
      </c>
      <c r="AJ16" s="1393">
        <v>0.0</v>
      </c>
      <c r="AK16" s="1393">
        <v>3.4402675098046756E8</v>
      </c>
      <c r="AL16" s="1393">
        <v>0.0</v>
      </c>
      <c r="AM16" s="1393">
        <v>0.0</v>
      </c>
      <c r="AN16" s="1393">
        <v>0.0</v>
      </c>
      <c r="AO16" s="1393">
        <v>2.0105096609423194E7</v>
      </c>
      <c r="AP16" s="1393">
        <v>6.801931665228732E7</v>
      </c>
      <c r="AQ16" s="1393">
        <v>0.0</v>
      </c>
      <c r="AR16" s="1393">
        <v>0.0</v>
      </c>
      <c r="AS16" s="1393">
        <v>3.7744107533782357E8</v>
      </c>
      <c r="AT16" s="1393">
        <v>0.0</v>
      </c>
      <c r="AU16" s="1393">
        <v>0.0</v>
      </c>
      <c r="AV16" s="1393">
        <v>0.0</v>
      </c>
      <c r="AW16" s="1393">
        <v>2.2093092669398945E7</v>
      </c>
      <c r="AX16" s="1393">
        <v>6.32133616273162E7</v>
      </c>
      <c r="AY16" s="1393">
        <v>0.0</v>
      </c>
      <c r="AZ16" s="1393">
        <v>0.0</v>
      </c>
      <c r="BA16" s="1393">
        <v>3.5100239520653033E8</v>
      </c>
      <c r="BB16" s="1393">
        <v>0.0</v>
      </c>
      <c r="BC16" s="1393">
        <v>0.0</v>
      </c>
      <c r="BD16" s="1393">
        <v>0.0</v>
      </c>
      <c r="BE16" s="1393">
        <v>2.0532088899331227E7</v>
      </c>
      <c r="BF16" s="1393">
        <v>6.254187935088357E7</v>
      </c>
      <c r="BG16" s="1393">
        <v>0.0</v>
      </c>
      <c r="BH16" s="1393">
        <v>0.0</v>
      </c>
      <c r="BI16" s="1393">
        <v>3.4730673862476796E8</v>
      </c>
      <c r="BJ16" s="1393">
        <v>0.0</v>
      </c>
      <c r="BK16" s="1393">
        <v>0.0</v>
      </c>
      <c r="BL16" s="1393">
        <v>0.0</v>
      </c>
      <c r="BM16" s="1393">
        <v>2.0313987323349193E7</v>
      </c>
      <c r="BN16" s="1393">
        <v>6.347868172011111E7</v>
      </c>
      <c r="BO16" s="1393">
        <v>0.0</v>
      </c>
      <c r="BP16" s="1393">
        <v>0.0</v>
      </c>
      <c r="BQ16" s="1393">
        <v>3.5243643932484865E8</v>
      </c>
      <c r="BR16" s="1393">
        <v>0.0</v>
      </c>
      <c r="BS16" s="1393">
        <v>0.0</v>
      </c>
      <c r="BT16" s="1393">
        <v>0.0</v>
      </c>
      <c r="BU16" s="1393">
        <v>2.0618266498367343E7</v>
      </c>
      <c r="BV16" s="1393">
        <v>6.639710164527197E7</v>
      </c>
      <c r="BW16" s="1393">
        <v>0.0</v>
      </c>
      <c r="BX16" s="1393">
        <v>0.0</v>
      </c>
      <c r="BY16" s="1393">
        <v>3.6847625428718334E8</v>
      </c>
      <c r="BZ16" s="1393">
        <v>0.0</v>
      </c>
      <c r="CA16" s="1393">
        <v>0.0</v>
      </c>
      <c r="CB16" s="1393">
        <v>0.0</v>
      </c>
      <c r="CC16" s="1393">
        <v>2.1566187251297034E7</v>
      </c>
      <c r="CD16" s="1393">
        <v>6.680851762106095E7</v>
      </c>
      <c r="CE16" s="1393">
        <v>0.0</v>
      </c>
      <c r="CF16" s="1393">
        <v>0.0</v>
      </c>
      <c r="CG16" s="1393">
        <v>3.707367221882341E8</v>
      </c>
      <c r="CH16" s="1393">
        <v>0.0</v>
      </c>
      <c r="CI16" s="1393">
        <v>0.0</v>
      </c>
      <c r="CJ16" s="1393">
        <v>0.0</v>
      </c>
      <c r="CK16" s="1393">
        <v>2.1699817692267828E7</v>
      </c>
      <c r="CL16" s="1393">
        <v>6.4628227495524965E7</v>
      </c>
      <c r="CM16" s="1393">
        <v>0.0</v>
      </c>
      <c r="CN16" s="1393">
        <v>0.0</v>
      </c>
      <c r="CO16" s="1393">
        <v>3.587306301154972E8</v>
      </c>
      <c r="CP16" s="1393">
        <v>0.0</v>
      </c>
      <c r="CQ16" s="1393">
        <v>0.0</v>
      </c>
      <c r="CR16" s="1393">
        <v>0.0</v>
      </c>
      <c r="CS16" s="1393">
        <v>2.0991646041031133E7</v>
      </c>
      <c r="CT16" s="1393">
        <v>6.448456477022059E7</v>
      </c>
      <c r="CU16" s="1393">
        <v>0.0</v>
      </c>
      <c r="CV16" s="1393">
        <v>0.0</v>
      </c>
      <c r="CW16" s="1393">
        <v>3.5794104209395564E8</v>
      </c>
      <c r="CX16" s="1393">
        <v>0.0</v>
      </c>
      <c r="CY16" s="1393">
        <v>0.0</v>
      </c>
      <c r="CZ16" s="1393">
        <v>0.0</v>
      </c>
      <c r="DA16" s="1393">
        <v>2.0944983503688786E7</v>
      </c>
      <c r="DB16" s="1393">
        <v>6.342688040330109E7</v>
      </c>
      <c r="DC16" s="1393">
        <v>0.0</v>
      </c>
      <c r="DD16" s="1393">
        <v>0.0</v>
      </c>
      <c r="DE16" s="1393">
        <v>3.521264065355898E8</v>
      </c>
      <c r="DF16" s="1393">
        <v>0.0</v>
      </c>
      <c r="DG16" s="1393">
        <v>0.0</v>
      </c>
      <c r="DH16" s="1393">
        <v>0.0</v>
      </c>
      <c r="DI16" s="1393">
        <v>2.06014411118594E7</v>
      </c>
      <c r="DJ16" s="1393">
        <v>6.441935483803543E7</v>
      </c>
      <c r="DK16" s="1393">
        <v>0.0</v>
      </c>
      <c r="DL16" s="1393">
        <v>0.0</v>
      </c>
      <c r="DM16" s="1393">
        <v>3.5758116819135785E8</v>
      </c>
      <c r="DN16" s="1393">
        <v>0.0</v>
      </c>
      <c r="DO16" s="1393">
        <v>0.0</v>
      </c>
      <c r="DP16" s="1393">
        <v>0.0</v>
      </c>
      <c r="DQ16" s="1393">
        <v>2.0923802916384496E7</v>
      </c>
      <c r="DR16" s="1379">
        <f t="shared" si="7"/>
        <v>5295994331</v>
      </c>
    </row>
    <row r="17" hidden="1">
      <c r="A17" s="1387"/>
      <c r="B17" s="1394">
        <f t="shared" si="8"/>
        <v>3</v>
      </c>
      <c r="C17" s="1389" t="s">
        <v>267</v>
      </c>
      <c r="D17" s="185" t="s">
        <v>186</v>
      </c>
      <c r="E17" s="185" t="s">
        <v>230</v>
      </c>
      <c r="F17" s="185" t="s">
        <v>1888</v>
      </c>
      <c r="G17" s="185" t="s">
        <v>86</v>
      </c>
      <c r="H17" s="185" t="s">
        <v>86</v>
      </c>
      <c r="I17" s="185" t="s">
        <v>103</v>
      </c>
      <c r="J17" s="185" t="s">
        <v>1889</v>
      </c>
      <c r="K17" s="185" t="s">
        <v>188</v>
      </c>
      <c r="L17" s="1390">
        <v>1.8018018018018017E9</v>
      </c>
      <c r="M17" s="1390">
        <v>1.8018018018018017E9</v>
      </c>
      <c r="N17" s="1390">
        <v>1.8018018018018017E9</v>
      </c>
      <c r="O17" s="1390">
        <v>1.8018018018018017E9</v>
      </c>
      <c r="P17" s="1390">
        <v>1.8018018018018017E9</v>
      </c>
      <c r="Q17" s="1390">
        <v>1.8018018018018017E9</v>
      </c>
      <c r="R17" s="1390">
        <v>1.8018018018018017E9</v>
      </c>
      <c r="S17" s="1390">
        <v>1.8018018018018017E9</v>
      </c>
      <c r="T17" s="1390">
        <v>1.8018018018018017E9</v>
      </c>
      <c r="U17" s="1390">
        <v>1.8018018018018017E9</v>
      </c>
      <c r="V17" s="1390">
        <v>1.8018018018018017E9</v>
      </c>
      <c r="W17" s="1390">
        <v>1.8018018018018017E9</v>
      </c>
      <c r="X17" s="1391">
        <v>2.162162162162162E10</v>
      </c>
      <c r="Y17" s="1392">
        <f t="shared" si="3"/>
        <v>0</v>
      </c>
      <c r="Z17" s="1393">
        <v>2.2266945669812286E8</v>
      </c>
      <c r="AA17" s="1393">
        <v>0.0</v>
      </c>
      <c r="AB17" s="1393">
        <v>0.0</v>
      </c>
      <c r="AC17" s="1393">
        <v>1.2407186320252907E9</v>
      </c>
      <c r="AD17" s="1393">
        <v>0.0</v>
      </c>
      <c r="AE17" s="1393">
        <v>0.0</v>
      </c>
      <c r="AF17" s="1393">
        <v>0.0</v>
      </c>
      <c r="AG17" s="1393">
        <v>7.232440994114153E7</v>
      </c>
      <c r="AH17" s="1393">
        <v>2.271513948675945E8</v>
      </c>
      <c r="AI17" s="1393">
        <v>0.0</v>
      </c>
      <c r="AJ17" s="1393">
        <v>0.0</v>
      </c>
      <c r="AK17" s="1393">
        <v>1.2624834898134131E9</v>
      </c>
      <c r="AL17" s="1393">
        <v>0.0</v>
      </c>
      <c r="AM17" s="1393">
        <v>0.0</v>
      </c>
      <c r="AN17" s="1393">
        <v>0.0</v>
      </c>
      <c r="AO17" s="1393">
        <v>7.378017104240106E7</v>
      </c>
      <c r="AP17" s="1393">
        <v>2.496121711964743E8</v>
      </c>
      <c r="AQ17" s="1393">
        <v>0.0</v>
      </c>
      <c r="AR17" s="1393">
        <v>0.0</v>
      </c>
      <c r="AS17" s="1393">
        <v>1.3851048635996258E9</v>
      </c>
      <c r="AT17" s="1393">
        <v>0.0</v>
      </c>
      <c r="AU17" s="1393">
        <v>0.0</v>
      </c>
      <c r="AV17" s="1393">
        <v>0.0</v>
      </c>
      <c r="AW17" s="1393">
        <v>8.107556942749932E7</v>
      </c>
      <c r="AX17" s="1393">
        <v>2.3197563899506906E8</v>
      </c>
      <c r="AY17" s="1393">
        <v>0.0</v>
      </c>
      <c r="AZ17" s="1393">
        <v>0.0</v>
      </c>
      <c r="BA17" s="1393">
        <v>1.2880821842205133E9</v>
      </c>
      <c r="BB17" s="1393">
        <v>0.0</v>
      </c>
      <c r="BC17" s="1393">
        <v>0.0</v>
      </c>
      <c r="BD17" s="1393">
        <v>0.0</v>
      </c>
      <c r="BE17" s="1393">
        <v>7.534711522552107E7</v>
      </c>
      <c r="BF17" s="1393">
        <v>2.2951148385224226E8</v>
      </c>
      <c r="BG17" s="1393">
        <v>0.0</v>
      </c>
      <c r="BH17" s="1393">
        <v>0.0</v>
      </c>
      <c r="BI17" s="1393">
        <v>1.274520141718882E9</v>
      </c>
      <c r="BJ17" s="1393">
        <v>0.0</v>
      </c>
      <c r="BK17" s="1393">
        <v>0.0</v>
      </c>
      <c r="BL17" s="1393">
        <v>0.0</v>
      </c>
      <c r="BM17" s="1393">
        <v>7.454674246963838E7</v>
      </c>
      <c r="BN17" s="1393">
        <v>2.3294929071172976E8</v>
      </c>
      <c r="BO17" s="1393">
        <v>0.0</v>
      </c>
      <c r="BP17" s="1393">
        <v>0.0</v>
      </c>
      <c r="BQ17" s="1393">
        <v>1.2933447314436033E9</v>
      </c>
      <c r="BR17" s="1393">
        <v>0.0</v>
      </c>
      <c r="BS17" s="1393">
        <v>0.0</v>
      </c>
      <c r="BT17" s="1393">
        <v>0.0</v>
      </c>
      <c r="BU17" s="1393">
        <v>7.566336329537256E7</v>
      </c>
      <c r="BV17" s="1393">
        <v>2.4365908860203183E8</v>
      </c>
      <c r="BW17" s="1393">
        <v>0.0</v>
      </c>
      <c r="BX17" s="1393">
        <v>0.0</v>
      </c>
      <c r="BY17" s="1393">
        <v>1.3522064377263203E9</v>
      </c>
      <c r="BZ17" s="1393">
        <v>0.0</v>
      </c>
      <c r="CA17" s="1393">
        <v>0.0</v>
      </c>
      <c r="CB17" s="1393">
        <v>0.0</v>
      </c>
      <c r="CC17" s="1393">
        <v>7.914197156294063E7</v>
      </c>
      <c r="CD17" s="1393">
        <v>2.4516887199939486E8</v>
      </c>
      <c r="CE17" s="1393">
        <v>0.0</v>
      </c>
      <c r="CF17" s="1393">
        <v>0.0</v>
      </c>
      <c r="CG17" s="1393">
        <v>1.3605017327758958E9</v>
      </c>
      <c r="CH17" s="1393">
        <v>0.0</v>
      </c>
      <c r="CI17" s="1393">
        <v>0.0</v>
      </c>
      <c r="CJ17" s="1393">
        <v>0.0</v>
      </c>
      <c r="CK17" s="1393">
        <v>7.963235850227399E7</v>
      </c>
      <c r="CL17" s="1393">
        <v>2.371678073186757E8</v>
      </c>
      <c r="CM17" s="1393">
        <v>0.0</v>
      </c>
      <c r="CN17" s="1393">
        <v>0.0</v>
      </c>
      <c r="CO17" s="1393">
        <v>1.3164426792987707E9</v>
      </c>
      <c r="CP17" s="1393">
        <v>0.0</v>
      </c>
      <c r="CQ17" s="1393">
        <v>0.0</v>
      </c>
      <c r="CR17" s="1393">
        <v>0.0</v>
      </c>
      <c r="CS17" s="1393">
        <v>7.703356345191179E7</v>
      </c>
      <c r="CT17" s="1393">
        <v>2.3664060465701795E8</v>
      </c>
      <c r="CU17" s="1393">
        <v>0.0</v>
      </c>
      <c r="CV17" s="1393">
        <v>0.0</v>
      </c>
      <c r="CW17" s="1393">
        <v>1.3135451085775702E9</v>
      </c>
      <c r="CX17" s="1393">
        <v>0.0</v>
      </c>
      <c r="CY17" s="1393">
        <v>0.0</v>
      </c>
      <c r="CZ17" s="1393">
        <v>0.0</v>
      </c>
      <c r="DA17" s="1393">
        <v>7.686232478276871E7</v>
      </c>
      <c r="DB17" s="1393">
        <v>2.3275919413628364E8</v>
      </c>
      <c r="DC17" s="1393">
        <v>0.0</v>
      </c>
      <c r="DD17" s="1393">
        <v>0.0</v>
      </c>
      <c r="DE17" s="1393">
        <v>1.2922069964371698E9</v>
      </c>
      <c r="DF17" s="1393">
        <v>0.0</v>
      </c>
      <c r="DG17" s="1393">
        <v>0.0</v>
      </c>
      <c r="DH17" s="1393">
        <v>0.0</v>
      </c>
      <c r="DI17" s="1393">
        <v>7.560161875772986E7</v>
      </c>
      <c r="DJ17" s="1393">
        <v>2.364013021535905E8</v>
      </c>
      <c r="DK17" s="1393">
        <v>0.0</v>
      </c>
      <c r="DL17" s="1393">
        <v>0.0</v>
      </c>
      <c r="DM17" s="1393">
        <v>1.3122244704029238E9</v>
      </c>
      <c r="DN17" s="1393">
        <v>0.0</v>
      </c>
      <c r="DO17" s="1393">
        <v>0.0</v>
      </c>
      <c r="DP17" s="1393">
        <v>0.0</v>
      </c>
      <c r="DQ17" s="1393">
        <v>7.678459785688283E7</v>
      </c>
      <c r="DR17" s="1379">
        <f t="shared" si="7"/>
        <v>19434841580</v>
      </c>
    </row>
    <row r="18" hidden="1">
      <c r="A18" s="1387"/>
      <c r="B18" s="1394">
        <f t="shared" si="8"/>
        <v>4</v>
      </c>
      <c r="C18" s="1389" t="s">
        <v>1741</v>
      </c>
      <c r="D18" s="185" t="s">
        <v>186</v>
      </c>
      <c r="E18" s="185" t="s">
        <v>230</v>
      </c>
      <c r="F18" s="185" t="s">
        <v>1888</v>
      </c>
      <c r="G18" s="185" t="s">
        <v>86</v>
      </c>
      <c r="H18" s="185" t="s">
        <v>86</v>
      </c>
      <c r="I18" s="185" t="s">
        <v>103</v>
      </c>
      <c r="J18" s="185" t="s">
        <v>253</v>
      </c>
      <c r="K18" s="185" t="s">
        <v>254</v>
      </c>
      <c r="L18" s="1390">
        <v>4954955.0</v>
      </c>
      <c r="M18" s="1390">
        <v>4954955.0</v>
      </c>
      <c r="N18" s="1390">
        <v>4954955.0</v>
      </c>
      <c r="O18" s="1390">
        <v>4954955.0</v>
      </c>
      <c r="P18" s="1390">
        <v>4954955.0</v>
      </c>
      <c r="Q18" s="1390">
        <v>4954955.0</v>
      </c>
      <c r="R18" s="1390">
        <v>4954955.0</v>
      </c>
      <c r="S18" s="1390">
        <v>4954955.0</v>
      </c>
      <c r="T18" s="1390">
        <v>4954955.0</v>
      </c>
      <c r="U18" s="1390">
        <v>4954955.0</v>
      </c>
      <c r="V18" s="1390">
        <v>4954955.0</v>
      </c>
      <c r="W18" s="1390">
        <v>4954955.0</v>
      </c>
      <c r="X18" s="1391">
        <v>5.945946E7</v>
      </c>
      <c r="Y18" s="1392">
        <f t="shared" si="3"/>
        <v>0</v>
      </c>
      <c r="Z18" s="1393">
        <v>612341.0114865743</v>
      </c>
      <c r="AA18" s="1393">
        <v>0.0</v>
      </c>
      <c r="AB18" s="1393">
        <v>0.0</v>
      </c>
      <c r="AC18" s="1393">
        <v>3411976.269087515</v>
      </c>
      <c r="AD18" s="1393">
        <v>0.0</v>
      </c>
      <c r="AE18" s="1393">
        <v>0.0</v>
      </c>
      <c r="AF18" s="1393">
        <v>0.0</v>
      </c>
      <c r="AG18" s="1393">
        <v>198892.1291462495</v>
      </c>
      <c r="AH18" s="1393">
        <v>624666.3415646697</v>
      </c>
      <c r="AI18" s="1393">
        <v>0.0</v>
      </c>
      <c r="AJ18" s="1393">
        <v>0.0</v>
      </c>
      <c r="AK18" s="1393">
        <v>3471829.6285489737</v>
      </c>
      <c r="AL18" s="1393">
        <v>0.0</v>
      </c>
      <c r="AM18" s="1393">
        <v>0.0</v>
      </c>
      <c r="AN18" s="1393">
        <v>0.0</v>
      </c>
      <c r="AO18" s="1393">
        <v>202895.4722111072</v>
      </c>
      <c r="AP18" s="1393">
        <v>686433.4770306087</v>
      </c>
      <c r="AQ18" s="1393">
        <v>0.0</v>
      </c>
      <c r="AR18" s="1393">
        <v>0.0</v>
      </c>
      <c r="AS18" s="1393">
        <v>3809038.4095265926</v>
      </c>
      <c r="AT18" s="1393">
        <v>0.0</v>
      </c>
      <c r="AU18" s="1393">
        <v>0.0</v>
      </c>
      <c r="AV18" s="1393">
        <v>0.0</v>
      </c>
      <c r="AW18" s="1393">
        <v>222957.81795251239</v>
      </c>
      <c r="AX18" s="1393">
        <v>637933.0130358309</v>
      </c>
      <c r="AY18" s="1393">
        <v>0.0</v>
      </c>
      <c r="AZ18" s="1393">
        <v>0.0</v>
      </c>
      <c r="BA18" s="1393">
        <v>3542226.038808467</v>
      </c>
      <c r="BB18" s="1393">
        <v>0.0</v>
      </c>
      <c r="BC18" s="1393">
        <v>0.0</v>
      </c>
      <c r="BD18" s="1393">
        <v>0.0</v>
      </c>
      <c r="BE18" s="1393">
        <v>207204.56875386083</v>
      </c>
      <c r="BF18" s="1393">
        <v>631156.5863314533</v>
      </c>
      <c r="BG18" s="1393">
        <v>0.0</v>
      </c>
      <c r="BH18" s="1393">
        <v>0.0</v>
      </c>
      <c r="BI18" s="1393">
        <v>3504930.421589929</v>
      </c>
      <c r="BJ18" s="1393">
        <v>0.0</v>
      </c>
      <c r="BK18" s="1393">
        <v>0.0</v>
      </c>
      <c r="BL18" s="1393">
        <v>0.0</v>
      </c>
      <c r="BM18" s="1393">
        <v>205003.5436551741</v>
      </c>
      <c r="BN18" s="1393">
        <v>640610.5552809892</v>
      </c>
      <c r="BO18" s="1393">
        <v>0.0</v>
      </c>
      <c r="BP18" s="1393">
        <v>0.0</v>
      </c>
      <c r="BQ18" s="1393">
        <v>3556698.043803528</v>
      </c>
      <c r="BR18" s="1393">
        <v>0.0</v>
      </c>
      <c r="BS18" s="1393">
        <v>0.0</v>
      </c>
      <c r="BT18" s="1393">
        <v>0.0</v>
      </c>
      <c r="BU18" s="1393">
        <v>208074.25095385866</v>
      </c>
      <c r="BV18" s="1393">
        <v>670062.4997470648</v>
      </c>
      <c r="BW18" s="1393">
        <v>0.0</v>
      </c>
      <c r="BX18" s="1393">
        <v>0.0</v>
      </c>
      <c r="BY18" s="1393">
        <v>3718567.7375525427</v>
      </c>
      <c r="BZ18" s="1393">
        <v>0.0</v>
      </c>
      <c r="CA18" s="1393">
        <v>0.0</v>
      </c>
      <c r="CB18" s="1393">
        <v>0.0</v>
      </c>
      <c r="CC18" s="1393">
        <v>217640.42377663602</v>
      </c>
      <c r="CD18" s="1393">
        <v>674214.4041275578</v>
      </c>
      <c r="CE18" s="1393">
        <v>0.0</v>
      </c>
      <c r="CF18" s="1393">
        <v>0.0</v>
      </c>
      <c r="CG18" s="1393">
        <v>3741379.7991462573</v>
      </c>
      <c r="CH18" s="1393">
        <v>0.0</v>
      </c>
      <c r="CI18" s="1393">
        <v>0.0</v>
      </c>
      <c r="CJ18" s="1393">
        <v>0.0</v>
      </c>
      <c r="CK18" s="1393">
        <v>218988.98787206245</v>
      </c>
      <c r="CL18" s="1393">
        <v>652211.4760555534</v>
      </c>
      <c r="CM18" s="1393">
        <v>0.0</v>
      </c>
      <c r="CN18" s="1393">
        <v>0.0</v>
      </c>
      <c r="CO18" s="1393">
        <v>3620217.400982686</v>
      </c>
      <c r="CP18" s="1393">
        <v>0.0</v>
      </c>
      <c r="CQ18" s="1393">
        <v>0.0</v>
      </c>
      <c r="CR18" s="1393">
        <v>0.0</v>
      </c>
      <c r="CS18" s="1393">
        <v>211842.30141859656</v>
      </c>
      <c r="CT18" s="1393">
        <v>650761.6687228145</v>
      </c>
      <c r="CU18" s="1393">
        <v>0.0</v>
      </c>
      <c r="CV18" s="1393">
        <v>0.0</v>
      </c>
      <c r="CW18" s="1393">
        <v>3612249.0814269464</v>
      </c>
      <c r="CX18" s="1393">
        <v>0.0</v>
      </c>
      <c r="CY18" s="1393">
        <v>0.0</v>
      </c>
      <c r="CZ18" s="1393">
        <v>0.0</v>
      </c>
      <c r="DA18" s="1393">
        <v>211371.3950741721</v>
      </c>
      <c r="DB18" s="1393">
        <v>640087.7896937599</v>
      </c>
      <c r="DC18" s="1393">
        <v>0.0</v>
      </c>
      <c r="DD18" s="1393">
        <v>0.0</v>
      </c>
      <c r="DE18" s="1393">
        <v>3553569.2725073914</v>
      </c>
      <c r="DF18" s="1393">
        <v>0.0</v>
      </c>
      <c r="DG18" s="1393">
        <v>0.0</v>
      </c>
      <c r="DH18" s="1393">
        <v>0.0</v>
      </c>
      <c r="DI18" s="1393">
        <v>207904.45347379762</v>
      </c>
      <c r="DJ18" s="1393">
        <v>650103.5868324066</v>
      </c>
      <c r="DK18" s="1393">
        <v>0.0</v>
      </c>
      <c r="DL18" s="1393">
        <v>0.0</v>
      </c>
      <c r="DM18" s="1393">
        <v>3608617.3264136524</v>
      </c>
      <c r="DN18" s="1393">
        <v>0.0</v>
      </c>
      <c r="DO18" s="1393">
        <v>0.0</v>
      </c>
      <c r="DP18" s="1393">
        <v>0.0</v>
      </c>
      <c r="DQ18" s="1393">
        <v>211157.64602604276</v>
      </c>
      <c r="DR18" s="1379">
        <f t="shared" si="7"/>
        <v>53445814.83</v>
      </c>
    </row>
    <row r="19" hidden="1">
      <c r="A19" s="1387"/>
      <c r="B19" s="1394">
        <f t="shared" si="8"/>
        <v>5</v>
      </c>
      <c r="C19" s="1389" t="s">
        <v>278</v>
      </c>
      <c r="D19" s="185" t="s">
        <v>186</v>
      </c>
      <c r="E19" s="185" t="s">
        <v>230</v>
      </c>
      <c r="F19" s="185" t="s">
        <v>1888</v>
      </c>
      <c r="G19" s="185" t="s">
        <v>86</v>
      </c>
      <c r="H19" s="185" t="s">
        <v>86</v>
      </c>
      <c r="I19" s="185" t="s">
        <v>103</v>
      </c>
      <c r="J19" s="185" t="s">
        <v>253</v>
      </c>
      <c r="K19" s="185" t="s">
        <v>254</v>
      </c>
      <c r="L19" s="1390">
        <v>3603604.0</v>
      </c>
      <c r="M19" s="1390">
        <v>3603604.0</v>
      </c>
      <c r="N19" s="1390">
        <v>3603604.0</v>
      </c>
      <c r="O19" s="1390">
        <v>3603604.0</v>
      </c>
      <c r="P19" s="1390">
        <v>3603604.0</v>
      </c>
      <c r="Q19" s="1390">
        <v>3603604.0</v>
      </c>
      <c r="R19" s="1390">
        <v>3603604.0</v>
      </c>
      <c r="S19" s="1390">
        <v>3603604.0</v>
      </c>
      <c r="T19" s="1390">
        <v>3603604.0</v>
      </c>
      <c r="U19" s="1390">
        <v>3603604.0</v>
      </c>
      <c r="V19" s="1390">
        <v>3603604.0</v>
      </c>
      <c r="W19" s="1390">
        <v>3603604.0</v>
      </c>
      <c r="X19" s="1391">
        <v>4.3243248E7</v>
      </c>
      <c r="Y19" s="1392">
        <f t="shared" si="3"/>
        <v>0</v>
      </c>
      <c r="Z19" s="1393">
        <v>445338.96238352626</v>
      </c>
      <c r="AA19" s="1393">
        <v>0.0</v>
      </c>
      <c r="AB19" s="1393">
        <v>0.0</v>
      </c>
      <c r="AC19" s="1393">
        <v>2481437.5370086804</v>
      </c>
      <c r="AD19" s="1393">
        <v>0.0</v>
      </c>
      <c r="AE19" s="1393">
        <v>0.0</v>
      </c>
      <c r="AF19" s="1393">
        <v>0.0</v>
      </c>
      <c r="AG19" s="1393">
        <v>144648.83579365327</v>
      </c>
      <c r="AH19" s="1393">
        <v>454302.83970849594</v>
      </c>
      <c r="AI19" s="1393">
        <v>0.0</v>
      </c>
      <c r="AJ19" s="1393">
        <v>0.0</v>
      </c>
      <c r="AK19" s="1393">
        <v>2524967.257373194</v>
      </c>
      <c r="AL19" s="1393">
        <v>0.0</v>
      </c>
      <c r="AM19" s="1393">
        <v>0.0</v>
      </c>
      <c r="AN19" s="1393">
        <v>0.0</v>
      </c>
      <c r="AO19" s="1393">
        <v>147560.35831643976</v>
      </c>
      <c r="AP19" s="1393">
        <v>499224.3973076263</v>
      </c>
      <c r="AQ19" s="1393">
        <v>0.0</v>
      </c>
      <c r="AR19" s="1393">
        <v>0.0</v>
      </c>
      <c r="AS19" s="1393">
        <v>2770210.0319223218</v>
      </c>
      <c r="AT19" s="1393">
        <v>0.0</v>
      </c>
      <c r="AU19" s="1393">
        <v>0.0</v>
      </c>
      <c r="AV19" s="1393">
        <v>0.0</v>
      </c>
      <c r="AW19" s="1393">
        <v>162151.15669162394</v>
      </c>
      <c r="AX19" s="1393">
        <v>463951.32902477874</v>
      </c>
      <c r="AY19" s="1393">
        <v>0.0</v>
      </c>
      <c r="AZ19" s="1393">
        <v>0.0</v>
      </c>
      <c r="BA19" s="1393">
        <v>2576164.6518191076</v>
      </c>
      <c r="BB19" s="1393">
        <v>0.0</v>
      </c>
      <c r="BC19" s="1393">
        <v>0.0</v>
      </c>
      <c r="BD19" s="1393">
        <v>0.0</v>
      </c>
      <c r="BE19" s="1393">
        <v>150694.2470274075</v>
      </c>
      <c r="BF19" s="1393">
        <v>459023.01819701097</v>
      </c>
      <c r="BG19" s="1393">
        <v>0.0</v>
      </c>
      <c r="BH19" s="1393">
        <v>0.0</v>
      </c>
      <c r="BI19" s="1393">
        <v>2549040.5638321955</v>
      </c>
      <c r="BJ19" s="1393">
        <v>0.0</v>
      </c>
      <c r="BK19" s="1393">
        <v>0.0</v>
      </c>
      <c r="BL19" s="1393">
        <v>0.0</v>
      </c>
      <c r="BM19" s="1393">
        <v>149093.5013395601</v>
      </c>
      <c r="BN19" s="1393">
        <v>465898.63267230353</v>
      </c>
      <c r="BO19" s="1393">
        <v>0.0</v>
      </c>
      <c r="BP19" s="1393">
        <v>0.0</v>
      </c>
      <c r="BQ19" s="1393">
        <v>2586689.7474230477</v>
      </c>
      <c r="BR19" s="1393">
        <v>0.0</v>
      </c>
      <c r="BS19" s="1393">
        <v>0.0</v>
      </c>
      <c r="BT19" s="1393">
        <v>0.0</v>
      </c>
      <c r="BU19" s="1393">
        <v>151326.74323668506</v>
      </c>
      <c r="BV19" s="1393">
        <v>487318.2308090632</v>
      </c>
      <c r="BW19" s="1393">
        <v>0.0</v>
      </c>
      <c r="BX19" s="1393">
        <v>0.0</v>
      </c>
      <c r="BY19" s="1393">
        <v>2704413.172938057</v>
      </c>
      <c r="BZ19" s="1393">
        <v>0.0</v>
      </c>
      <c r="CA19" s="1393">
        <v>0.0</v>
      </c>
      <c r="CB19" s="1393">
        <v>0.0</v>
      </c>
      <c r="CC19" s="1393">
        <v>158283.960537115</v>
      </c>
      <c r="CD19" s="1393">
        <v>490337.79793594166</v>
      </c>
      <c r="CE19" s="1393">
        <v>0.0</v>
      </c>
      <c r="CF19" s="1393">
        <v>0.0</v>
      </c>
      <c r="CG19" s="1393">
        <v>2721003.7648621732</v>
      </c>
      <c r="CH19" s="1393">
        <v>0.0</v>
      </c>
      <c r="CI19" s="1393">
        <v>0.0</v>
      </c>
      <c r="CJ19" s="1393">
        <v>0.0</v>
      </c>
      <c r="CK19" s="1393">
        <v>159264.73452366688</v>
      </c>
      <c r="CL19" s="1393">
        <v>474335.66681426903</v>
      </c>
      <c r="CM19" s="1393">
        <v>0.0</v>
      </c>
      <c r="CN19" s="1393">
        <v>0.0</v>
      </c>
      <c r="CO19" s="1393">
        <v>2632885.6482149307</v>
      </c>
      <c r="CP19" s="1393">
        <v>0.0</v>
      </c>
      <c r="CQ19" s="1393">
        <v>0.0</v>
      </c>
      <c r="CR19" s="1393">
        <v>0.0</v>
      </c>
      <c r="CS19" s="1393">
        <v>154067.14385120757</v>
      </c>
      <c r="CT19" s="1393">
        <v>473281.2613749689</v>
      </c>
      <c r="CU19" s="1393">
        <v>0.0</v>
      </c>
      <c r="CV19" s="1393">
        <v>0.0</v>
      </c>
      <c r="CW19" s="1393">
        <v>2627090.5061350646</v>
      </c>
      <c r="CX19" s="1393">
        <v>0.0</v>
      </c>
      <c r="CY19" s="1393">
        <v>0.0</v>
      </c>
      <c r="CZ19" s="1393">
        <v>0.0</v>
      </c>
      <c r="DA19" s="1393">
        <v>153724.6664752489</v>
      </c>
      <c r="DB19" s="1393">
        <v>465518.43947959</v>
      </c>
      <c r="DC19" s="1393">
        <v>0.0</v>
      </c>
      <c r="DD19" s="1393">
        <v>0.0</v>
      </c>
      <c r="DE19" s="1393">
        <v>2584414.277159879</v>
      </c>
      <c r="DF19" s="1393">
        <v>0.0</v>
      </c>
      <c r="DG19" s="1393">
        <v>0.0</v>
      </c>
      <c r="DH19" s="1393">
        <v>0.0</v>
      </c>
      <c r="DI19" s="1393">
        <v>151203.25414781587</v>
      </c>
      <c r="DJ19" s="1393">
        <v>472802.65631546755</v>
      </c>
      <c r="DK19" s="1393">
        <v>0.0</v>
      </c>
      <c r="DL19" s="1393">
        <v>0.0</v>
      </c>
      <c r="DM19" s="1393">
        <v>2624449.229495231</v>
      </c>
      <c r="DN19" s="1393">
        <v>0.0</v>
      </c>
      <c r="DO19" s="1393">
        <v>0.0</v>
      </c>
      <c r="DP19" s="1393">
        <v>0.0</v>
      </c>
      <c r="DQ19" s="1393">
        <v>153569.2126063772</v>
      </c>
      <c r="DR19" s="1379">
        <f t="shared" si="7"/>
        <v>38869687.43</v>
      </c>
    </row>
    <row r="20" hidden="1">
      <c r="A20" s="1387"/>
      <c r="B20" s="1394">
        <f t="shared" si="8"/>
        <v>6</v>
      </c>
      <c r="C20" s="1389" t="s">
        <v>282</v>
      </c>
      <c r="D20" s="185" t="s">
        <v>186</v>
      </c>
      <c r="E20" s="185" t="s">
        <v>230</v>
      </c>
      <c r="F20" s="185" t="s">
        <v>1888</v>
      </c>
      <c r="G20" s="185" t="s">
        <v>86</v>
      </c>
      <c r="H20" s="185" t="s">
        <v>86</v>
      </c>
      <c r="I20" s="185" t="s">
        <v>103</v>
      </c>
      <c r="J20" s="185" t="s">
        <v>253</v>
      </c>
      <c r="K20" s="185" t="s">
        <v>254</v>
      </c>
      <c r="L20" s="1390">
        <v>3.2486124E7</v>
      </c>
      <c r="M20" s="1390">
        <v>3.2486124E7</v>
      </c>
      <c r="N20" s="1390">
        <v>3.2486124E7</v>
      </c>
      <c r="O20" s="1390">
        <v>3.2486124E7</v>
      </c>
      <c r="P20" s="1390">
        <v>3.2486124E7</v>
      </c>
      <c r="Q20" s="1390">
        <v>3.2486124E7</v>
      </c>
      <c r="R20" s="1390">
        <v>3.2486124E7</v>
      </c>
      <c r="S20" s="1390">
        <v>3.2486124E7</v>
      </c>
      <c r="T20" s="1390">
        <v>3.2486124E7</v>
      </c>
      <c r="U20" s="1390">
        <v>3.2486124E7</v>
      </c>
      <c r="V20" s="1390">
        <v>3.2486124E7</v>
      </c>
      <c r="W20" s="1390">
        <v>3.2486124E7</v>
      </c>
      <c r="X20" s="1391">
        <v>3.89833488E8</v>
      </c>
      <c r="Y20" s="1392">
        <f t="shared" si="3"/>
        <v>0</v>
      </c>
      <c r="Z20" s="1393">
        <v>4014685.507625857</v>
      </c>
      <c r="AA20" s="1393">
        <v>0.0</v>
      </c>
      <c r="AB20" s="1393">
        <v>0.0</v>
      </c>
      <c r="AC20" s="1393">
        <v>2.23699073276416E7</v>
      </c>
      <c r="AD20" s="1393">
        <v>0.0</v>
      </c>
      <c r="AE20" s="1393">
        <v>0.0</v>
      </c>
      <c r="AF20" s="1393">
        <v>0.0</v>
      </c>
      <c r="AG20" s="1393">
        <v>1303994.56101399</v>
      </c>
      <c r="AH20" s="1393">
        <v>4095493.9511451097</v>
      </c>
      <c r="AI20" s="1393">
        <v>0.0</v>
      </c>
      <c r="AJ20" s="1393">
        <v>0.0</v>
      </c>
      <c r="AK20" s="1393">
        <v>2.276232333490736E7</v>
      </c>
      <c r="AL20" s="1393">
        <v>0.0</v>
      </c>
      <c r="AM20" s="1393">
        <v>0.0</v>
      </c>
      <c r="AN20" s="1393">
        <v>0.0</v>
      </c>
      <c r="AO20" s="1393">
        <v>1330241.640799681</v>
      </c>
      <c r="AP20" s="1393">
        <v>4500457.229695831</v>
      </c>
      <c r="AQ20" s="1393">
        <v>0.0</v>
      </c>
      <c r="AR20" s="1393">
        <v>0.0</v>
      </c>
      <c r="AS20" s="1393">
        <v>2.4973162035304792E7</v>
      </c>
      <c r="AT20" s="1393">
        <v>0.0</v>
      </c>
      <c r="AU20" s="1393">
        <v>0.0</v>
      </c>
      <c r="AV20" s="1393">
        <v>0.0</v>
      </c>
      <c r="AW20" s="1393">
        <v>1461776.2059947555</v>
      </c>
      <c r="AX20" s="1393">
        <v>4182474.102222042</v>
      </c>
      <c r="AY20" s="1393">
        <v>0.0</v>
      </c>
      <c r="AZ20" s="1393">
        <v>0.0</v>
      </c>
      <c r="BA20" s="1393">
        <v>2.3223862645122036E7</v>
      </c>
      <c r="BB20" s="1393">
        <v>0.0</v>
      </c>
      <c r="BC20" s="1393">
        <v>0.0</v>
      </c>
      <c r="BD20" s="1393">
        <v>0.0</v>
      </c>
      <c r="BE20" s="1393">
        <v>1358493.329183504</v>
      </c>
      <c r="BF20" s="1393">
        <v>4138045.880735607</v>
      </c>
      <c r="BG20" s="1393">
        <v>0.0</v>
      </c>
      <c r="BH20" s="1393">
        <v>0.0</v>
      </c>
      <c r="BI20" s="1393">
        <v>2.2979341747229334E7</v>
      </c>
      <c r="BJ20" s="1393">
        <v>0.0</v>
      </c>
      <c r="BK20" s="1393">
        <v>0.0</v>
      </c>
      <c r="BL20" s="1393">
        <v>0.0</v>
      </c>
      <c r="BM20" s="1393">
        <v>1344062.76941393</v>
      </c>
      <c r="BN20" s="1393">
        <v>4200028.846794182</v>
      </c>
      <c r="BO20" s="1393">
        <v>0.0</v>
      </c>
      <c r="BP20" s="1393">
        <v>0.0</v>
      </c>
      <c r="BQ20" s="1393">
        <v>2.33187453128351E7</v>
      </c>
      <c r="BR20" s="1393">
        <v>0.0</v>
      </c>
      <c r="BS20" s="1393">
        <v>0.0</v>
      </c>
      <c r="BT20" s="1393">
        <v>0.0</v>
      </c>
      <c r="BU20" s="1393">
        <v>1364195.2182601397</v>
      </c>
      <c r="BV20" s="1393">
        <v>4393124.348159189</v>
      </c>
      <c r="BW20" s="1393">
        <v>0.0</v>
      </c>
      <c r="BX20" s="1393">
        <v>0.0</v>
      </c>
      <c r="BY20" s="1393">
        <v>2.438001003531442E7</v>
      </c>
      <c r="BZ20" s="1393">
        <v>0.0</v>
      </c>
      <c r="CA20" s="1393">
        <v>0.0</v>
      </c>
      <c r="CB20" s="1393">
        <v>0.0</v>
      </c>
      <c r="CC20" s="1393">
        <v>1426913.8254979805</v>
      </c>
      <c r="CD20" s="1393">
        <v>4420345.439075422</v>
      </c>
      <c r="CE20" s="1393">
        <v>0.0</v>
      </c>
      <c r="CF20" s="1393">
        <v>0.0</v>
      </c>
      <c r="CG20" s="1393">
        <v>2.45295725362108E7</v>
      </c>
      <c r="CH20" s="1393">
        <v>0.0</v>
      </c>
      <c r="CI20" s="1393">
        <v>0.0</v>
      </c>
      <c r="CJ20" s="1393">
        <v>0.0</v>
      </c>
      <c r="CK20" s="1393">
        <v>1435755.4033581167</v>
      </c>
      <c r="CL20" s="1393">
        <v>4276087.852536247</v>
      </c>
      <c r="CM20" s="1393">
        <v>0.0</v>
      </c>
      <c r="CN20" s="1393">
        <v>0.0</v>
      </c>
      <c r="CO20" s="1393">
        <v>2.3735196665818613E7</v>
      </c>
      <c r="CP20" s="1393">
        <v>0.0</v>
      </c>
      <c r="CQ20" s="1393">
        <v>0.0</v>
      </c>
      <c r="CR20" s="1393">
        <v>0.0</v>
      </c>
      <c r="CS20" s="1393">
        <v>1388899.6514256746</v>
      </c>
      <c r="CT20" s="1393">
        <v>4266582.494609188</v>
      </c>
      <c r="CU20" s="1393">
        <v>0.0</v>
      </c>
      <c r="CV20" s="1393">
        <v>0.0</v>
      </c>
      <c r="CW20" s="1393">
        <v>2.368295404864865E7</v>
      </c>
      <c r="CX20" s="1393">
        <v>0.0</v>
      </c>
      <c r="CY20" s="1393">
        <v>0.0</v>
      </c>
      <c r="CZ20" s="1393">
        <v>0.0</v>
      </c>
      <c r="DA20" s="1393">
        <v>1385812.25267082</v>
      </c>
      <c r="DB20" s="1393">
        <v>4196601.443782518</v>
      </c>
      <c r="DC20" s="1393">
        <v>0.0</v>
      </c>
      <c r="DD20" s="1393">
        <v>0.0</v>
      </c>
      <c r="DE20" s="1393">
        <v>2.3298232179558627E7</v>
      </c>
      <c r="DF20" s="1393">
        <v>0.0</v>
      </c>
      <c r="DG20" s="1393">
        <v>0.0</v>
      </c>
      <c r="DH20" s="1393">
        <v>0.0</v>
      </c>
      <c r="DI20" s="1393">
        <v>1363081.976668208</v>
      </c>
      <c r="DJ20" s="1393">
        <v>4262267.91861527</v>
      </c>
      <c r="DK20" s="1393">
        <v>0.0</v>
      </c>
      <c r="DL20" s="1393">
        <v>0.0</v>
      </c>
      <c r="DM20" s="1393">
        <v>2.365914320804576E7</v>
      </c>
      <c r="DN20" s="1393">
        <v>0.0</v>
      </c>
      <c r="DO20" s="1393">
        <v>0.0</v>
      </c>
      <c r="DP20" s="1393">
        <v>0.0</v>
      </c>
      <c r="DQ20" s="1393">
        <v>1384410.8518342008</v>
      </c>
      <c r="DR20" s="1379">
        <f t="shared" si="7"/>
        <v>350406283.8</v>
      </c>
    </row>
    <row r="21" hidden="1">
      <c r="A21" s="1387"/>
      <c r="B21" s="1394">
        <f t="shared" si="8"/>
        <v>7</v>
      </c>
      <c r="C21" s="1389" t="s">
        <v>287</v>
      </c>
      <c r="D21" s="185" t="s">
        <v>186</v>
      </c>
      <c r="E21" s="185" t="s">
        <v>230</v>
      </c>
      <c r="F21" s="185" t="s">
        <v>1888</v>
      </c>
      <c r="G21" s="185" t="s">
        <v>203</v>
      </c>
      <c r="H21" s="185" t="s">
        <v>135</v>
      </c>
      <c r="I21" s="185" t="s">
        <v>135</v>
      </c>
      <c r="J21" s="185" t="s">
        <v>1889</v>
      </c>
      <c r="K21" s="185" t="s">
        <v>188</v>
      </c>
      <c r="L21" s="1390">
        <v>3.19442525E8</v>
      </c>
      <c r="M21" s="1390">
        <v>3.19442525E8</v>
      </c>
      <c r="N21" s="1390">
        <v>3.19442525E8</v>
      </c>
      <c r="O21" s="1390">
        <v>3.19442525E8</v>
      </c>
      <c r="P21" s="1390">
        <v>3.19442525E8</v>
      </c>
      <c r="Q21" s="1390">
        <v>3.19442525E8</v>
      </c>
      <c r="R21" s="1390">
        <v>3.19442525E8</v>
      </c>
      <c r="S21" s="1390">
        <v>3.19442525E8</v>
      </c>
      <c r="T21" s="1390">
        <v>3.19442525E8</v>
      </c>
      <c r="U21" s="1390">
        <v>3.19442525E8</v>
      </c>
      <c r="V21" s="1390">
        <v>3.19442525E8</v>
      </c>
      <c r="W21" s="1390">
        <v>3.19442525E8</v>
      </c>
      <c r="X21" s="1391">
        <v>3.8333103E9</v>
      </c>
      <c r="Y21" s="1392">
        <f t="shared" si="3"/>
        <v>0</v>
      </c>
      <c r="Z21" s="1393">
        <v>5433116.606397093</v>
      </c>
      <c r="AA21" s="1393">
        <v>0.0</v>
      </c>
      <c r="AB21" s="1393">
        <v>0.0</v>
      </c>
      <c r="AC21" s="1393">
        <v>2.3241640392169374E8</v>
      </c>
      <c r="AD21" s="1393">
        <v>0.0</v>
      </c>
      <c r="AE21" s="1393">
        <v>0.0</v>
      </c>
      <c r="AF21" s="1393">
        <v>0.0</v>
      </c>
      <c r="AG21" s="1393">
        <v>2.399996635333742E7</v>
      </c>
      <c r="AH21" s="1393">
        <v>5368738.512123489</v>
      </c>
      <c r="AI21" s="1393">
        <v>0.0</v>
      </c>
      <c r="AJ21" s="1393">
        <v>0.0</v>
      </c>
      <c r="AK21" s="1393">
        <v>2.296139742216612E8</v>
      </c>
      <c r="AL21" s="1393">
        <v>0.0</v>
      </c>
      <c r="AM21" s="1393">
        <v>0.0</v>
      </c>
      <c r="AN21" s="1393">
        <v>0.0</v>
      </c>
      <c r="AO21" s="1393">
        <v>2.371558591235088E7</v>
      </c>
      <c r="AP21" s="1393">
        <v>6736919.124344546</v>
      </c>
      <c r="AQ21" s="1393">
        <v>0.0</v>
      </c>
      <c r="AR21" s="1393">
        <v>0.0</v>
      </c>
      <c r="AS21" s="1393">
        <v>2.8775307768662024E8</v>
      </c>
      <c r="AT21" s="1393">
        <v>0.0</v>
      </c>
      <c r="AU21" s="1393">
        <v>0.0</v>
      </c>
      <c r="AV21" s="1393">
        <v>0.0</v>
      </c>
      <c r="AW21" s="1393">
        <v>2.9759315697191443E7</v>
      </c>
      <c r="AX21" s="1393">
        <v>5603203.476293636</v>
      </c>
      <c r="AY21" s="1393">
        <v>0.0</v>
      </c>
      <c r="AZ21" s="1393">
        <v>0.0</v>
      </c>
      <c r="BA21" s="1393">
        <v>2.3957658189932013E8</v>
      </c>
      <c r="BB21" s="1393">
        <v>0.0</v>
      </c>
      <c r="BC21" s="1393">
        <v>0.0</v>
      </c>
      <c r="BD21" s="1393">
        <v>0.0</v>
      </c>
      <c r="BE21" s="1393">
        <v>2.475129923469968E7</v>
      </c>
      <c r="BF21" s="1393">
        <v>5354085.226668039</v>
      </c>
      <c r="BG21" s="1393">
        <v>0.0</v>
      </c>
      <c r="BH21" s="1393">
        <v>0.0</v>
      </c>
      <c r="BI21" s="1393">
        <v>2.2896507151083806E8</v>
      </c>
      <c r="BJ21" s="1393">
        <v>0.0</v>
      </c>
      <c r="BK21" s="1393">
        <v>0.0</v>
      </c>
      <c r="BL21" s="1393">
        <v>0.0</v>
      </c>
      <c r="BM21" s="1393">
        <v>2.365085725228816E7</v>
      </c>
      <c r="BN21" s="1393">
        <v>5598128.889868396</v>
      </c>
      <c r="BO21" s="1393">
        <v>0.0</v>
      </c>
      <c r="BP21" s="1393">
        <v>0.0</v>
      </c>
      <c r="BQ21" s="1393">
        <v>2.3934510093517983E8</v>
      </c>
      <c r="BR21" s="1393">
        <v>0.0</v>
      </c>
      <c r="BS21" s="1393">
        <v>0.0</v>
      </c>
      <c r="BT21" s="1393">
        <v>0.0</v>
      </c>
      <c r="BU21" s="1393">
        <v>2.4728883020897202E7</v>
      </c>
      <c r="BV21" s="1393">
        <v>5132467.234605894</v>
      </c>
      <c r="BW21" s="1393">
        <v>0.0</v>
      </c>
      <c r="BX21" s="1393">
        <v>0.0</v>
      </c>
      <c r="BY21" s="1393">
        <v>2.1927871286823773E8</v>
      </c>
      <c r="BZ21" s="1393">
        <v>0.0</v>
      </c>
      <c r="CA21" s="1393">
        <v>0.0</v>
      </c>
      <c r="CB21" s="1393">
        <v>0.0</v>
      </c>
      <c r="CC21" s="1393">
        <v>2.2671893475489557E7</v>
      </c>
      <c r="CD21" s="1393">
        <v>5021030.051575314</v>
      </c>
      <c r="CE21" s="1393">
        <v>0.0</v>
      </c>
      <c r="CF21" s="1393">
        <v>0.0</v>
      </c>
      <c r="CG21" s="1393">
        <v>2.1450263450631124E8</v>
      </c>
      <c r="CH21" s="1393">
        <v>0.0</v>
      </c>
      <c r="CI21" s="1393">
        <v>0.0</v>
      </c>
      <c r="CJ21" s="1393">
        <v>0.0</v>
      </c>
      <c r="CK21" s="1393">
        <v>2.2179636666553117E7</v>
      </c>
      <c r="CL21" s="1393">
        <v>6082233.889984179</v>
      </c>
      <c r="CM21" s="1393">
        <v>0.0</v>
      </c>
      <c r="CN21" s="1393">
        <v>0.0</v>
      </c>
      <c r="CO21" s="1393">
        <v>2.5995940635227972E8</v>
      </c>
      <c r="CP21" s="1393">
        <v>0.0</v>
      </c>
      <c r="CQ21" s="1393">
        <v>0.0</v>
      </c>
      <c r="CR21" s="1393">
        <v>0.0</v>
      </c>
      <c r="CS21" s="1393">
        <v>2.6867343237374295E7</v>
      </c>
      <c r="CT21" s="1393">
        <v>6148889.058849103</v>
      </c>
      <c r="CU21" s="1393">
        <v>0.0</v>
      </c>
      <c r="CV21" s="1393">
        <v>0.0</v>
      </c>
      <c r="CW21" s="1393">
        <v>2.628210986319164E8</v>
      </c>
      <c r="CX21" s="1393">
        <v>0.0</v>
      </c>
      <c r="CY21" s="1393">
        <v>0.0</v>
      </c>
      <c r="CZ21" s="1393">
        <v>0.0</v>
      </c>
      <c r="DA21" s="1393">
        <v>2.71617823090759E7</v>
      </c>
      <c r="DB21" s="1393">
        <v>5758950.4515423225</v>
      </c>
      <c r="DC21" s="1393">
        <v>0.0</v>
      </c>
      <c r="DD21" s="1393">
        <v>0.0</v>
      </c>
      <c r="DE21" s="1393">
        <v>2.4621705041835463E8</v>
      </c>
      <c r="DF21" s="1393">
        <v>0.0</v>
      </c>
      <c r="DG21" s="1393">
        <v>0.0</v>
      </c>
      <c r="DH21" s="1393">
        <v>0.0</v>
      </c>
      <c r="DI21" s="1393">
        <v>2.543928781223204E7</v>
      </c>
      <c r="DJ21" s="1393">
        <v>5688483.330023271</v>
      </c>
      <c r="DK21" s="1393">
        <v>0.0</v>
      </c>
      <c r="DL21" s="1393">
        <v>0.0</v>
      </c>
      <c r="DM21" s="1393">
        <v>2.4314606628478336E8</v>
      </c>
      <c r="DN21" s="1393">
        <v>0.0</v>
      </c>
      <c r="DO21" s="1393">
        <v>0.0</v>
      </c>
      <c r="DP21" s="1393">
        <v>0.0</v>
      </c>
      <c r="DQ21" s="1393">
        <v>2.512801001939349E7</v>
      </c>
      <c r="DR21" s="1379">
        <f t="shared" si="7"/>
        <v>3271575286</v>
      </c>
    </row>
    <row r="22" hidden="1">
      <c r="A22" s="1387"/>
      <c r="B22" s="1394">
        <f t="shared" si="8"/>
        <v>8</v>
      </c>
      <c r="C22" s="1389" t="s">
        <v>1742</v>
      </c>
      <c r="D22" s="185" t="s">
        <v>186</v>
      </c>
      <c r="E22" s="185" t="s">
        <v>230</v>
      </c>
      <c r="F22" s="185" t="s">
        <v>1888</v>
      </c>
      <c r="G22" s="185" t="s">
        <v>218</v>
      </c>
      <c r="H22" s="185" t="s">
        <v>88</v>
      </c>
      <c r="I22" s="185" t="s">
        <v>88</v>
      </c>
      <c r="J22" s="185" t="s">
        <v>1889</v>
      </c>
      <c r="K22" s="185" t="s">
        <v>188</v>
      </c>
      <c r="L22" s="1390">
        <v>2.374111525E9</v>
      </c>
      <c r="M22" s="1390">
        <v>2.374111525E9</v>
      </c>
      <c r="N22" s="1390">
        <v>2.374111525E9</v>
      </c>
      <c r="O22" s="1390">
        <v>2.374111525E9</v>
      </c>
      <c r="P22" s="1390">
        <v>2.374111525E9</v>
      </c>
      <c r="Q22" s="1390">
        <v>2.374111525E9</v>
      </c>
      <c r="R22" s="1390">
        <v>2.374111525E9</v>
      </c>
      <c r="S22" s="1390">
        <v>2.374111525E9</v>
      </c>
      <c r="T22" s="1390">
        <v>2.374111525E9</v>
      </c>
      <c r="U22" s="1390">
        <v>2.374111525E9</v>
      </c>
      <c r="V22" s="1390">
        <v>2.374111525E9</v>
      </c>
      <c r="W22" s="1390">
        <v>2.374111525E9</v>
      </c>
      <c r="X22" s="1391">
        <v>2.84893383E10</v>
      </c>
      <c r="Y22" s="1392">
        <f t="shared" si="3"/>
        <v>0</v>
      </c>
      <c r="Z22" s="1393">
        <v>4.271507913878722E7</v>
      </c>
      <c r="AA22" s="1393">
        <v>0.0</v>
      </c>
      <c r="AB22" s="1393">
        <v>0.0</v>
      </c>
      <c r="AC22" s="1393">
        <v>1.8722969942132475E9</v>
      </c>
      <c r="AD22" s="1393">
        <v>0.0</v>
      </c>
      <c r="AE22" s="1393">
        <v>0.0</v>
      </c>
      <c r="AF22" s="1393">
        <v>0.0</v>
      </c>
      <c r="AG22" s="1393">
        <v>2.8710483540548027E8</v>
      </c>
      <c r="AH22" s="1393">
        <v>4.271507913878722E7</v>
      </c>
      <c r="AI22" s="1393">
        <v>0.0</v>
      </c>
      <c r="AJ22" s="1393">
        <v>0.0</v>
      </c>
      <c r="AK22" s="1393">
        <v>1.8722969942132475E9</v>
      </c>
      <c r="AL22" s="1393">
        <v>0.0</v>
      </c>
      <c r="AM22" s="1393">
        <v>0.0</v>
      </c>
      <c r="AN22" s="1393">
        <v>0.0</v>
      </c>
      <c r="AO22" s="1393">
        <v>2.8710483540548027E8</v>
      </c>
      <c r="AP22" s="1393">
        <v>4.271507913878722E7</v>
      </c>
      <c r="AQ22" s="1393">
        <v>0.0</v>
      </c>
      <c r="AR22" s="1393">
        <v>0.0</v>
      </c>
      <c r="AS22" s="1393">
        <v>1.8722969942132475E9</v>
      </c>
      <c r="AT22" s="1393">
        <v>0.0</v>
      </c>
      <c r="AU22" s="1393">
        <v>0.0</v>
      </c>
      <c r="AV22" s="1393">
        <v>0.0</v>
      </c>
      <c r="AW22" s="1393">
        <v>2.8710483540548027E8</v>
      </c>
      <c r="AX22" s="1393">
        <v>4.271507913878722E7</v>
      </c>
      <c r="AY22" s="1393">
        <v>0.0</v>
      </c>
      <c r="AZ22" s="1393">
        <v>0.0</v>
      </c>
      <c r="BA22" s="1393">
        <v>1.8722969942132475E9</v>
      </c>
      <c r="BB22" s="1393">
        <v>0.0</v>
      </c>
      <c r="BC22" s="1393">
        <v>0.0</v>
      </c>
      <c r="BD22" s="1393">
        <v>0.0</v>
      </c>
      <c r="BE22" s="1393">
        <v>2.8710483540548027E8</v>
      </c>
      <c r="BF22" s="1393">
        <v>4.271507913878722E7</v>
      </c>
      <c r="BG22" s="1393">
        <v>0.0</v>
      </c>
      <c r="BH22" s="1393">
        <v>0.0</v>
      </c>
      <c r="BI22" s="1393">
        <v>1.8722969942132475E9</v>
      </c>
      <c r="BJ22" s="1393">
        <v>0.0</v>
      </c>
      <c r="BK22" s="1393">
        <v>0.0</v>
      </c>
      <c r="BL22" s="1393">
        <v>0.0</v>
      </c>
      <c r="BM22" s="1393">
        <v>2.8710483540548027E8</v>
      </c>
      <c r="BN22" s="1393">
        <v>4.271507913878722E7</v>
      </c>
      <c r="BO22" s="1393">
        <v>0.0</v>
      </c>
      <c r="BP22" s="1393">
        <v>0.0</v>
      </c>
      <c r="BQ22" s="1393">
        <v>1.8722969942132475E9</v>
      </c>
      <c r="BR22" s="1393">
        <v>0.0</v>
      </c>
      <c r="BS22" s="1393">
        <v>0.0</v>
      </c>
      <c r="BT22" s="1393">
        <v>0.0</v>
      </c>
      <c r="BU22" s="1393">
        <v>2.8710483540548027E8</v>
      </c>
      <c r="BV22" s="1393">
        <v>4.271507913878722E7</v>
      </c>
      <c r="BW22" s="1393">
        <v>0.0</v>
      </c>
      <c r="BX22" s="1393">
        <v>0.0</v>
      </c>
      <c r="BY22" s="1393">
        <v>1.8722969942132475E9</v>
      </c>
      <c r="BZ22" s="1393">
        <v>0.0</v>
      </c>
      <c r="CA22" s="1393">
        <v>0.0</v>
      </c>
      <c r="CB22" s="1393">
        <v>0.0</v>
      </c>
      <c r="CC22" s="1393">
        <v>2.8710483540548027E8</v>
      </c>
      <c r="CD22" s="1393">
        <v>4.271507913878722E7</v>
      </c>
      <c r="CE22" s="1393">
        <v>0.0</v>
      </c>
      <c r="CF22" s="1393">
        <v>0.0</v>
      </c>
      <c r="CG22" s="1393">
        <v>1.8722969942132475E9</v>
      </c>
      <c r="CH22" s="1393">
        <v>0.0</v>
      </c>
      <c r="CI22" s="1393">
        <v>0.0</v>
      </c>
      <c r="CJ22" s="1393">
        <v>0.0</v>
      </c>
      <c r="CK22" s="1393">
        <v>2.8710483540548027E8</v>
      </c>
      <c r="CL22" s="1393">
        <v>4.271507913878722E7</v>
      </c>
      <c r="CM22" s="1393">
        <v>0.0</v>
      </c>
      <c r="CN22" s="1393">
        <v>0.0</v>
      </c>
      <c r="CO22" s="1393">
        <v>1.8722969942132475E9</v>
      </c>
      <c r="CP22" s="1393">
        <v>0.0</v>
      </c>
      <c r="CQ22" s="1393">
        <v>0.0</v>
      </c>
      <c r="CR22" s="1393">
        <v>0.0</v>
      </c>
      <c r="CS22" s="1393">
        <v>2.8710483540548027E8</v>
      </c>
      <c r="CT22" s="1393">
        <v>4.271507913878722E7</v>
      </c>
      <c r="CU22" s="1393">
        <v>0.0</v>
      </c>
      <c r="CV22" s="1393">
        <v>0.0</v>
      </c>
      <c r="CW22" s="1393">
        <v>1.8722969942132475E9</v>
      </c>
      <c r="CX22" s="1393">
        <v>0.0</v>
      </c>
      <c r="CY22" s="1393">
        <v>0.0</v>
      </c>
      <c r="CZ22" s="1393">
        <v>0.0</v>
      </c>
      <c r="DA22" s="1393">
        <v>2.8710483540548027E8</v>
      </c>
      <c r="DB22" s="1393">
        <v>4.271507913878722E7</v>
      </c>
      <c r="DC22" s="1393">
        <v>0.0</v>
      </c>
      <c r="DD22" s="1393">
        <v>0.0</v>
      </c>
      <c r="DE22" s="1393">
        <v>1.8722969942132475E9</v>
      </c>
      <c r="DF22" s="1393">
        <v>0.0</v>
      </c>
      <c r="DG22" s="1393">
        <v>0.0</v>
      </c>
      <c r="DH22" s="1393">
        <v>0.0</v>
      </c>
      <c r="DI22" s="1393">
        <v>2.8710483540548027E8</v>
      </c>
      <c r="DJ22" s="1393">
        <v>4.271507913878722E7</v>
      </c>
      <c r="DK22" s="1393">
        <v>0.0</v>
      </c>
      <c r="DL22" s="1393">
        <v>0.0</v>
      </c>
      <c r="DM22" s="1393">
        <v>1.8722969942132475E9</v>
      </c>
      <c r="DN22" s="1393">
        <v>0.0</v>
      </c>
      <c r="DO22" s="1393">
        <v>0.0</v>
      </c>
      <c r="DP22" s="1393">
        <v>0.0</v>
      </c>
      <c r="DQ22" s="1393">
        <v>2.8710483540548027E8</v>
      </c>
      <c r="DR22" s="1379">
        <f t="shared" si="7"/>
        <v>26425402905</v>
      </c>
    </row>
    <row r="23" hidden="1">
      <c r="A23" s="1387"/>
      <c r="B23" s="1394">
        <f t="shared" si="8"/>
        <v>9</v>
      </c>
      <c r="C23" s="1389" t="s">
        <v>304</v>
      </c>
      <c r="D23" s="185" t="s">
        <v>186</v>
      </c>
      <c r="E23" s="185" t="s">
        <v>230</v>
      </c>
      <c r="F23" s="185" t="s">
        <v>1888</v>
      </c>
      <c r="G23" s="185" t="s">
        <v>306</v>
      </c>
      <c r="H23" s="185" t="s">
        <v>92</v>
      </c>
      <c r="I23" s="185" t="s">
        <v>305</v>
      </c>
      <c r="J23" s="185" t="s">
        <v>1889</v>
      </c>
      <c r="K23" s="185" t="s">
        <v>188</v>
      </c>
      <c r="L23" s="1390">
        <v>4.700833333333332E7</v>
      </c>
      <c r="M23" s="1390">
        <v>4.700833333333332E7</v>
      </c>
      <c r="N23" s="1390">
        <v>4.700833333333332E7</v>
      </c>
      <c r="O23" s="1390">
        <v>4.700833333333332E7</v>
      </c>
      <c r="P23" s="1390">
        <v>4.700833333333332E7</v>
      </c>
      <c r="Q23" s="1390">
        <v>4.700833333333332E7</v>
      </c>
      <c r="R23" s="1390">
        <v>4.700833333333332E7</v>
      </c>
      <c r="S23" s="1390">
        <v>4.700833333333332E7</v>
      </c>
      <c r="T23" s="1390">
        <v>4.700833333333332E7</v>
      </c>
      <c r="U23" s="1390">
        <v>4.700833333333332E7</v>
      </c>
      <c r="V23" s="1390">
        <v>4.700833333333332E7</v>
      </c>
      <c r="W23" s="1390">
        <v>4.700833333333332E7</v>
      </c>
      <c r="X23" s="1391">
        <v>5.640999999999999E8</v>
      </c>
      <c r="Y23" s="1392">
        <f t="shared" si="3"/>
        <v>0</v>
      </c>
      <c r="Z23" s="1393">
        <v>2.975329470469065E7</v>
      </c>
      <c r="AA23" s="1393">
        <v>0.0</v>
      </c>
      <c r="AB23" s="1393">
        <v>0.0</v>
      </c>
      <c r="AC23" s="1393">
        <v>6567053.281528916</v>
      </c>
      <c r="AD23" s="1393">
        <v>0.0</v>
      </c>
      <c r="AE23" s="1393">
        <v>0.0</v>
      </c>
      <c r="AF23" s="1393">
        <v>0.0</v>
      </c>
      <c r="AG23" s="1393">
        <v>2180845.094080111</v>
      </c>
      <c r="AH23" s="1393">
        <v>2.9442959082719088E7</v>
      </c>
      <c r="AI23" s="1393">
        <v>0.0</v>
      </c>
      <c r="AJ23" s="1393">
        <v>0.0</v>
      </c>
      <c r="AK23" s="1393">
        <v>6511419.73022474</v>
      </c>
      <c r="AL23" s="1393">
        <v>0.0</v>
      </c>
      <c r="AM23" s="1393">
        <v>0.0</v>
      </c>
      <c r="AN23" s="1393">
        <v>0.0</v>
      </c>
      <c r="AO23" s="1393">
        <v>2155634.7475683684</v>
      </c>
      <c r="AP23" s="1393">
        <v>3.3525853881655328E7</v>
      </c>
      <c r="AQ23" s="1393">
        <v>0.0</v>
      </c>
      <c r="AR23" s="1393">
        <v>0.0</v>
      </c>
      <c r="AS23" s="1393">
        <v>7243356.128061099</v>
      </c>
      <c r="AT23" s="1393">
        <v>0.0</v>
      </c>
      <c r="AU23" s="1393">
        <v>0.0</v>
      </c>
      <c r="AV23" s="1393">
        <v>0.0</v>
      </c>
      <c r="AW23" s="1393">
        <v>2487311.7622734755</v>
      </c>
      <c r="AX23" s="1393">
        <v>3.006421741252594E7</v>
      </c>
      <c r="AY23" s="1393">
        <v>0.0</v>
      </c>
      <c r="AZ23" s="1393">
        <v>0.0</v>
      </c>
      <c r="BA23" s="1393">
        <v>6622792.079118748</v>
      </c>
      <c r="BB23" s="1393">
        <v>0.0</v>
      </c>
      <c r="BC23" s="1393">
        <v>0.0</v>
      </c>
      <c r="BD23" s="1393">
        <v>0.0</v>
      </c>
      <c r="BE23" s="1393">
        <v>2206103.1329513798</v>
      </c>
      <c r="BF23" s="1393">
        <v>2.9634762186158355E7</v>
      </c>
      <c r="BG23" s="1393">
        <v>0.0</v>
      </c>
      <c r="BH23" s="1393">
        <v>0.0</v>
      </c>
      <c r="BI23" s="1393">
        <v>6533295.872645244</v>
      </c>
      <c r="BJ23" s="1393">
        <v>0.0</v>
      </c>
      <c r="BK23" s="1393">
        <v>0.0</v>
      </c>
      <c r="BL23" s="1393">
        <v>0.0</v>
      </c>
      <c r="BM23" s="1393">
        <v>2173611.603977111</v>
      </c>
      <c r="BN23" s="1393">
        <v>3.3376608623480342E7</v>
      </c>
      <c r="BO23" s="1393">
        <v>0.0</v>
      </c>
      <c r="BP23" s="1393">
        <v>0.0</v>
      </c>
      <c r="BQ23" s="1393">
        <v>5123063.181702251</v>
      </c>
      <c r="BR23" s="1393">
        <v>0.0</v>
      </c>
      <c r="BS23" s="1393">
        <v>0.0</v>
      </c>
      <c r="BT23" s="1393">
        <v>0.0</v>
      </c>
      <c r="BU23" s="1393">
        <v>1715912.8060158263</v>
      </c>
      <c r="BV23" s="1393">
        <v>3.2422269864305504E7</v>
      </c>
      <c r="BW23" s="1393">
        <v>0.0</v>
      </c>
      <c r="BX23" s="1393">
        <v>0.0</v>
      </c>
      <c r="BY23" s="1393">
        <v>7031732.350194534</v>
      </c>
      <c r="BZ23" s="1393">
        <v>0.0</v>
      </c>
      <c r="CA23" s="1393">
        <v>0.0</v>
      </c>
      <c r="CB23" s="1393">
        <v>0.0</v>
      </c>
      <c r="CC23" s="1393">
        <v>2400301.485283537</v>
      </c>
      <c r="CD23" s="1393">
        <v>3.273793669647769E7</v>
      </c>
      <c r="CE23" s="1393">
        <v>0.0</v>
      </c>
      <c r="CF23" s="1393">
        <v>0.0</v>
      </c>
      <c r="CG23" s="1393">
        <v>7083170.297669911</v>
      </c>
      <c r="CH23" s="1393">
        <v>0.0</v>
      </c>
      <c r="CI23" s="1393">
        <v>0.0</v>
      </c>
      <c r="CJ23" s="1393">
        <v>0.0</v>
      </c>
      <c r="CK23" s="1393">
        <v>2426931.505043721</v>
      </c>
      <c r="CL23" s="1393">
        <v>3.114923887823483E7</v>
      </c>
      <c r="CM23" s="1393">
        <v>0.0</v>
      </c>
      <c r="CN23" s="1393">
        <v>0.0</v>
      </c>
      <c r="CO23" s="1393">
        <v>6793203.508615625</v>
      </c>
      <c r="CP23" s="1393">
        <v>0.0</v>
      </c>
      <c r="CQ23" s="1393">
        <v>0.0</v>
      </c>
      <c r="CR23" s="1393">
        <v>0.0</v>
      </c>
      <c r="CS23" s="1393">
        <v>2298861.186534006</v>
      </c>
      <c r="CT23" s="1393">
        <v>3.104464848001628E7</v>
      </c>
      <c r="CU23" s="1393">
        <v>0.0</v>
      </c>
      <c r="CV23" s="1393">
        <v>0.0</v>
      </c>
      <c r="CW23" s="1393">
        <v>6774453.694307331</v>
      </c>
      <c r="CX23" s="1393">
        <v>0.0</v>
      </c>
      <c r="CY23" s="1393">
        <v>0.0</v>
      </c>
      <c r="CZ23" s="1393">
        <v>0.0</v>
      </c>
      <c r="DA23" s="1393">
        <v>2290364.7072573393</v>
      </c>
      <c r="DB23" s="1393">
        <v>3.027246131807673E7</v>
      </c>
      <c r="DC23" s="1393">
        <v>0.0</v>
      </c>
      <c r="DD23" s="1393">
        <v>0.0</v>
      </c>
      <c r="DE23" s="1393">
        <v>6636024.4871887015</v>
      </c>
      <c r="DF23" s="1393">
        <v>0.0</v>
      </c>
      <c r="DG23" s="1393">
        <v>0.0</v>
      </c>
      <c r="DH23" s="1393">
        <v>0.0</v>
      </c>
      <c r="DI23" s="1393">
        <v>2227635.505238117</v>
      </c>
      <c r="DJ23" s="1393">
        <v>3.3897792326587215E7</v>
      </c>
      <c r="DK23" s="1393">
        <v>0.0</v>
      </c>
      <c r="DL23" s="1393">
        <v>0.0</v>
      </c>
      <c r="DM23" s="1393">
        <v>5222111.804783659</v>
      </c>
      <c r="DN23" s="1393">
        <v>0.0</v>
      </c>
      <c r="DO23" s="1393">
        <v>0.0</v>
      </c>
      <c r="DP23" s="1393">
        <v>0.0</v>
      </c>
      <c r="DQ23" s="1393">
        <v>1764750.3085426716</v>
      </c>
      <c r="DR23" s="1379">
        <f t="shared" si="7"/>
        <v>481791983.7</v>
      </c>
    </row>
    <row r="24" hidden="1">
      <c r="A24" s="1387"/>
      <c r="B24" s="1394">
        <f t="shared" si="8"/>
        <v>10</v>
      </c>
      <c r="C24" s="1389" t="s">
        <v>311</v>
      </c>
      <c r="D24" s="185" t="s">
        <v>186</v>
      </c>
      <c r="E24" s="185" t="s">
        <v>230</v>
      </c>
      <c r="F24" s="185" t="s">
        <v>1888</v>
      </c>
      <c r="G24" s="185" t="s">
        <v>306</v>
      </c>
      <c r="H24" s="185" t="s">
        <v>92</v>
      </c>
      <c r="I24" s="185" t="s">
        <v>305</v>
      </c>
      <c r="J24" s="185" t="s">
        <v>1889</v>
      </c>
      <c r="K24" s="185" t="s">
        <v>188</v>
      </c>
      <c r="L24" s="1390">
        <v>2.4646044128800008E8</v>
      </c>
      <c r="M24" s="1390">
        <v>2.4646044128800008E8</v>
      </c>
      <c r="N24" s="1390">
        <v>2.4646044128800008E8</v>
      </c>
      <c r="O24" s="1390">
        <v>2.4646044128800008E8</v>
      </c>
      <c r="P24" s="1390">
        <v>2.4646044128800008E8</v>
      </c>
      <c r="Q24" s="1390">
        <v>2.4646044128800008E8</v>
      </c>
      <c r="R24" s="1390">
        <v>2.4646044128800008E8</v>
      </c>
      <c r="S24" s="1390">
        <v>2.4646044128800008E8</v>
      </c>
      <c r="T24" s="1390">
        <v>2.4646044128800008E8</v>
      </c>
      <c r="U24" s="1390">
        <v>2.4646044128800008E8</v>
      </c>
      <c r="V24" s="1390">
        <v>2.4646044128800008E8</v>
      </c>
      <c r="W24" s="1390">
        <v>2.4646044128800008E8</v>
      </c>
      <c r="X24" s="1391">
        <v>2.957525295456001E9</v>
      </c>
      <c r="Y24" s="1392">
        <f t="shared" si="3"/>
        <v>0</v>
      </c>
      <c r="Z24" s="1393">
        <v>1.559938339164682E8</v>
      </c>
      <c r="AA24" s="1393">
        <v>0.0</v>
      </c>
      <c r="AB24" s="1393">
        <v>0.0</v>
      </c>
      <c r="AC24" s="1393">
        <v>3.4430466578140594E7</v>
      </c>
      <c r="AD24" s="1393">
        <v>0.0</v>
      </c>
      <c r="AE24" s="1393">
        <v>0.0</v>
      </c>
      <c r="AF24" s="1393">
        <v>0.0</v>
      </c>
      <c r="AG24" s="1393">
        <v>1.1433973641576055E7</v>
      </c>
      <c r="AH24" s="1393">
        <v>1.5436677231026012E8</v>
      </c>
      <c r="AI24" s="1393">
        <v>0.0</v>
      </c>
      <c r="AJ24" s="1393">
        <v>0.0</v>
      </c>
      <c r="AK24" s="1393">
        <v>3.41387848989026E7</v>
      </c>
      <c r="AL24" s="1393">
        <v>0.0</v>
      </c>
      <c r="AM24" s="1393">
        <v>0.0</v>
      </c>
      <c r="AN24" s="1393">
        <v>0.0</v>
      </c>
      <c r="AO24" s="1393">
        <v>1.1301798074272934E7</v>
      </c>
      <c r="AP24" s="1393">
        <v>1.75773020575709E8</v>
      </c>
      <c r="AQ24" s="1393">
        <v>0.0</v>
      </c>
      <c r="AR24" s="1393">
        <v>0.0</v>
      </c>
      <c r="AS24" s="1393">
        <v>3.797626125285754E7</v>
      </c>
      <c r="AT24" s="1393">
        <v>0.0</v>
      </c>
      <c r="AU24" s="1393">
        <v>0.0</v>
      </c>
      <c r="AV24" s="1393">
        <v>0.0</v>
      </c>
      <c r="AW24" s="1393">
        <v>1.304075067294637E7</v>
      </c>
      <c r="AX24" s="1393">
        <v>1.5762397356077692E8</v>
      </c>
      <c r="AY24" s="1393">
        <v>0.0</v>
      </c>
      <c r="AZ24" s="1393">
        <v>0.0</v>
      </c>
      <c r="BA24" s="1393">
        <v>3.4722700054138176E7</v>
      </c>
      <c r="BB24" s="1393">
        <v>0.0</v>
      </c>
      <c r="BC24" s="1393">
        <v>0.0</v>
      </c>
      <c r="BD24" s="1393">
        <v>0.0</v>
      </c>
      <c r="BE24" s="1393">
        <v>1.1566399255607944E7</v>
      </c>
      <c r="BF24" s="1393">
        <v>1.5537237863922414E8</v>
      </c>
      <c r="BG24" s="1393">
        <v>0.0</v>
      </c>
      <c r="BH24" s="1393">
        <v>0.0</v>
      </c>
      <c r="BI24" s="1393">
        <v>3.425347953562596E7</v>
      </c>
      <c r="BJ24" s="1393">
        <v>0.0</v>
      </c>
      <c r="BK24" s="1393">
        <v>0.0</v>
      </c>
      <c r="BL24" s="1393">
        <v>0.0</v>
      </c>
      <c r="BM24" s="1393">
        <v>1.1396049107000533E7</v>
      </c>
      <c r="BN24" s="1393">
        <v>1.7499054118148917E8</v>
      </c>
      <c r="BO24" s="1393">
        <v>0.0</v>
      </c>
      <c r="BP24" s="1393">
        <v>0.0</v>
      </c>
      <c r="BQ24" s="1393">
        <v>2.6859757046806794E7</v>
      </c>
      <c r="BR24" s="1393">
        <v>0.0</v>
      </c>
      <c r="BS24" s="1393">
        <v>0.0</v>
      </c>
      <c r="BT24" s="1393">
        <v>0.0</v>
      </c>
      <c r="BU24" s="1393">
        <v>8996375.693296744</v>
      </c>
      <c r="BV24" s="1393">
        <v>1.699870293561148E8</v>
      </c>
      <c r="BW24" s="1393">
        <v>0.0</v>
      </c>
      <c r="BX24" s="1393">
        <v>0.0</v>
      </c>
      <c r="BY24" s="1393">
        <v>3.686673692000818E7</v>
      </c>
      <c r="BZ24" s="1393">
        <v>0.0</v>
      </c>
      <c r="CA24" s="1393">
        <v>0.0</v>
      </c>
      <c r="CB24" s="1393">
        <v>0.0</v>
      </c>
      <c r="CC24" s="1393">
        <v>1.2584563657944817E7</v>
      </c>
      <c r="CD24" s="1393">
        <v>1.716420420153697E8</v>
      </c>
      <c r="CE24" s="1393">
        <v>0.0</v>
      </c>
      <c r="CF24" s="1393">
        <v>0.0</v>
      </c>
      <c r="CG24" s="1393">
        <v>3.713642142772803E7</v>
      </c>
      <c r="CH24" s="1393">
        <v>0.0</v>
      </c>
      <c r="CI24" s="1393">
        <v>0.0</v>
      </c>
      <c r="CJ24" s="1393">
        <v>0.0</v>
      </c>
      <c r="CK24" s="1393">
        <v>1.2724182443726128E7</v>
      </c>
      <c r="CL24" s="1393">
        <v>1.633126430004982E8</v>
      </c>
      <c r="CM24" s="1393">
        <v>0.0</v>
      </c>
      <c r="CN24" s="1393">
        <v>0.0</v>
      </c>
      <c r="CO24" s="1393">
        <v>3.561615177080513E7</v>
      </c>
      <c r="CP24" s="1393">
        <v>0.0</v>
      </c>
      <c r="CQ24" s="1393">
        <v>0.0</v>
      </c>
      <c r="CR24" s="1393">
        <v>0.0</v>
      </c>
      <c r="CS24" s="1393">
        <v>1.205272134358504E7</v>
      </c>
      <c r="CT24" s="1393">
        <v>1.6276428499944666E8</v>
      </c>
      <c r="CU24" s="1393">
        <v>0.0</v>
      </c>
      <c r="CV24" s="1393">
        <v>0.0</v>
      </c>
      <c r="CW24" s="1393">
        <v>3.551784818969915E7</v>
      </c>
      <c r="CX24" s="1393">
        <v>0.0</v>
      </c>
      <c r="CY24" s="1393">
        <v>0.0</v>
      </c>
      <c r="CZ24" s="1393">
        <v>0.0</v>
      </c>
      <c r="DA24" s="1393">
        <v>1.2008175070968375E7</v>
      </c>
      <c r="DB24" s="1393">
        <v>1.5871577752867445E8</v>
      </c>
      <c r="DC24" s="1393">
        <v>0.0</v>
      </c>
      <c r="DD24" s="1393">
        <v>0.0</v>
      </c>
      <c r="DE24" s="1393">
        <v>3.479207637320693E7</v>
      </c>
      <c r="DF24" s="1393">
        <v>0.0</v>
      </c>
      <c r="DG24" s="1393">
        <v>0.0</v>
      </c>
      <c r="DH24" s="1393">
        <v>0.0</v>
      </c>
      <c r="DI24" s="1393">
        <v>1.1679291536602804E7</v>
      </c>
      <c r="DJ24" s="1393">
        <v>1.777230602127212E8</v>
      </c>
      <c r="DK24" s="1393">
        <v>0.0</v>
      </c>
      <c r="DL24" s="1393">
        <v>0.0</v>
      </c>
      <c r="DM24" s="1393">
        <v>2.737906002188808E7</v>
      </c>
      <c r="DN24" s="1393">
        <v>0.0</v>
      </c>
      <c r="DO24" s="1393">
        <v>0.0</v>
      </c>
      <c r="DP24" s="1393">
        <v>0.0</v>
      </c>
      <c r="DQ24" s="1393">
        <v>9252426.303277317</v>
      </c>
      <c r="DR24" s="1379">
        <f t="shared" si="7"/>
        <v>2525991808</v>
      </c>
    </row>
    <row r="25" hidden="1">
      <c r="A25" s="1387"/>
      <c r="B25" s="1394">
        <f t="shared" si="8"/>
        <v>11</v>
      </c>
      <c r="C25" s="1389" t="s">
        <v>315</v>
      </c>
      <c r="D25" s="185" t="s">
        <v>186</v>
      </c>
      <c r="E25" s="185" t="s">
        <v>230</v>
      </c>
      <c r="F25" s="185" t="s">
        <v>1888</v>
      </c>
      <c r="G25" s="185" t="s">
        <v>306</v>
      </c>
      <c r="H25" s="185" t="s">
        <v>92</v>
      </c>
      <c r="I25" s="185" t="s">
        <v>305</v>
      </c>
      <c r="J25" s="185" t="s">
        <v>1889</v>
      </c>
      <c r="K25" s="185" t="s">
        <v>188</v>
      </c>
      <c r="L25" s="1390">
        <v>3.2182660152E8</v>
      </c>
      <c r="M25" s="1390">
        <v>3.2182660152E8</v>
      </c>
      <c r="N25" s="1390">
        <v>3.2182660152E8</v>
      </c>
      <c r="O25" s="1390">
        <v>3.2182660152E8</v>
      </c>
      <c r="P25" s="1390">
        <v>3.2182660152E8</v>
      </c>
      <c r="Q25" s="1390">
        <v>3.2182660152E8</v>
      </c>
      <c r="R25" s="1390">
        <v>3.2182660152E8</v>
      </c>
      <c r="S25" s="1390">
        <v>3.2182660152E8</v>
      </c>
      <c r="T25" s="1390">
        <v>3.2182660152E8</v>
      </c>
      <c r="U25" s="1390">
        <v>3.2182660152E8</v>
      </c>
      <c r="V25" s="1390">
        <v>3.2182660152E8</v>
      </c>
      <c r="W25" s="1390">
        <v>3.2182660152E8</v>
      </c>
      <c r="X25" s="1391">
        <v>3.86191921824E9</v>
      </c>
      <c r="Y25" s="1392">
        <f t="shared" si="3"/>
        <v>0</v>
      </c>
      <c r="Z25" s="1393">
        <v>2.0369583518171117E8</v>
      </c>
      <c r="AA25" s="1393">
        <v>0.0</v>
      </c>
      <c r="AB25" s="1393">
        <v>0.0</v>
      </c>
      <c r="AC25" s="1393">
        <v>4.495910171094235E7</v>
      </c>
      <c r="AD25" s="1393">
        <v>0.0</v>
      </c>
      <c r="AE25" s="1393">
        <v>0.0</v>
      </c>
      <c r="AF25" s="1393">
        <v>0.0</v>
      </c>
      <c r="AG25" s="1393">
        <v>1.4930415849729488E7</v>
      </c>
      <c r="AH25" s="1393">
        <v>2.0157122766071054E8</v>
      </c>
      <c r="AI25" s="1393">
        <v>0.0</v>
      </c>
      <c r="AJ25" s="1393">
        <v>0.0</v>
      </c>
      <c r="AK25" s="1393">
        <v>4.457822548162036E7</v>
      </c>
      <c r="AL25" s="1393">
        <v>0.0</v>
      </c>
      <c r="AM25" s="1393">
        <v>0.0</v>
      </c>
      <c r="AN25" s="1393">
        <v>0.0</v>
      </c>
      <c r="AO25" s="1393">
        <v>1.4757821767665688E7</v>
      </c>
      <c r="AP25" s="1393">
        <v>2.2952338133924985E8</v>
      </c>
      <c r="AQ25" s="1393">
        <v>0.0</v>
      </c>
      <c r="AR25" s="1393">
        <v>0.0</v>
      </c>
      <c r="AS25" s="1393">
        <v>4.958917964104882E7</v>
      </c>
      <c r="AT25" s="1393">
        <v>0.0</v>
      </c>
      <c r="AU25" s="1393">
        <v>0.0</v>
      </c>
      <c r="AV25" s="1393">
        <v>0.0</v>
      </c>
      <c r="AW25" s="1393">
        <v>1.702853589164747E7</v>
      </c>
      <c r="AX25" s="1393">
        <v>2.058244619868456E8</v>
      </c>
      <c r="AY25" s="1393">
        <v>0.0</v>
      </c>
      <c r="AZ25" s="1393">
        <v>0.0</v>
      </c>
      <c r="BA25" s="1393">
        <v>4.5340698473242946E7</v>
      </c>
      <c r="BB25" s="1393">
        <v>0.0</v>
      </c>
      <c r="BC25" s="1393">
        <v>0.0</v>
      </c>
      <c r="BD25" s="1393">
        <v>0.0</v>
      </c>
      <c r="BE25" s="1393">
        <v>1.5103336441348005E7</v>
      </c>
      <c r="BF25" s="1393">
        <v>2.028843425185198E8</v>
      </c>
      <c r="BG25" s="1393">
        <v>0.0</v>
      </c>
      <c r="BH25" s="1393">
        <v>0.0</v>
      </c>
      <c r="BI25" s="1393">
        <v>4.472799306686181E7</v>
      </c>
      <c r="BJ25" s="1393">
        <v>0.0</v>
      </c>
      <c r="BK25" s="1393">
        <v>0.0</v>
      </c>
      <c r="BL25" s="1393">
        <v>0.0</v>
      </c>
      <c r="BM25" s="1393">
        <v>1.4880894214480907E7</v>
      </c>
      <c r="BN25" s="1393">
        <v>2.285016243267039E8</v>
      </c>
      <c r="BO25" s="1393">
        <v>0.0</v>
      </c>
      <c r="BP25" s="1393">
        <v>0.0</v>
      </c>
      <c r="BQ25" s="1393">
        <v>3.507331352184663E7</v>
      </c>
      <c r="BR25" s="1393">
        <v>0.0</v>
      </c>
      <c r="BS25" s="1393">
        <v>0.0</v>
      </c>
      <c r="BT25" s="1393">
        <v>0.0</v>
      </c>
      <c r="BU25" s="1393">
        <v>1.1747414717916409E7</v>
      </c>
      <c r="BV25" s="1393">
        <v>2.2196806787435746E8</v>
      </c>
      <c r="BW25" s="1393">
        <v>0.0</v>
      </c>
      <c r="BX25" s="1393">
        <v>0.0</v>
      </c>
      <c r="BY25" s="1393">
        <v>4.8140369262074456E7</v>
      </c>
      <c r="BZ25" s="1393">
        <v>0.0</v>
      </c>
      <c r="CA25" s="1393">
        <v>0.0</v>
      </c>
      <c r="CB25" s="1393">
        <v>0.0</v>
      </c>
      <c r="CC25" s="1393">
        <v>1.6432849557855893E7</v>
      </c>
      <c r="CD25" s="1393">
        <v>2.2412917371680865E8</v>
      </c>
      <c r="CE25" s="1393">
        <v>0.0</v>
      </c>
      <c r="CF25" s="1393">
        <v>0.0</v>
      </c>
      <c r="CG25" s="1393">
        <v>4.849252171359365E7</v>
      </c>
      <c r="CH25" s="1393">
        <v>0.0</v>
      </c>
      <c r="CI25" s="1393">
        <v>0.0</v>
      </c>
      <c r="CJ25" s="1393">
        <v>0.0</v>
      </c>
      <c r="CK25" s="1393">
        <v>1.6615162951037891E7</v>
      </c>
      <c r="CL25" s="1393">
        <v>2.1325269324127582E8</v>
      </c>
      <c r="CM25" s="1393">
        <v>0.0</v>
      </c>
      <c r="CN25" s="1393">
        <v>0.0</v>
      </c>
      <c r="CO25" s="1393">
        <v>4.650736249483795E7</v>
      </c>
      <c r="CP25" s="1393">
        <v>0.0</v>
      </c>
      <c r="CQ25" s="1393">
        <v>0.0</v>
      </c>
      <c r="CR25" s="1393">
        <v>0.0</v>
      </c>
      <c r="CS25" s="1393">
        <v>1.5738372977028348E7</v>
      </c>
      <c r="CT25" s="1393">
        <v>2.1253665057344458E8</v>
      </c>
      <c r="CU25" s="1393">
        <v>0.0</v>
      </c>
      <c r="CV25" s="1393">
        <v>0.0</v>
      </c>
      <c r="CW25" s="1393">
        <v>4.637899825407278E7</v>
      </c>
      <c r="CX25" s="1393">
        <v>0.0</v>
      </c>
      <c r="CY25" s="1393">
        <v>0.0</v>
      </c>
      <c r="CZ25" s="1393">
        <v>0.0</v>
      </c>
      <c r="DA25" s="1393">
        <v>1.5680204715007536E7</v>
      </c>
      <c r="DB25" s="1393">
        <v>2.0725013321699616E8</v>
      </c>
      <c r="DC25" s="1393">
        <v>0.0</v>
      </c>
      <c r="DD25" s="1393">
        <v>0.0</v>
      </c>
      <c r="DE25" s="1393">
        <v>4.54312896645724E7</v>
      </c>
      <c r="DF25" s="1393">
        <v>0.0</v>
      </c>
      <c r="DG25" s="1393">
        <v>0.0</v>
      </c>
      <c r="DH25" s="1393">
        <v>0.0</v>
      </c>
      <c r="DI25" s="1393">
        <v>1.5250750521029707E7</v>
      </c>
      <c r="DJ25" s="1393">
        <v>2.320697316822471E8</v>
      </c>
      <c r="DK25" s="1393">
        <v>0.0</v>
      </c>
      <c r="DL25" s="1393">
        <v>0.0</v>
      </c>
      <c r="DM25" s="1393">
        <v>3.575141630684628E7</v>
      </c>
      <c r="DN25" s="1393">
        <v>0.0</v>
      </c>
      <c r="DO25" s="1393">
        <v>0.0</v>
      </c>
      <c r="DP25" s="1393">
        <v>0.0</v>
      </c>
      <c r="DQ25" s="1393">
        <v>1.2081764105576873E7</v>
      </c>
      <c r="DR25" s="1379">
        <f t="shared" si="7"/>
        <v>3298425317</v>
      </c>
    </row>
    <row r="26" hidden="1">
      <c r="A26" s="1387"/>
      <c r="B26" s="1394">
        <f t="shared" si="8"/>
        <v>12</v>
      </c>
      <c r="C26" s="1389" t="s">
        <v>1892</v>
      </c>
      <c r="D26" s="185" t="s">
        <v>186</v>
      </c>
      <c r="E26" s="185" t="s">
        <v>230</v>
      </c>
      <c r="F26" s="185" t="s">
        <v>1888</v>
      </c>
      <c r="G26" s="185" t="s">
        <v>306</v>
      </c>
      <c r="H26" s="185" t="s">
        <v>92</v>
      </c>
      <c r="I26" s="185" t="s">
        <v>305</v>
      </c>
      <c r="J26" s="185" t="s">
        <v>1889</v>
      </c>
      <c r="K26" s="185" t="s">
        <v>188</v>
      </c>
      <c r="L26" s="1390">
        <v>3.04833333E8</v>
      </c>
      <c r="M26" s="1390">
        <v>3.04833333E8</v>
      </c>
      <c r="N26" s="1390">
        <v>3.04833333E8</v>
      </c>
      <c r="O26" s="1390">
        <v>3.04833333E8</v>
      </c>
      <c r="P26" s="1390">
        <v>3.04833333E8</v>
      </c>
      <c r="Q26" s="1390">
        <v>3.04833333E8</v>
      </c>
      <c r="R26" s="1390">
        <v>3.04833333E8</v>
      </c>
      <c r="S26" s="1390">
        <v>3.04833333E8</v>
      </c>
      <c r="T26" s="1390">
        <v>3.04833333E8</v>
      </c>
      <c r="U26" s="1390">
        <v>3.04833333E8</v>
      </c>
      <c r="V26" s="1390">
        <v>3.04833333E8</v>
      </c>
      <c r="W26" s="1390">
        <v>3.04833333E8</v>
      </c>
      <c r="X26" s="1391">
        <v>3.657999996E9</v>
      </c>
      <c r="Y26" s="1392">
        <f t="shared" si="3"/>
        <v>0</v>
      </c>
      <c r="Z26" s="1393">
        <v>1.9294017356983736E8</v>
      </c>
      <c r="AA26" s="1393">
        <v>0.0</v>
      </c>
      <c r="AB26" s="1393">
        <v>0.0</v>
      </c>
      <c r="AC26" s="1393">
        <v>4.258514603361916E7</v>
      </c>
      <c r="AD26" s="1393">
        <v>0.0</v>
      </c>
      <c r="AE26" s="1393">
        <v>0.0</v>
      </c>
      <c r="AF26" s="1393">
        <v>0.0</v>
      </c>
      <c r="AG26" s="1393">
        <v>1.4142051667118719E7</v>
      </c>
      <c r="AH26" s="1393">
        <v>1.90927750765493E8</v>
      </c>
      <c r="AI26" s="1393">
        <v>0.0</v>
      </c>
      <c r="AJ26" s="1393">
        <v>0.0</v>
      </c>
      <c r="AK26" s="1393">
        <v>4.2224381044347495E7</v>
      </c>
      <c r="AL26" s="1393">
        <v>0.0</v>
      </c>
      <c r="AM26" s="1393">
        <v>0.0</v>
      </c>
      <c r="AN26" s="1393">
        <v>0.0</v>
      </c>
      <c r="AO26" s="1393">
        <v>1.3978570994473593E7</v>
      </c>
      <c r="AP26" s="1393">
        <v>2.1740395916502714E8</v>
      </c>
      <c r="AQ26" s="1393">
        <v>0.0</v>
      </c>
      <c r="AR26" s="1393">
        <v>0.0</v>
      </c>
      <c r="AS26" s="1393">
        <v>4.697074399481312E7</v>
      </c>
      <c r="AT26" s="1393">
        <v>0.0</v>
      </c>
      <c r="AU26" s="1393">
        <v>0.0</v>
      </c>
      <c r="AV26" s="1393">
        <v>0.0</v>
      </c>
      <c r="AW26" s="1393">
        <v>1.612938559909081E7</v>
      </c>
      <c r="AX26" s="1393">
        <v>1.9495640342982283E8</v>
      </c>
      <c r="AY26" s="1393">
        <v>0.0</v>
      </c>
      <c r="AZ26" s="1393">
        <v>0.0</v>
      </c>
      <c r="BA26" s="1393">
        <v>4.294659350988339E7</v>
      </c>
      <c r="BB26" s="1393">
        <v>0.0</v>
      </c>
      <c r="BC26" s="1393">
        <v>0.0</v>
      </c>
      <c r="BD26" s="1393">
        <v>0.0</v>
      </c>
      <c r="BE26" s="1393">
        <v>1.430584160877812E7</v>
      </c>
      <c r="BF26" s="1393">
        <v>1.9217152979689458E8</v>
      </c>
      <c r="BG26" s="1393">
        <v>0.0</v>
      </c>
      <c r="BH26" s="1393">
        <v>0.0</v>
      </c>
      <c r="BI26" s="1393">
        <v>4.236624051764426E7</v>
      </c>
      <c r="BJ26" s="1393">
        <v>0.0</v>
      </c>
      <c r="BK26" s="1393">
        <v>0.0</v>
      </c>
      <c r="BL26" s="1393">
        <v>0.0</v>
      </c>
      <c r="BM26" s="1393">
        <v>1.409514490099952E7</v>
      </c>
      <c r="BN26" s="1393">
        <v>2.1643615353870714E8</v>
      </c>
      <c r="BO26" s="1393">
        <v>0.0</v>
      </c>
      <c r="BP26" s="1393">
        <v>0.0</v>
      </c>
      <c r="BQ26" s="1393">
        <v>3.3221352771094814E7</v>
      </c>
      <c r="BR26" s="1393">
        <v>0.0</v>
      </c>
      <c r="BS26" s="1393">
        <v>0.0</v>
      </c>
      <c r="BT26" s="1393">
        <v>0.0</v>
      </c>
      <c r="BU26" s="1393">
        <v>1.112712114437554E7</v>
      </c>
      <c r="BV26" s="1393">
        <v>2.102475855946472E8</v>
      </c>
      <c r="BW26" s="1393">
        <v>0.0</v>
      </c>
      <c r="BX26" s="1393">
        <v>0.0</v>
      </c>
      <c r="BY26" s="1393">
        <v>4.5598434513179734E7</v>
      </c>
      <c r="BZ26" s="1393">
        <v>0.0</v>
      </c>
      <c r="CA26" s="1393">
        <v>0.0</v>
      </c>
      <c r="CB26" s="1393">
        <v>0.0</v>
      </c>
      <c r="CC26" s="1393">
        <v>1.5565153028835267E7</v>
      </c>
      <c r="CD26" s="1393">
        <v>2.122945795156243E8</v>
      </c>
      <c r="CE26" s="1393">
        <v>0.0</v>
      </c>
      <c r="CF26" s="1393">
        <v>0.0</v>
      </c>
      <c r="CG26" s="1393">
        <v>4.5931992413656905E7</v>
      </c>
      <c r="CH26" s="1393">
        <v>0.0</v>
      </c>
      <c r="CI26" s="1393">
        <v>0.0</v>
      </c>
      <c r="CJ26" s="1393">
        <v>0.0</v>
      </c>
      <c r="CK26" s="1393">
        <v>1.5737839808087584E7</v>
      </c>
      <c r="CL26" s="1393">
        <v>2.019924050558165E8</v>
      </c>
      <c r="CM26" s="1393">
        <v>0.0</v>
      </c>
      <c r="CN26" s="1393">
        <v>0.0</v>
      </c>
      <c r="CO26" s="1393">
        <v>4.405165468417506E7</v>
      </c>
      <c r="CP26" s="1393">
        <v>0.0</v>
      </c>
      <c r="CQ26" s="1393">
        <v>0.0</v>
      </c>
      <c r="CR26" s="1393">
        <v>0.0</v>
      </c>
      <c r="CS26" s="1393">
        <v>1.490734658951596E7</v>
      </c>
      <c r="CT26" s="1393">
        <v>2.013141712741021E8</v>
      </c>
      <c r="CU26" s="1393">
        <v>0.0</v>
      </c>
      <c r="CV26" s="1393">
        <v>0.0</v>
      </c>
      <c r="CW26" s="1393">
        <v>4.393006840396811E7</v>
      </c>
      <c r="CX26" s="1393">
        <v>0.0</v>
      </c>
      <c r="CY26" s="1393">
        <v>0.0</v>
      </c>
      <c r="CZ26" s="1393">
        <v>0.0</v>
      </c>
      <c r="DA26" s="1393">
        <v>1.4852249760655716E7</v>
      </c>
      <c r="DB26" s="1393">
        <v>1.9630679556893253E8</v>
      </c>
      <c r="DC26" s="1393">
        <v>0.0</v>
      </c>
      <c r="DD26" s="1393">
        <v>0.0</v>
      </c>
      <c r="DE26" s="1393">
        <v>4.3032401254373655E7</v>
      </c>
      <c r="DF26" s="1393">
        <v>0.0</v>
      </c>
      <c r="DG26" s="1393">
        <v>0.0</v>
      </c>
      <c r="DH26" s="1393">
        <v>0.0</v>
      </c>
      <c r="DI26" s="1393">
        <v>1.4445471847634269E7</v>
      </c>
      <c r="DJ26" s="1393">
        <v>2.1981585569059545E8</v>
      </c>
      <c r="DK26" s="1393">
        <v>0.0</v>
      </c>
      <c r="DL26" s="1393">
        <v>0.0</v>
      </c>
      <c r="DM26" s="1393">
        <v>3.386364999292711E7</v>
      </c>
      <c r="DN26" s="1393">
        <v>0.0</v>
      </c>
      <c r="DO26" s="1393">
        <v>0.0</v>
      </c>
      <c r="DP26" s="1393">
        <v>0.0</v>
      </c>
      <c r="DQ26" s="1393">
        <v>1.1443816028346203E7</v>
      </c>
      <c r="DR26" s="1379">
        <f t="shared" si="7"/>
        <v>3124260015</v>
      </c>
    </row>
    <row r="27" hidden="1">
      <c r="A27" s="1387"/>
      <c r="B27" s="1394">
        <f t="shared" si="8"/>
        <v>13</v>
      </c>
      <c r="C27" s="1389" t="s">
        <v>1893</v>
      </c>
      <c r="D27" s="185" t="s">
        <v>186</v>
      </c>
      <c r="E27" s="185" t="s">
        <v>230</v>
      </c>
      <c r="F27" s="185" t="s">
        <v>1888</v>
      </c>
      <c r="G27" s="185" t="s">
        <v>306</v>
      </c>
      <c r="H27" s="185" t="s">
        <v>92</v>
      </c>
      <c r="I27" s="185" t="s">
        <v>305</v>
      </c>
      <c r="J27" s="185" t="s">
        <v>1889</v>
      </c>
      <c r="K27" s="185" t="s">
        <v>188</v>
      </c>
      <c r="L27" s="1390">
        <v>4.41416667E8</v>
      </c>
      <c r="M27" s="1390">
        <v>4.41416667E8</v>
      </c>
      <c r="N27" s="1390">
        <v>4.41416667E8</v>
      </c>
      <c r="O27" s="1390">
        <v>4.41416667E8</v>
      </c>
      <c r="P27" s="1390">
        <v>4.41416667E8</v>
      </c>
      <c r="Q27" s="1390">
        <v>4.41416667E8</v>
      </c>
      <c r="R27" s="1390">
        <v>4.41416667E8</v>
      </c>
      <c r="S27" s="1390">
        <v>4.41416667E8</v>
      </c>
      <c r="T27" s="1390">
        <v>4.41416667E8</v>
      </c>
      <c r="U27" s="1390">
        <v>4.41416667E8</v>
      </c>
      <c r="V27" s="1390">
        <v>4.41416667E8</v>
      </c>
      <c r="W27" s="1390">
        <v>4.41416667E8</v>
      </c>
      <c r="X27" s="1391">
        <v>5.297000004E9</v>
      </c>
      <c r="Y27" s="1392">
        <f t="shared" si="3"/>
        <v>0</v>
      </c>
      <c r="Z27" s="1393">
        <v>2.793887647044134E8</v>
      </c>
      <c r="AA27" s="1393">
        <v>0.0</v>
      </c>
      <c r="AB27" s="1393">
        <v>0.0</v>
      </c>
      <c r="AC27" s="1393">
        <v>6.166580616650751E7</v>
      </c>
      <c r="AD27" s="1393">
        <v>0.0</v>
      </c>
      <c r="AE27" s="1393">
        <v>0.0</v>
      </c>
      <c r="AF27" s="1393">
        <v>0.0</v>
      </c>
      <c r="AG27" s="1393">
        <v>2.0478525921052534E7</v>
      </c>
      <c r="AH27" s="1393">
        <v>2.7647465764746475E8</v>
      </c>
      <c r="AI27" s="1393">
        <v>0.0</v>
      </c>
      <c r="AJ27" s="1393">
        <v>0.0</v>
      </c>
      <c r="AK27" s="1393">
        <v>6.114339715838704E7</v>
      </c>
      <c r="AL27" s="1393">
        <v>0.0</v>
      </c>
      <c r="AM27" s="1393">
        <v>0.0</v>
      </c>
      <c r="AN27" s="1393">
        <v>0.0</v>
      </c>
      <c r="AO27" s="1393">
        <v>2.0241796253310032E7</v>
      </c>
      <c r="AP27" s="1393">
        <v>3.148137708655057E8</v>
      </c>
      <c r="AQ27" s="1393">
        <v>0.0</v>
      </c>
      <c r="AR27" s="1393">
        <v>0.0</v>
      </c>
      <c r="AS27" s="1393">
        <v>6.801641098974131E7</v>
      </c>
      <c r="AT27" s="1393">
        <v>0.0</v>
      </c>
      <c r="AU27" s="1393">
        <v>0.0</v>
      </c>
      <c r="AV27" s="1393">
        <v>0.0</v>
      </c>
      <c r="AW27" s="1393">
        <v>2.335630280927468E7</v>
      </c>
      <c r="AX27" s="1393">
        <v>2.8230838460274214E8</v>
      </c>
      <c r="AY27" s="1393">
        <v>0.0</v>
      </c>
      <c r="AZ27" s="1393">
        <v>0.0</v>
      </c>
      <c r="BA27" s="1393">
        <v>6.2189203456094995E7</v>
      </c>
      <c r="BB27" s="1393">
        <v>0.0</v>
      </c>
      <c r="BC27" s="1393">
        <v>0.0</v>
      </c>
      <c r="BD27" s="1393">
        <v>0.0</v>
      </c>
      <c r="BE27" s="1393">
        <v>2.0715703428590454E7</v>
      </c>
      <c r="BF27" s="1393">
        <v>2.782757231317495E8</v>
      </c>
      <c r="BG27" s="1393">
        <v>0.0</v>
      </c>
      <c r="BH27" s="1393">
        <v>0.0</v>
      </c>
      <c r="BI27" s="1393">
        <v>6.134881805271238E7</v>
      </c>
      <c r="BJ27" s="1393">
        <v>0.0</v>
      </c>
      <c r="BK27" s="1393">
        <v>0.0</v>
      </c>
      <c r="BL27" s="1393">
        <v>0.0</v>
      </c>
      <c r="BM27" s="1393">
        <v>2.041060215380466E7</v>
      </c>
      <c r="BN27" s="1393">
        <v>3.134123311683777E8</v>
      </c>
      <c r="BO27" s="1393">
        <v>0.0</v>
      </c>
      <c r="BP27" s="1393">
        <v>0.0</v>
      </c>
      <c r="BQ27" s="1393">
        <v>4.810648057785691E7</v>
      </c>
      <c r="BR27" s="1393">
        <v>0.0</v>
      </c>
      <c r="BS27" s="1393">
        <v>0.0</v>
      </c>
      <c r="BT27" s="1393">
        <v>0.0</v>
      </c>
      <c r="BU27" s="1393">
        <v>1.6112728488440854E7</v>
      </c>
      <c r="BV27" s="1393">
        <v>3.044509193421652E8</v>
      </c>
      <c r="BW27" s="1393">
        <v>0.0</v>
      </c>
      <c r="BX27" s="1393">
        <v>0.0</v>
      </c>
      <c r="BY27" s="1393">
        <v>6.602922582362593E7</v>
      </c>
      <c r="BZ27" s="1393">
        <v>0.0</v>
      </c>
      <c r="CA27" s="1393">
        <v>0.0</v>
      </c>
      <c r="CB27" s="1393">
        <v>0.0</v>
      </c>
      <c r="CC27" s="1393">
        <v>2.253926072885677E7</v>
      </c>
      <c r="CD27" s="1393">
        <v>3.074150874174687E8</v>
      </c>
      <c r="CE27" s="1393">
        <v>0.0</v>
      </c>
      <c r="CF27" s="1393">
        <v>0.0</v>
      </c>
      <c r="CG27" s="1393">
        <v>6.651223736055702E7</v>
      </c>
      <c r="CH27" s="1393">
        <v>0.0</v>
      </c>
      <c r="CI27" s="1393">
        <v>0.0</v>
      </c>
      <c r="CJ27" s="1393">
        <v>0.0</v>
      </c>
      <c r="CK27" s="1393">
        <v>2.2789321382599395E7</v>
      </c>
      <c r="CL27" s="1393">
        <v>2.92496930442487E8</v>
      </c>
      <c r="CM27" s="1393">
        <v>0.0</v>
      </c>
      <c r="CN27" s="1393">
        <v>0.0</v>
      </c>
      <c r="CO27" s="1393">
        <v>6.378939729180959E7</v>
      </c>
      <c r="CP27" s="1393">
        <v>0.0</v>
      </c>
      <c r="CQ27" s="1393">
        <v>0.0</v>
      </c>
      <c r="CR27" s="1393">
        <v>0.0</v>
      </c>
      <c r="CS27" s="1393">
        <v>2.1586718160372417E7</v>
      </c>
      <c r="CT27" s="1393">
        <v>2.915148078759526E8</v>
      </c>
      <c r="CU27" s="1393">
        <v>0.0</v>
      </c>
      <c r="CV27" s="1393">
        <v>0.0</v>
      </c>
      <c r="CW27" s="1393">
        <v>6.361333317823747E7</v>
      </c>
      <c r="CX27" s="1393">
        <v>0.0</v>
      </c>
      <c r="CY27" s="1393">
        <v>0.0</v>
      </c>
      <c r="CZ27" s="1393">
        <v>0.0</v>
      </c>
      <c r="DA27" s="1393">
        <v>2.150693469864135E7</v>
      </c>
      <c r="DB27" s="1393">
        <v>2.8426383216263485E8</v>
      </c>
      <c r="DC27" s="1393">
        <v>0.0</v>
      </c>
      <c r="DD27" s="1393">
        <v>0.0</v>
      </c>
      <c r="DE27" s="1393">
        <v>6.231345813717898E7</v>
      </c>
      <c r="DF27" s="1393">
        <v>0.0</v>
      </c>
      <c r="DG27" s="1393">
        <v>0.0</v>
      </c>
      <c r="DH27" s="1393">
        <v>0.0</v>
      </c>
      <c r="DI27" s="1393">
        <v>2.0917896259806506E7</v>
      </c>
      <c r="DJ27" s="1393">
        <v>3.1830633946024406E8</v>
      </c>
      <c r="DK27" s="1393">
        <v>0.0</v>
      </c>
      <c r="DL27" s="1393">
        <v>0.0</v>
      </c>
      <c r="DM27" s="1393">
        <v>4.903656488358003E7</v>
      </c>
      <c r="DN27" s="1393">
        <v>0.0</v>
      </c>
      <c r="DO27" s="1393">
        <v>0.0</v>
      </c>
      <c r="DP27" s="1393">
        <v>0.0</v>
      </c>
      <c r="DQ27" s="1393">
        <v>1.657132138168682E7</v>
      </c>
      <c r="DR27" s="1379">
        <f t="shared" si="7"/>
        <v>4524112994</v>
      </c>
    </row>
    <row r="28" hidden="1">
      <c r="A28" s="1387"/>
      <c r="B28" s="1394">
        <f t="shared" si="8"/>
        <v>14</v>
      </c>
      <c r="C28" s="1389" t="s">
        <v>231</v>
      </c>
      <c r="D28" s="185" t="s">
        <v>186</v>
      </c>
      <c r="E28" s="185" t="s">
        <v>232</v>
      </c>
      <c r="F28" s="185" t="s">
        <v>1888</v>
      </c>
      <c r="G28" s="185" t="s">
        <v>86</v>
      </c>
      <c r="H28" s="185" t="s">
        <v>86</v>
      </c>
      <c r="I28" s="185" t="s">
        <v>103</v>
      </c>
      <c r="J28" s="185" t="s">
        <v>1889</v>
      </c>
      <c r="K28" s="185" t="s">
        <v>188</v>
      </c>
      <c r="L28" s="1390">
        <v>6.7878829E7</v>
      </c>
      <c r="M28" s="1390">
        <v>6.7878829E7</v>
      </c>
      <c r="N28" s="1390">
        <v>6.7878829E7</v>
      </c>
      <c r="O28" s="1390">
        <v>6.7878829E7</v>
      </c>
      <c r="P28" s="1390">
        <v>6.7878829E7</v>
      </c>
      <c r="Q28" s="1390">
        <v>6.7878829E7</v>
      </c>
      <c r="R28" s="1390">
        <v>6.7878829E7</v>
      </c>
      <c r="S28" s="1390">
        <v>6.7878829E7</v>
      </c>
      <c r="T28" s="1390">
        <v>6.7878829E7</v>
      </c>
      <c r="U28" s="1390">
        <v>6.7878829E7</v>
      </c>
      <c r="V28" s="1390">
        <v>6.7878829E7</v>
      </c>
      <c r="W28" s="1390">
        <v>6.7878829E7</v>
      </c>
      <c r="X28" s="1391">
        <v>8.14545948E8</v>
      </c>
      <c r="Y28" s="1392">
        <f t="shared" si="3"/>
        <v>0</v>
      </c>
      <c r="Z28" s="1393">
        <v>8388570.795977807</v>
      </c>
      <c r="AA28" s="1393">
        <v>0.0</v>
      </c>
      <c r="AB28" s="1393">
        <v>0.0</v>
      </c>
      <c r="AC28" s="1393">
        <v>4.674128296249904E7</v>
      </c>
      <c r="AD28" s="1393">
        <v>0.0</v>
      </c>
      <c r="AE28" s="1393">
        <v>0.0</v>
      </c>
      <c r="AF28" s="1393">
        <v>0.0</v>
      </c>
      <c r="AG28" s="1393">
        <v>2724659.421480959</v>
      </c>
      <c r="AH28" s="1393">
        <v>8557417.732577553</v>
      </c>
      <c r="AI28" s="1393">
        <v>0.0</v>
      </c>
      <c r="AJ28" s="1393">
        <v>0.0</v>
      </c>
      <c r="AK28" s="1393">
        <v>4.756122501080419E7</v>
      </c>
      <c r="AL28" s="1393">
        <v>0.0</v>
      </c>
      <c r="AM28" s="1393">
        <v>0.0</v>
      </c>
      <c r="AN28" s="1393">
        <v>0.0</v>
      </c>
      <c r="AO28" s="1393">
        <v>2779501.945646731</v>
      </c>
      <c r="AP28" s="1393">
        <v>9403576.946155136</v>
      </c>
      <c r="AQ28" s="1393">
        <v>0.0</v>
      </c>
      <c r="AR28" s="1393">
        <v>0.0</v>
      </c>
      <c r="AS28" s="1393">
        <v>5.2180709381757766E7</v>
      </c>
      <c r="AT28" s="1393">
        <v>0.0</v>
      </c>
      <c r="AU28" s="1393">
        <v>0.0</v>
      </c>
      <c r="AV28" s="1393">
        <v>0.0</v>
      </c>
      <c r="AW28" s="1393">
        <v>3054339.665852004</v>
      </c>
      <c r="AX28" s="1393">
        <v>8739160.275989175</v>
      </c>
      <c r="AY28" s="1393">
        <v>0.0</v>
      </c>
      <c r="AZ28" s="1393">
        <v>0.0</v>
      </c>
      <c r="BA28" s="1393">
        <v>4.852559822796117E7</v>
      </c>
      <c r="BB28" s="1393">
        <v>0.0</v>
      </c>
      <c r="BC28" s="1393">
        <v>0.0</v>
      </c>
      <c r="BD28" s="1393">
        <v>0.0</v>
      </c>
      <c r="BE28" s="1393">
        <v>2838533.042270225</v>
      </c>
      <c r="BF28" s="1393">
        <v>8646328.77509815</v>
      </c>
      <c r="BG28" s="1393">
        <v>0.0</v>
      </c>
      <c r="BH28" s="1393">
        <v>0.0</v>
      </c>
      <c r="BI28" s="1393">
        <v>4.801467879001943E7</v>
      </c>
      <c r="BJ28" s="1393">
        <v>0.0</v>
      </c>
      <c r="BK28" s="1393">
        <v>0.0</v>
      </c>
      <c r="BL28" s="1393">
        <v>0.0</v>
      </c>
      <c r="BM28" s="1393">
        <v>2808380.7994550094</v>
      </c>
      <c r="BN28" s="1393">
        <v>8775840.4137905</v>
      </c>
      <c r="BO28" s="1393">
        <v>0.0</v>
      </c>
      <c r="BP28" s="1393">
        <v>0.0</v>
      </c>
      <c r="BQ28" s="1393">
        <v>4.872385285435976E7</v>
      </c>
      <c r="BR28" s="1393">
        <v>0.0</v>
      </c>
      <c r="BS28" s="1393">
        <v>0.0</v>
      </c>
      <c r="BT28" s="1393">
        <v>0.0</v>
      </c>
      <c r="BU28" s="1393">
        <v>2850446.9767737663</v>
      </c>
      <c r="BV28" s="1393">
        <v>9179307.953279808</v>
      </c>
      <c r="BW28" s="1393">
        <v>0.0</v>
      </c>
      <c r="BX28" s="1393">
        <v>0.0</v>
      </c>
      <c r="BY28" s="1393">
        <v>5.0941335205313854E7</v>
      </c>
      <c r="BZ28" s="1393">
        <v>0.0</v>
      </c>
      <c r="CA28" s="1393">
        <v>0.0</v>
      </c>
      <c r="CB28" s="1393">
        <v>0.0</v>
      </c>
      <c r="CC28" s="1393">
        <v>2981495.716716259</v>
      </c>
      <c r="CD28" s="1393">
        <v>9236185.645906247</v>
      </c>
      <c r="CE28" s="1393">
        <v>0.0</v>
      </c>
      <c r="CF28" s="1393">
        <v>0.0</v>
      </c>
      <c r="CG28" s="1393">
        <v>5.1253841782680795E7</v>
      </c>
      <c r="CH28" s="1393">
        <v>0.0</v>
      </c>
      <c r="CI28" s="1393">
        <v>0.0</v>
      </c>
      <c r="CJ28" s="1393">
        <v>0.0</v>
      </c>
      <c r="CK28" s="1393">
        <v>2999969.941331617</v>
      </c>
      <c r="CL28" s="1393">
        <v>8934763.535695583</v>
      </c>
      <c r="CM28" s="1393">
        <v>0.0</v>
      </c>
      <c r="CN28" s="1393">
        <v>0.0</v>
      </c>
      <c r="CO28" s="1393">
        <v>4.959401607161482E7</v>
      </c>
      <c r="CP28" s="1393">
        <v>0.0</v>
      </c>
      <c r="CQ28" s="1393">
        <v>0.0</v>
      </c>
      <c r="CR28" s="1393">
        <v>0.0</v>
      </c>
      <c r="CS28" s="1393">
        <v>2902066.184851199</v>
      </c>
      <c r="CT28" s="1393">
        <v>8914902.36157353</v>
      </c>
      <c r="CU28" s="1393">
        <v>0.0</v>
      </c>
      <c r="CV28" s="1393">
        <v>0.0</v>
      </c>
      <c r="CW28" s="1393">
        <v>4.948485661395244E7</v>
      </c>
      <c r="CX28" s="1393">
        <v>0.0</v>
      </c>
      <c r="CY28" s="1393">
        <v>0.0</v>
      </c>
      <c r="CZ28" s="1393">
        <v>0.0</v>
      </c>
      <c r="DA28" s="1393">
        <v>2895615.153261971</v>
      </c>
      <c r="DB28" s="1393">
        <v>8768678.953009803</v>
      </c>
      <c r="DC28" s="1393">
        <v>0.0</v>
      </c>
      <c r="DD28" s="1393">
        <v>0.0</v>
      </c>
      <c r="DE28" s="1393">
        <v>4.868099124778806E7</v>
      </c>
      <c r="DF28" s="1393">
        <v>0.0</v>
      </c>
      <c r="DG28" s="1393">
        <v>0.0</v>
      </c>
      <c r="DH28" s="1393">
        <v>0.0</v>
      </c>
      <c r="DI28" s="1393">
        <v>2848120.8902374217</v>
      </c>
      <c r="DJ28" s="1393">
        <v>8905887.178164802</v>
      </c>
      <c r="DK28" s="1393">
        <v>0.0</v>
      </c>
      <c r="DL28" s="1393">
        <v>0.0</v>
      </c>
      <c r="DM28" s="1393">
        <v>4.943510454203308E7</v>
      </c>
      <c r="DN28" s="1393">
        <v>0.0</v>
      </c>
      <c r="DO28" s="1393">
        <v>0.0</v>
      </c>
      <c r="DP28" s="1393">
        <v>0.0</v>
      </c>
      <c r="DQ28" s="1393">
        <v>2892686.9662074195</v>
      </c>
      <c r="DR28" s="1379">
        <f t="shared" si="7"/>
        <v>732163930</v>
      </c>
    </row>
    <row r="29" hidden="1">
      <c r="A29" s="1387"/>
      <c r="B29" s="1394">
        <f t="shared" si="8"/>
        <v>15</v>
      </c>
      <c r="C29" s="1389" t="s">
        <v>240</v>
      </c>
      <c r="D29" s="185" t="s">
        <v>186</v>
      </c>
      <c r="E29" s="185" t="s">
        <v>232</v>
      </c>
      <c r="F29" s="185" t="s">
        <v>1888</v>
      </c>
      <c r="G29" s="185" t="s">
        <v>218</v>
      </c>
      <c r="H29" s="185" t="s">
        <v>88</v>
      </c>
      <c r="I29" s="185" t="s">
        <v>88</v>
      </c>
      <c r="J29" s="185" t="s">
        <v>1889</v>
      </c>
      <c r="K29" s="185" t="s">
        <v>188</v>
      </c>
      <c r="L29" s="1390">
        <v>7.0875958E7</v>
      </c>
      <c r="M29" s="1390">
        <v>7.0875958E7</v>
      </c>
      <c r="N29" s="1390">
        <v>7.0875958E7</v>
      </c>
      <c r="O29" s="1390">
        <v>7.0875958E7</v>
      </c>
      <c r="P29" s="1390">
        <v>7.0875958E7</v>
      </c>
      <c r="Q29" s="1390">
        <v>7.0875958E7</v>
      </c>
      <c r="R29" s="1390">
        <v>7.0875958E7</v>
      </c>
      <c r="S29" s="1390">
        <v>7.0875958E7</v>
      </c>
      <c r="T29" s="1390">
        <v>7.0875958E7</v>
      </c>
      <c r="U29" s="1390">
        <v>7.0875958E7</v>
      </c>
      <c r="V29" s="1390">
        <v>7.0875958E7</v>
      </c>
      <c r="W29" s="1390">
        <v>7.0875958E7</v>
      </c>
      <c r="X29" s="1391">
        <v>8.50511496E8</v>
      </c>
      <c r="Y29" s="1392">
        <f t="shared" si="3"/>
        <v>0</v>
      </c>
      <c r="Z29" s="1393">
        <v>1205466.7562000484</v>
      </c>
      <c r="AA29" s="1393">
        <v>0.0</v>
      </c>
      <c r="AB29" s="1393">
        <v>0.0</v>
      </c>
      <c r="AC29" s="1393">
        <v>5.156713334539602E7</v>
      </c>
      <c r="AD29" s="1393">
        <v>0.0</v>
      </c>
      <c r="AE29" s="1393">
        <v>0.0</v>
      </c>
      <c r="AF29" s="1393">
        <v>0.0</v>
      </c>
      <c r="AG29" s="1393">
        <v>5324966.071003089</v>
      </c>
      <c r="AH29" s="1393">
        <v>1191182.9375198148</v>
      </c>
      <c r="AI29" s="1393">
        <v>0.0</v>
      </c>
      <c r="AJ29" s="1393">
        <v>0.0</v>
      </c>
      <c r="AK29" s="1393">
        <v>5.094534734580984E7</v>
      </c>
      <c r="AL29" s="1393">
        <v>0.0</v>
      </c>
      <c r="AM29" s="1393">
        <v>0.0</v>
      </c>
      <c r="AN29" s="1393">
        <v>0.0</v>
      </c>
      <c r="AO29" s="1393">
        <v>5261869.474232251</v>
      </c>
      <c r="AP29" s="1393">
        <v>1494746.5022274065</v>
      </c>
      <c r="AQ29" s="1393">
        <v>0.0</v>
      </c>
      <c r="AR29" s="1393">
        <v>0.0</v>
      </c>
      <c r="AS29" s="1393">
        <v>6.384489681981956E7</v>
      </c>
      <c r="AT29" s="1393">
        <v>0.0</v>
      </c>
      <c r="AU29" s="1393">
        <v>0.0</v>
      </c>
      <c r="AV29" s="1393">
        <v>0.0</v>
      </c>
      <c r="AW29" s="1393">
        <v>6602815.356104769</v>
      </c>
      <c r="AX29" s="1393">
        <v>1243204.5929114844</v>
      </c>
      <c r="AY29" s="1393">
        <v>0.0</v>
      </c>
      <c r="AZ29" s="1393">
        <v>0.0</v>
      </c>
      <c r="BA29" s="1393">
        <v>5.315578993898754E7</v>
      </c>
      <c r="BB29" s="1393">
        <v>0.0</v>
      </c>
      <c r="BC29" s="1393">
        <v>0.0</v>
      </c>
      <c r="BD29" s="1393">
        <v>0.0</v>
      </c>
      <c r="BE29" s="1393">
        <v>5491667.225595612</v>
      </c>
      <c r="BF29" s="1393">
        <v>1187931.7559668815</v>
      </c>
      <c r="BG29" s="1393">
        <v>0.0</v>
      </c>
      <c r="BH29" s="1393">
        <v>0.0</v>
      </c>
      <c r="BI29" s="1393">
        <v>5.080137277236071E7</v>
      </c>
      <c r="BJ29" s="1393">
        <v>0.0</v>
      </c>
      <c r="BK29" s="1393">
        <v>0.0</v>
      </c>
      <c r="BL29" s="1393">
        <v>0.0</v>
      </c>
      <c r="BM29" s="1393">
        <v>5247507.874154109</v>
      </c>
      <c r="BN29" s="1393">
        <v>1242078.6746438944</v>
      </c>
      <c r="BO29" s="1393">
        <v>0.0</v>
      </c>
      <c r="BP29" s="1393">
        <v>0.0</v>
      </c>
      <c r="BQ29" s="1393">
        <v>5.310443035531217E7</v>
      </c>
      <c r="BR29" s="1393">
        <v>0.0</v>
      </c>
      <c r="BS29" s="1393">
        <v>0.0</v>
      </c>
      <c r="BT29" s="1393">
        <v>0.0</v>
      </c>
      <c r="BU29" s="1393">
        <v>5486693.652875501</v>
      </c>
      <c r="BV29" s="1393">
        <v>1138760.5083459178</v>
      </c>
      <c r="BW29" s="1393">
        <v>0.0</v>
      </c>
      <c r="BX29" s="1393">
        <v>0.0</v>
      </c>
      <c r="BY29" s="1393">
        <v>4.86522226292297E7</v>
      </c>
      <c r="BZ29" s="1393">
        <v>0.0</v>
      </c>
      <c r="CA29" s="1393">
        <v>0.0</v>
      </c>
      <c r="CB29" s="1393">
        <v>0.0</v>
      </c>
      <c r="CC29" s="1393">
        <v>5030301.365634622</v>
      </c>
      <c r="CD29" s="1393">
        <v>1114035.5062375925</v>
      </c>
      <c r="CE29" s="1393">
        <v>0.0</v>
      </c>
      <c r="CF29" s="1393">
        <v>0.0</v>
      </c>
      <c r="CG29" s="1393">
        <v>4.759253550903614E7</v>
      </c>
      <c r="CH29" s="1393">
        <v>0.0</v>
      </c>
      <c r="CI29" s="1393">
        <v>0.0</v>
      </c>
      <c r="CJ29" s="1393">
        <v>0.0</v>
      </c>
      <c r="CK29" s="1393">
        <v>4921082.428940476</v>
      </c>
      <c r="CL29" s="1393">
        <v>1349488.9377445765</v>
      </c>
      <c r="CM29" s="1393">
        <v>0.0</v>
      </c>
      <c r="CN29" s="1393">
        <v>0.0</v>
      </c>
      <c r="CO29" s="1393">
        <v>5.767820663929798E7</v>
      </c>
      <c r="CP29" s="1393">
        <v>0.0</v>
      </c>
      <c r="CQ29" s="1393">
        <v>0.0</v>
      </c>
      <c r="CR29" s="1393">
        <v>0.0</v>
      </c>
      <c r="CS29" s="1393">
        <v>5961162.155426002</v>
      </c>
      <c r="CT29" s="1393">
        <v>1364277.9798389352</v>
      </c>
      <c r="CU29" s="1393">
        <v>0.0</v>
      </c>
      <c r="CV29" s="1393">
        <v>0.0</v>
      </c>
      <c r="CW29" s="1393">
        <v>5.8313141458387755E7</v>
      </c>
      <c r="CX29" s="1393">
        <v>0.0</v>
      </c>
      <c r="CY29" s="1393">
        <v>0.0</v>
      </c>
      <c r="CZ29" s="1393">
        <v>0.0</v>
      </c>
      <c r="DA29" s="1393">
        <v>6026490.499795563</v>
      </c>
      <c r="DB29" s="1393">
        <v>1277760.7813098605</v>
      </c>
      <c r="DC29" s="1393">
        <v>0.0</v>
      </c>
      <c r="DD29" s="1393">
        <v>0.0</v>
      </c>
      <c r="DE29" s="1393">
        <v>5.462913656951336E7</v>
      </c>
      <c r="DF29" s="1393">
        <v>0.0</v>
      </c>
      <c r="DG29" s="1393">
        <v>0.0</v>
      </c>
      <c r="DH29" s="1393">
        <v>0.0</v>
      </c>
      <c r="DI29" s="1393">
        <v>5644313.932622684</v>
      </c>
      <c r="DJ29" s="1393">
        <v>1262125.9664236296</v>
      </c>
      <c r="DK29" s="1393">
        <v>0.0</v>
      </c>
      <c r="DL29" s="1393">
        <v>0.0</v>
      </c>
      <c r="DM29" s="1393">
        <v>5.3947765351108216E7</v>
      </c>
      <c r="DN29" s="1393">
        <v>0.0</v>
      </c>
      <c r="DO29" s="1393">
        <v>0.0</v>
      </c>
      <c r="DP29" s="1393">
        <v>0.0</v>
      </c>
      <c r="DQ29" s="1393">
        <v>5575249.515568135</v>
      </c>
      <c r="DR29" s="1379">
        <f t="shared" si="7"/>
        <v>725877159.2</v>
      </c>
    </row>
    <row r="30" hidden="1">
      <c r="A30" s="1387"/>
      <c r="B30" s="1394">
        <f t="shared" si="8"/>
        <v>16</v>
      </c>
      <c r="C30" s="1389" t="s">
        <v>1894</v>
      </c>
      <c r="D30" s="185" t="s">
        <v>186</v>
      </c>
      <c r="E30" s="185" t="s">
        <v>232</v>
      </c>
      <c r="F30" s="185" t="s">
        <v>1888</v>
      </c>
      <c r="G30" s="185" t="s">
        <v>218</v>
      </c>
      <c r="H30" s="185" t="s">
        <v>88</v>
      </c>
      <c r="I30" s="185" t="s">
        <v>88</v>
      </c>
      <c r="J30" s="185" t="s">
        <v>1889</v>
      </c>
      <c r="K30" s="185" t="s">
        <v>188</v>
      </c>
      <c r="L30" s="1390">
        <v>1.25212734E8</v>
      </c>
      <c r="M30" s="1390">
        <v>1.25212734E8</v>
      </c>
      <c r="N30" s="1390">
        <v>1.25212734E8</v>
      </c>
      <c r="O30" s="1390">
        <v>1.25212734E8</v>
      </c>
      <c r="P30" s="1390">
        <v>1.25212734E8</v>
      </c>
      <c r="Q30" s="1390">
        <v>1.25212734E8</v>
      </c>
      <c r="R30" s="1390">
        <v>1.25212734E8</v>
      </c>
      <c r="S30" s="1390">
        <v>1.25212734E8</v>
      </c>
      <c r="T30" s="1390">
        <v>1.25212734E8</v>
      </c>
      <c r="U30" s="1390">
        <v>1.25212734E8</v>
      </c>
      <c r="V30" s="1390">
        <v>1.25212734E8</v>
      </c>
      <c r="W30" s="1390">
        <v>1.25212734E8</v>
      </c>
      <c r="X30" s="1391">
        <v>1.502552808E9</v>
      </c>
      <c r="Y30" s="1392">
        <f t="shared" si="3"/>
        <v>0</v>
      </c>
      <c r="Z30" s="1393">
        <v>2252830.9161861776</v>
      </c>
      <c r="AA30" s="1393">
        <v>0.0</v>
      </c>
      <c r="AB30" s="1393">
        <v>0.0</v>
      </c>
      <c r="AC30" s="1393">
        <v>9.874659342527007E7</v>
      </c>
      <c r="AD30" s="1393">
        <v>0.0</v>
      </c>
      <c r="AE30" s="1393">
        <v>0.0</v>
      </c>
      <c r="AF30" s="1393">
        <v>0.0</v>
      </c>
      <c r="AG30" s="1393">
        <v>1.5142162028694158E7</v>
      </c>
      <c r="AH30" s="1393">
        <v>2252830.9161861776</v>
      </c>
      <c r="AI30" s="1393">
        <v>0.0</v>
      </c>
      <c r="AJ30" s="1393">
        <v>0.0</v>
      </c>
      <c r="AK30" s="1393">
        <v>9.874659342527007E7</v>
      </c>
      <c r="AL30" s="1393">
        <v>0.0</v>
      </c>
      <c r="AM30" s="1393">
        <v>0.0</v>
      </c>
      <c r="AN30" s="1393">
        <v>0.0</v>
      </c>
      <c r="AO30" s="1393">
        <v>1.5142162028694158E7</v>
      </c>
      <c r="AP30" s="1393">
        <v>2252830.9161861776</v>
      </c>
      <c r="AQ30" s="1393">
        <v>0.0</v>
      </c>
      <c r="AR30" s="1393">
        <v>0.0</v>
      </c>
      <c r="AS30" s="1393">
        <v>9.874659342527007E7</v>
      </c>
      <c r="AT30" s="1393">
        <v>0.0</v>
      </c>
      <c r="AU30" s="1393">
        <v>0.0</v>
      </c>
      <c r="AV30" s="1393">
        <v>0.0</v>
      </c>
      <c r="AW30" s="1393">
        <v>1.5142162028694158E7</v>
      </c>
      <c r="AX30" s="1393">
        <v>2252830.9161861776</v>
      </c>
      <c r="AY30" s="1393">
        <v>0.0</v>
      </c>
      <c r="AZ30" s="1393">
        <v>0.0</v>
      </c>
      <c r="BA30" s="1393">
        <v>9.874659342527007E7</v>
      </c>
      <c r="BB30" s="1393">
        <v>0.0</v>
      </c>
      <c r="BC30" s="1393">
        <v>0.0</v>
      </c>
      <c r="BD30" s="1393">
        <v>0.0</v>
      </c>
      <c r="BE30" s="1393">
        <v>1.5142162028694158E7</v>
      </c>
      <c r="BF30" s="1393">
        <v>2252830.9161861776</v>
      </c>
      <c r="BG30" s="1393">
        <v>0.0</v>
      </c>
      <c r="BH30" s="1393">
        <v>0.0</v>
      </c>
      <c r="BI30" s="1393">
        <v>9.874659342527007E7</v>
      </c>
      <c r="BJ30" s="1393">
        <v>0.0</v>
      </c>
      <c r="BK30" s="1393">
        <v>0.0</v>
      </c>
      <c r="BL30" s="1393">
        <v>0.0</v>
      </c>
      <c r="BM30" s="1393">
        <v>1.5142162028694158E7</v>
      </c>
      <c r="BN30" s="1393">
        <v>2252830.9161861776</v>
      </c>
      <c r="BO30" s="1393">
        <v>0.0</v>
      </c>
      <c r="BP30" s="1393">
        <v>0.0</v>
      </c>
      <c r="BQ30" s="1393">
        <v>9.874659342527007E7</v>
      </c>
      <c r="BR30" s="1393">
        <v>0.0</v>
      </c>
      <c r="BS30" s="1393">
        <v>0.0</v>
      </c>
      <c r="BT30" s="1393">
        <v>0.0</v>
      </c>
      <c r="BU30" s="1393">
        <v>1.5142162028694158E7</v>
      </c>
      <c r="BV30" s="1393">
        <v>2252830.9161861776</v>
      </c>
      <c r="BW30" s="1393">
        <v>0.0</v>
      </c>
      <c r="BX30" s="1393">
        <v>0.0</v>
      </c>
      <c r="BY30" s="1393">
        <v>9.874659342527007E7</v>
      </c>
      <c r="BZ30" s="1393">
        <v>0.0</v>
      </c>
      <c r="CA30" s="1393">
        <v>0.0</v>
      </c>
      <c r="CB30" s="1393">
        <v>0.0</v>
      </c>
      <c r="CC30" s="1393">
        <v>1.5142162028694158E7</v>
      </c>
      <c r="CD30" s="1393">
        <v>2252830.9161861776</v>
      </c>
      <c r="CE30" s="1393">
        <v>0.0</v>
      </c>
      <c r="CF30" s="1393">
        <v>0.0</v>
      </c>
      <c r="CG30" s="1393">
        <v>9.874659342527007E7</v>
      </c>
      <c r="CH30" s="1393">
        <v>0.0</v>
      </c>
      <c r="CI30" s="1393">
        <v>0.0</v>
      </c>
      <c r="CJ30" s="1393">
        <v>0.0</v>
      </c>
      <c r="CK30" s="1393">
        <v>1.5142162028694158E7</v>
      </c>
      <c r="CL30" s="1393">
        <v>2252830.9161861776</v>
      </c>
      <c r="CM30" s="1393">
        <v>0.0</v>
      </c>
      <c r="CN30" s="1393">
        <v>0.0</v>
      </c>
      <c r="CO30" s="1393">
        <v>9.874659342527007E7</v>
      </c>
      <c r="CP30" s="1393">
        <v>0.0</v>
      </c>
      <c r="CQ30" s="1393">
        <v>0.0</v>
      </c>
      <c r="CR30" s="1393">
        <v>0.0</v>
      </c>
      <c r="CS30" s="1393">
        <v>1.5142162028694158E7</v>
      </c>
      <c r="CT30" s="1393">
        <v>2252830.9161861776</v>
      </c>
      <c r="CU30" s="1393">
        <v>0.0</v>
      </c>
      <c r="CV30" s="1393">
        <v>0.0</v>
      </c>
      <c r="CW30" s="1393">
        <v>9.874659342527007E7</v>
      </c>
      <c r="CX30" s="1393">
        <v>0.0</v>
      </c>
      <c r="CY30" s="1393">
        <v>0.0</v>
      </c>
      <c r="CZ30" s="1393">
        <v>0.0</v>
      </c>
      <c r="DA30" s="1393">
        <v>1.5142162028694158E7</v>
      </c>
      <c r="DB30" s="1393">
        <v>2252830.9161861776</v>
      </c>
      <c r="DC30" s="1393">
        <v>0.0</v>
      </c>
      <c r="DD30" s="1393">
        <v>0.0</v>
      </c>
      <c r="DE30" s="1393">
        <v>9.874659342527007E7</v>
      </c>
      <c r="DF30" s="1393">
        <v>0.0</v>
      </c>
      <c r="DG30" s="1393">
        <v>0.0</v>
      </c>
      <c r="DH30" s="1393">
        <v>0.0</v>
      </c>
      <c r="DI30" s="1393">
        <v>1.5142162028694158E7</v>
      </c>
      <c r="DJ30" s="1393">
        <v>2252830.9161861776</v>
      </c>
      <c r="DK30" s="1393">
        <v>0.0</v>
      </c>
      <c r="DL30" s="1393">
        <v>0.0</v>
      </c>
      <c r="DM30" s="1393">
        <v>9.874659342527007E7</v>
      </c>
      <c r="DN30" s="1393">
        <v>0.0</v>
      </c>
      <c r="DO30" s="1393">
        <v>0.0</v>
      </c>
      <c r="DP30" s="1393">
        <v>0.0</v>
      </c>
      <c r="DQ30" s="1393">
        <v>1.5142162028694158E7</v>
      </c>
      <c r="DR30" s="1379">
        <f t="shared" si="7"/>
        <v>1393699036</v>
      </c>
    </row>
    <row r="31" hidden="1">
      <c r="A31" s="1387">
        <v>3.0</v>
      </c>
      <c r="B31" s="1395" t="s">
        <v>31</v>
      </c>
      <c r="C31" s="7"/>
      <c r="D31" s="1225"/>
      <c r="E31" s="1225"/>
      <c r="F31" s="1225"/>
      <c r="G31" s="1225"/>
      <c r="H31" s="1225"/>
      <c r="I31" s="1225"/>
      <c r="J31" s="1225"/>
      <c r="K31" s="1225"/>
      <c r="L31" s="1396">
        <f t="shared" ref="L31:X31" si="9">L32+L33+L34+L35+L36+L37+L38+L39+L40+L41+L42+L43</f>
        <v>1329517609</v>
      </c>
      <c r="M31" s="1396">
        <f t="shared" si="9"/>
        <v>1329517609</v>
      </c>
      <c r="N31" s="1396">
        <f t="shared" si="9"/>
        <v>1329517609</v>
      </c>
      <c r="O31" s="1396">
        <f t="shared" si="9"/>
        <v>1329517609</v>
      </c>
      <c r="P31" s="1396">
        <f t="shared" si="9"/>
        <v>1329517609</v>
      </c>
      <c r="Q31" s="1396">
        <f t="shared" si="9"/>
        <v>1329517609</v>
      </c>
      <c r="R31" s="1396">
        <f t="shared" si="9"/>
        <v>1329517609</v>
      </c>
      <c r="S31" s="1396">
        <f t="shared" si="9"/>
        <v>1329517609</v>
      </c>
      <c r="T31" s="1396">
        <f t="shared" si="9"/>
        <v>1329517609</v>
      </c>
      <c r="U31" s="1396">
        <f t="shared" si="9"/>
        <v>1329517609</v>
      </c>
      <c r="V31" s="1396">
        <f t="shared" si="9"/>
        <v>1329517609</v>
      </c>
      <c r="W31" s="1396">
        <f t="shared" si="9"/>
        <v>1329517609</v>
      </c>
      <c r="X31" s="1396">
        <f t="shared" si="9"/>
        <v>15954211309</v>
      </c>
      <c r="Y31" s="1392">
        <f t="shared" si="3"/>
        <v>-0.000001907348633</v>
      </c>
    </row>
    <row r="32" hidden="1">
      <c r="A32" s="1387"/>
      <c r="B32" s="1388">
        <v>1.0</v>
      </c>
      <c r="C32" s="1389" t="s">
        <v>348</v>
      </c>
      <c r="D32" s="185" t="s">
        <v>186</v>
      </c>
      <c r="E32" s="185" t="s">
        <v>347</v>
      </c>
      <c r="F32" s="185" t="s">
        <v>1888</v>
      </c>
      <c r="G32" s="185" t="s">
        <v>86</v>
      </c>
      <c r="H32" s="185" t="s">
        <v>86</v>
      </c>
      <c r="I32" s="185" t="s">
        <v>103</v>
      </c>
      <c r="J32" s="185" t="s">
        <v>1889</v>
      </c>
      <c r="K32" s="185" t="s">
        <v>188</v>
      </c>
      <c r="L32" s="1390">
        <v>3.26125987525988E8</v>
      </c>
      <c r="M32" s="1390">
        <v>3.26125987525988E8</v>
      </c>
      <c r="N32" s="1390">
        <v>3.26125987525988E8</v>
      </c>
      <c r="O32" s="1390">
        <v>3.26125987525988E8</v>
      </c>
      <c r="P32" s="1390">
        <v>3.26125987525988E8</v>
      </c>
      <c r="Q32" s="1390">
        <v>3.26125987525988E8</v>
      </c>
      <c r="R32" s="1390">
        <v>3.26125987525988E8</v>
      </c>
      <c r="S32" s="1390">
        <v>3.26125987525988E8</v>
      </c>
      <c r="T32" s="1390">
        <v>3.26125987525988E8</v>
      </c>
      <c r="U32" s="1390">
        <v>3.26125987525988E8</v>
      </c>
      <c r="V32" s="1390">
        <v>3.26125987525988E8</v>
      </c>
      <c r="W32" s="1390">
        <v>3.26125987525988E8</v>
      </c>
      <c r="X32" s="1391">
        <v>3.9135118503118567E9</v>
      </c>
      <c r="Y32" s="1392">
        <f t="shared" si="3"/>
        <v>0</v>
      </c>
      <c r="Z32" s="1393">
        <v>4.030315453394055E7</v>
      </c>
      <c r="AA32" s="1393">
        <v>0.0</v>
      </c>
      <c r="AB32" s="1393">
        <v>0.0</v>
      </c>
      <c r="AC32" s="1393">
        <v>2.2456997695668313E8</v>
      </c>
      <c r="AD32" s="1393">
        <v>0.0</v>
      </c>
      <c r="AE32" s="1393">
        <v>0.0</v>
      </c>
      <c r="AF32" s="1393">
        <v>0.0</v>
      </c>
      <c r="AG32" s="1393">
        <v>1.3090712635930488E7</v>
      </c>
      <c r="AH32" s="1393">
        <v>4.111438499785045E7</v>
      </c>
      <c r="AI32" s="1393">
        <v>0.0</v>
      </c>
      <c r="AJ32" s="1393">
        <v>0.0</v>
      </c>
      <c r="AK32" s="1393">
        <v>2.285094145421135E8</v>
      </c>
      <c r="AL32" s="1393">
        <v>0.0</v>
      </c>
      <c r="AM32" s="1393">
        <v>0.0</v>
      </c>
      <c r="AN32" s="1393">
        <v>0.0</v>
      </c>
      <c r="AO32" s="1393">
        <v>1.335420528327684E7</v>
      </c>
      <c r="AP32" s="1393">
        <v>4.5179783785625674E7</v>
      </c>
      <c r="AQ32" s="1393">
        <v>0.0</v>
      </c>
      <c r="AR32" s="1393">
        <v>0.0</v>
      </c>
      <c r="AS32" s="1393">
        <v>2.5070387376500463E8</v>
      </c>
      <c r="AT32" s="1393">
        <v>0.0</v>
      </c>
      <c r="AU32" s="1393">
        <v>0.0</v>
      </c>
      <c r="AV32" s="1393">
        <v>0.0</v>
      </c>
      <c r="AW32" s="1393">
        <v>1.4674671829795135E7</v>
      </c>
      <c r="AX32" s="1393">
        <v>4.1987572813827634E7</v>
      </c>
      <c r="AY32" s="1393">
        <v>0.0</v>
      </c>
      <c r="AZ32" s="1393">
        <v>0.0</v>
      </c>
      <c r="BA32" s="1393">
        <v>2.3314277626066837E8</v>
      </c>
      <c r="BB32" s="1393">
        <v>0.0</v>
      </c>
      <c r="BC32" s="1393">
        <v>0.0</v>
      </c>
      <c r="BD32" s="1393">
        <v>0.0</v>
      </c>
      <c r="BE32" s="1393">
        <v>1.3637822059887392E7</v>
      </c>
      <c r="BF32" s="1393">
        <v>4.154156092252638E7</v>
      </c>
      <c r="BG32" s="1393">
        <v>0.0</v>
      </c>
      <c r="BH32" s="1393">
        <v>0.0</v>
      </c>
      <c r="BI32" s="1393">
        <v>2.3068804761110708E8</v>
      </c>
      <c r="BJ32" s="1393">
        <v>0.0</v>
      </c>
      <c r="BK32" s="1393">
        <v>0.0</v>
      </c>
      <c r="BL32" s="1393">
        <v>0.0</v>
      </c>
      <c r="BM32" s="1393">
        <v>1.3492954652639762E7</v>
      </c>
      <c r="BN32" s="1393">
        <v>4.2163803699646935E7</v>
      </c>
      <c r="BO32" s="1393">
        <v>0.0</v>
      </c>
      <c r="BP32" s="1393">
        <v>0.0</v>
      </c>
      <c r="BQ32" s="1393">
        <v>2.3409529690323627E8</v>
      </c>
      <c r="BR32" s="1393">
        <v>0.0</v>
      </c>
      <c r="BS32" s="1393">
        <v>0.0</v>
      </c>
      <c r="BT32" s="1393">
        <v>0.0</v>
      </c>
      <c r="BU32" s="1393">
        <v>1.369506293620374E7</v>
      </c>
      <c r="BV32" s="1393">
        <v>4.4102276293961E7</v>
      </c>
      <c r="BW32" s="1393">
        <v>0.0</v>
      </c>
      <c r="BX32" s="1393">
        <v>0.0</v>
      </c>
      <c r="BY32" s="1393">
        <v>2.4474926121258453E8</v>
      </c>
      <c r="BZ32" s="1393">
        <v>0.0</v>
      </c>
      <c r="CA32" s="1393">
        <v>0.0</v>
      </c>
      <c r="CB32" s="1393">
        <v>0.0</v>
      </c>
      <c r="CC32" s="1393">
        <v>1.4324690765048308E7</v>
      </c>
      <c r="CD32" s="1393">
        <v>4.4375546972746536E7</v>
      </c>
      <c r="CE32" s="1393">
        <v>0.0</v>
      </c>
      <c r="CF32" s="1393">
        <v>0.0</v>
      </c>
      <c r="CG32" s="1393">
        <v>2.4625070897845802E8</v>
      </c>
      <c r="CH32" s="1393">
        <v>0.0</v>
      </c>
      <c r="CI32" s="1393">
        <v>0.0</v>
      </c>
      <c r="CJ32" s="1393">
        <v>0.0</v>
      </c>
      <c r="CK32" s="1393">
        <v>1.4413450763345577E7</v>
      </c>
      <c r="CL32" s="1393">
        <v>4.292735488100288E7</v>
      </c>
      <c r="CM32" s="1393">
        <v>0.0</v>
      </c>
      <c r="CN32" s="1393">
        <v>0.0</v>
      </c>
      <c r="CO32" s="1393">
        <v>2.3827602368825632E8</v>
      </c>
      <c r="CP32" s="1393">
        <v>0.0</v>
      </c>
      <c r="CQ32" s="1393">
        <v>0.0</v>
      </c>
      <c r="CR32" s="1393">
        <v>0.0</v>
      </c>
      <c r="CS32" s="1393">
        <v>1.394306905913733E7</v>
      </c>
      <c r="CT32" s="1393">
        <v>4.283193123979687E7</v>
      </c>
      <c r="CU32" s="1393">
        <v>0.0</v>
      </c>
      <c r="CV32" s="1393">
        <v>0.0</v>
      </c>
      <c r="CW32" s="1393">
        <v>2.3775156361060914E8</v>
      </c>
      <c r="CX32" s="1393">
        <v>0.0</v>
      </c>
      <c r="CY32" s="1393">
        <v>0.0</v>
      </c>
      <c r="CZ32" s="1393">
        <v>0.0</v>
      </c>
      <c r="DA32" s="1393">
        <v>1.3912074873194635E7</v>
      </c>
      <c r="DB32" s="1393">
        <v>4.2129396234114E7</v>
      </c>
      <c r="DC32" s="1393">
        <v>0.0</v>
      </c>
      <c r="DD32" s="1393">
        <v>0.0</v>
      </c>
      <c r="DE32" s="1393">
        <v>2.3388936695458984E8</v>
      </c>
      <c r="DF32" s="1393">
        <v>0.0</v>
      </c>
      <c r="DG32" s="1393">
        <v>0.0</v>
      </c>
      <c r="DH32" s="1393">
        <v>0.0</v>
      </c>
      <c r="DI32" s="1393">
        <v>1.368388717963999E7</v>
      </c>
      <c r="DJ32" s="1393">
        <v>4.2788617505084395E7</v>
      </c>
      <c r="DK32" s="1393">
        <v>0.0</v>
      </c>
      <c r="DL32" s="1393">
        <v>0.0</v>
      </c>
      <c r="DM32" s="1393">
        <v>2.3751252820258567E8</v>
      </c>
      <c r="DN32" s="1393">
        <v>0.0</v>
      </c>
      <c r="DO32" s="1393">
        <v>0.0</v>
      </c>
      <c r="DP32" s="1393">
        <v>0.0</v>
      </c>
      <c r="DQ32" s="1393">
        <v>1.3898006305588285E7</v>
      </c>
      <c r="DR32" s="1379">
        <f t="shared" ref="DR32:DR43" si="10">SUM(Z32:DQ32)</f>
        <v>3517704831</v>
      </c>
    </row>
    <row r="33" hidden="1">
      <c r="A33" s="1387"/>
      <c r="B33" s="1394">
        <f t="shared" ref="B33:B43" si="11">B32+1</f>
        <v>2</v>
      </c>
      <c r="C33" s="1389" t="s">
        <v>358</v>
      </c>
      <c r="D33" s="185" t="s">
        <v>186</v>
      </c>
      <c r="E33" s="185" t="s">
        <v>347</v>
      </c>
      <c r="F33" s="185" t="s">
        <v>1888</v>
      </c>
      <c r="G33" s="185" t="s">
        <v>86</v>
      </c>
      <c r="H33" s="185" t="s">
        <v>86</v>
      </c>
      <c r="I33" s="185" t="s">
        <v>103</v>
      </c>
      <c r="J33" s="185" t="s">
        <v>1889</v>
      </c>
      <c r="K33" s="185" t="s">
        <v>188</v>
      </c>
      <c r="L33" s="1390">
        <v>4.08949003276003E7</v>
      </c>
      <c r="M33" s="1390">
        <v>4.08949003276003E7</v>
      </c>
      <c r="N33" s="1390">
        <v>4.08949003276003E7</v>
      </c>
      <c r="O33" s="1390">
        <v>4.08949003276003E7</v>
      </c>
      <c r="P33" s="1390">
        <v>4.08949003276003E7</v>
      </c>
      <c r="Q33" s="1390">
        <v>4.08949003276003E7</v>
      </c>
      <c r="R33" s="1390">
        <v>4.08949003276003E7</v>
      </c>
      <c r="S33" s="1390">
        <v>4.08949003276003E7</v>
      </c>
      <c r="T33" s="1390">
        <v>4.08949003276003E7</v>
      </c>
      <c r="U33" s="1390">
        <v>4.08949003276003E7</v>
      </c>
      <c r="V33" s="1390">
        <v>4.08949003276003E7</v>
      </c>
      <c r="W33" s="1390">
        <v>4.08949003276003E7</v>
      </c>
      <c r="X33" s="1391">
        <v>4.907388039312036E8</v>
      </c>
      <c r="Y33" s="1392">
        <f t="shared" si="3"/>
        <v>0</v>
      </c>
      <c r="Z33" s="1393">
        <v>5053855.106907208</v>
      </c>
      <c r="AA33" s="1393">
        <v>0.0</v>
      </c>
      <c r="AB33" s="1393">
        <v>0.0</v>
      </c>
      <c r="AC33" s="1393">
        <v>2.8160180959155325E7</v>
      </c>
      <c r="AD33" s="1393">
        <v>0.0</v>
      </c>
      <c r="AE33" s="1393">
        <v>0.0</v>
      </c>
      <c r="AF33" s="1393">
        <v>0.0</v>
      </c>
      <c r="AG33" s="1393">
        <v>1641523.2423664955</v>
      </c>
      <c r="AH33" s="1393">
        <v>5155580.177074039</v>
      </c>
      <c r="AI33" s="1393">
        <v>0.0</v>
      </c>
      <c r="AJ33" s="1393">
        <v>0.0</v>
      </c>
      <c r="AK33" s="1393">
        <v>2.865417074704409E7</v>
      </c>
      <c r="AL33" s="1393">
        <v>0.0</v>
      </c>
      <c r="AM33" s="1393">
        <v>0.0</v>
      </c>
      <c r="AN33" s="1393">
        <v>0.0</v>
      </c>
      <c r="AO33" s="1393">
        <v>1674564.171217423</v>
      </c>
      <c r="AP33" s="1393">
        <v>5665364.998207825</v>
      </c>
      <c r="AQ33" s="1393">
        <v>0.0</v>
      </c>
      <c r="AR33" s="1393">
        <v>0.0</v>
      </c>
      <c r="AS33" s="1393">
        <v>3.1437267563800514E7</v>
      </c>
      <c r="AT33" s="1393">
        <v>0.0</v>
      </c>
      <c r="AU33" s="1393">
        <v>0.0</v>
      </c>
      <c r="AV33" s="1393">
        <v>0.0</v>
      </c>
      <c r="AW33" s="1393">
        <v>1840145.418561268</v>
      </c>
      <c r="AX33" s="1393">
        <v>5265074.45249978</v>
      </c>
      <c r="AY33" s="1393">
        <v>0.0</v>
      </c>
      <c r="AZ33" s="1393">
        <v>0.0</v>
      </c>
      <c r="BA33" s="1393">
        <v>2.9235175858287852E7</v>
      </c>
      <c r="BB33" s="1393">
        <v>0.0</v>
      </c>
      <c r="BC33" s="1393">
        <v>0.0</v>
      </c>
      <c r="BD33" s="1393">
        <v>0.0</v>
      </c>
      <c r="BE33" s="1393">
        <v>1710128.585751544</v>
      </c>
      <c r="BF33" s="1393">
        <v>5209146.337178287</v>
      </c>
      <c r="BG33" s="1393">
        <v>0.0</v>
      </c>
      <c r="BH33" s="1393">
        <v>0.0</v>
      </c>
      <c r="BI33" s="1393">
        <v>2.8927362659417544E7</v>
      </c>
      <c r="BJ33" s="1393">
        <v>0.0</v>
      </c>
      <c r="BK33" s="1393">
        <v>0.0</v>
      </c>
      <c r="BL33" s="1393">
        <v>0.0</v>
      </c>
      <c r="BM33" s="1393">
        <v>1691962.789688948</v>
      </c>
      <c r="BN33" s="1393">
        <v>5287173.103897963</v>
      </c>
      <c r="BO33" s="1393">
        <v>0.0</v>
      </c>
      <c r="BP33" s="1393">
        <v>0.0</v>
      </c>
      <c r="BQ33" s="1393">
        <v>2.9354618154295295E7</v>
      </c>
      <c r="BR33" s="1393">
        <v>0.0</v>
      </c>
      <c r="BS33" s="1393">
        <v>0.0</v>
      </c>
      <c r="BT33" s="1393">
        <v>0.0</v>
      </c>
      <c r="BU33" s="1393">
        <v>1717306.3637304762</v>
      </c>
      <c r="BV33" s="1393">
        <v>5530249.848973183</v>
      </c>
      <c r="BW33" s="1393">
        <v>0.0</v>
      </c>
      <c r="BX33" s="1393">
        <v>0.0</v>
      </c>
      <c r="BY33" s="1393">
        <v>3.0690582858702324E7</v>
      </c>
      <c r="BZ33" s="1393">
        <v>0.0</v>
      </c>
      <c r="CA33" s="1393">
        <v>0.0</v>
      </c>
      <c r="CB33" s="1393">
        <v>0.0</v>
      </c>
      <c r="CC33" s="1393">
        <v>1796259.18653191</v>
      </c>
      <c r="CD33" s="1393">
        <v>5564516.904034225</v>
      </c>
      <c r="CE33" s="1393">
        <v>0.0</v>
      </c>
      <c r="CF33" s="1393">
        <v>0.0</v>
      </c>
      <c r="CG33" s="1393">
        <v>3.0878858430355754E7</v>
      </c>
      <c r="CH33" s="1393">
        <v>0.0</v>
      </c>
      <c r="CI33" s="1393">
        <v>0.0</v>
      </c>
      <c r="CJ33" s="1393">
        <v>0.0</v>
      </c>
      <c r="CK33" s="1393">
        <v>1807389.3369102376</v>
      </c>
      <c r="CL33" s="1393">
        <v>5382919.3818730805</v>
      </c>
      <c r="CM33" s="1393">
        <v>0.0</v>
      </c>
      <c r="CN33" s="1393">
        <v>0.0</v>
      </c>
      <c r="CO33" s="1393">
        <v>2.9878864647091884E7</v>
      </c>
      <c r="CP33" s="1393">
        <v>0.0</v>
      </c>
      <c r="CQ33" s="1393">
        <v>0.0</v>
      </c>
      <c r="CR33" s="1393">
        <v>0.0</v>
      </c>
      <c r="CS33" s="1393">
        <v>1748405.3440814228</v>
      </c>
      <c r="CT33" s="1393">
        <v>5370953.637206058</v>
      </c>
      <c r="CU33" s="1393">
        <v>0.0</v>
      </c>
      <c r="CV33" s="1393">
        <v>0.0</v>
      </c>
      <c r="CW33" s="1393">
        <v>2.981309944155309E7</v>
      </c>
      <c r="CX33" s="1393">
        <v>0.0</v>
      </c>
      <c r="CY33" s="1393">
        <v>0.0</v>
      </c>
      <c r="CZ33" s="1393">
        <v>0.0</v>
      </c>
      <c r="DA33" s="1393">
        <v>1744518.7965711278</v>
      </c>
      <c r="DB33" s="1393">
        <v>5282858.544717418</v>
      </c>
      <c r="DC33" s="1393">
        <v>0.0</v>
      </c>
      <c r="DD33" s="1393">
        <v>0.0</v>
      </c>
      <c r="DE33" s="1393">
        <v>2.9328795358668827E7</v>
      </c>
      <c r="DF33" s="1393">
        <v>0.0</v>
      </c>
      <c r="DG33" s="1393">
        <v>0.0</v>
      </c>
      <c r="DH33" s="1393">
        <v>0.0</v>
      </c>
      <c r="DI33" s="1393">
        <v>1715904.9683549432</v>
      </c>
      <c r="DJ33" s="1393">
        <v>5365522.267331733</v>
      </c>
      <c r="DK33" s="1393">
        <v>0.0</v>
      </c>
      <c r="DL33" s="1393">
        <v>0.0</v>
      </c>
      <c r="DM33" s="1393">
        <v>2.978312535313394E7</v>
      </c>
      <c r="DN33" s="1393">
        <v>0.0</v>
      </c>
      <c r="DO33" s="1393">
        <v>0.0</v>
      </c>
      <c r="DP33" s="1393">
        <v>0.0</v>
      </c>
      <c r="DQ33" s="1393">
        <v>1742754.654208913</v>
      </c>
      <c r="DR33" s="1379">
        <f t="shared" si="10"/>
        <v>441106179.6</v>
      </c>
    </row>
    <row r="34" hidden="1">
      <c r="A34" s="1387"/>
      <c r="B34" s="1394">
        <f t="shared" si="11"/>
        <v>3</v>
      </c>
      <c r="C34" s="1389" t="s">
        <v>365</v>
      </c>
      <c r="D34" s="185" t="s">
        <v>186</v>
      </c>
      <c r="E34" s="185" t="s">
        <v>347</v>
      </c>
      <c r="F34" s="185" t="s">
        <v>1888</v>
      </c>
      <c r="G34" s="185" t="s">
        <v>86</v>
      </c>
      <c r="H34" s="185" t="s">
        <v>86</v>
      </c>
      <c r="I34" s="185" t="s">
        <v>103</v>
      </c>
      <c r="J34" s="185" t="s">
        <v>366</v>
      </c>
      <c r="K34" s="185" t="e">
        <v>#N/A</v>
      </c>
      <c r="L34" s="1390">
        <v>1.8290364E7</v>
      </c>
      <c r="M34" s="1390">
        <v>1.8290364E7</v>
      </c>
      <c r="N34" s="1390">
        <v>1.8290364E7</v>
      </c>
      <c r="O34" s="1390">
        <v>1.8290364E7</v>
      </c>
      <c r="P34" s="1390">
        <v>1.8290364E7</v>
      </c>
      <c r="Q34" s="1390">
        <v>1.8290364E7</v>
      </c>
      <c r="R34" s="1390">
        <v>1.8290364E7</v>
      </c>
      <c r="S34" s="1390">
        <v>1.8290364E7</v>
      </c>
      <c r="T34" s="1390">
        <v>1.8290364E7</v>
      </c>
      <c r="U34" s="1390">
        <v>1.8290364E7</v>
      </c>
      <c r="V34" s="1390">
        <v>1.8290364E7</v>
      </c>
      <c r="W34" s="1390">
        <v>1.8290364E7</v>
      </c>
      <c r="X34" s="1391">
        <v>2.19484368E8</v>
      </c>
      <c r="Y34" s="1392">
        <f t="shared" si="3"/>
        <v>0</v>
      </c>
      <c r="Z34" s="1393">
        <v>2260351.5051534525</v>
      </c>
      <c r="AA34" s="1393">
        <v>0.0</v>
      </c>
      <c r="AB34" s="1393">
        <v>0.0</v>
      </c>
      <c r="AC34" s="1393">
        <v>1.2594723447735166E7</v>
      </c>
      <c r="AD34" s="1393">
        <v>0.0</v>
      </c>
      <c r="AE34" s="1393">
        <v>0.0</v>
      </c>
      <c r="AF34" s="1393">
        <v>0.0</v>
      </c>
      <c r="AG34" s="1393">
        <v>734176.080069327</v>
      </c>
      <c r="AH34" s="1393">
        <v>2305848.340856</v>
      </c>
      <c r="AI34" s="1393">
        <v>0.0</v>
      </c>
      <c r="AJ34" s="1393">
        <v>0.0</v>
      </c>
      <c r="AK34" s="1393">
        <v>1.2815661827836078E7</v>
      </c>
      <c r="AL34" s="1393">
        <v>0.0</v>
      </c>
      <c r="AM34" s="1393">
        <v>0.0</v>
      </c>
      <c r="AN34" s="1393">
        <v>0.0</v>
      </c>
      <c r="AO34" s="1393">
        <v>748953.7323130151</v>
      </c>
      <c r="AP34" s="1393">
        <v>2533851.0958576766</v>
      </c>
      <c r="AQ34" s="1393">
        <v>0.0</v>
      </c>
      <c r="AR34" s="1393">
        <v>0.0</v>
      </c>
      <c r="AS34" s="1393">
        <v>1.4060410034041164E7</v>
      </c>
      <c r="AT34" s="1393">
        <v>0.0</v>
      </c>
      <c r="AU34" s="1393">
        <v>0.0</v>
      </c>
      <c r="AV34" s="1393">
        <v>0.0</v>
      </c>
      <c r="AW34" s="1393">
        <v>823010.4303666101</v>
      </c>
      <c r="AX34" s="1393">
        <v>2354819.976375586</v>
      </c>
      <c r="AY34" s="1393">
        <v>0.0</v>
      </c>
      <c r="AZ34" s="1393">
        <v>0.0</v>
      </c>
      <c r="BA34" s="1393">
        <v>1.3075518066276079E7</v>
      </c>
      <c r="BB34" s="1393">
        <v>0.0</v>
      </c>
      <c r="BC34" s="1393">
        <v>0.0</v>
      </c>
      <c r="BD34" s="1393">
        <v>0.0</v>
      </c>
      <c r="BE34" s="1393">
        <v>764860.020922721</v>
      </c>
      <c r="BF34" s="1393">
        <v>2329805.962919886</v>
      </c>
      <c r="BG34" s="1393">
        <v>0.0</v>
      </c>
      <c r="BH34" s="1393">
        <v>0.0</v>
      </c>
      <c r="BI34" s="1393">
        <v>1.2937847711140318E7</v>
      </c>
      <c r="BJ34" s="1393">
        <v>0.0</v>
      </c>
      <c r="BK34" s="1393">
        <v>0.0</v>
      </c>
      <c r="BL34" s="1393">
        <v>0.0</v>
      </c>
      <c r="BM34" s="1393">
        <v>756735.3154050895</v>
      </c>
      <c r="BN34" s="1393">
        <v>2364703.6629659426</v>
      </c>
      <c r="BO34" s="1393">
        <v>0.0</v>
      </c>
      <c r="BP34" s="1393">
        <v>0.0</v>
      </c>
      <c r="BQ34" s="1393">
        <v>1.3128938983150091E7</v>
      </c>
      <c r="BR34" s="1393">
        <v>0.0</v>
      </c>
      <c r="BS34" s="1393">
        <v>0.0</v>
      </c>
      <c r="BT34" s="1393">
        <v>0.0</v>
      </c>
      <c r="BU34" s="1393">
        <v>768070.3031558152</v>
      </c>
      <c r="BV34" s="1393">
        <v>2473420.4494538745</v>
      </c>
      <c r="BW34" s="1393">
        <v>0.0</v>
      </c>
      <c r="BX34" s="1393">
        <v>0.0</v>
      </c>
      <c r="BY34" s="1393">
        <v>1.3726453111782543E7</v>
      </c>
      <c r="BZ34" s="1393">
        <v>0.0</v>
      </c>
      <c r="CA34" s="1393">
        <v>0.0</v>
      </c>
      <c r="CB34" s="1393">
        <v>0.0</v>
      </c>
      <c r="CC34" s="1393">
        <v>803382.1844979274</v>
      </c>
      <c r="CD34" s="1393">
        <v>2488746.490237779</v>
      </c>
      <c r="CE34" s="1393">
        <v>0.0</v>
      </c>
      <c r="CF34" s="1393">
        <v>0.0</v>
      </c>
      <c r="CG34" s="1393">
        <v>1.3810659912881536E7</v>
      </c>
      <c r="CH34" s="1393">
        <v>0.0</v>
      </c>
      <c r="CI34" s="1393">
        <v>0.0</v>
      </c>
      <c r="CJ34" s="1393">
        <v>0.0</v>
      </c>
      <c r="CK34" s="1393">
        <v>808360.176867723</v>
      </c>
      <c r="CL34" s="1393">
        <v>2407526.466341946</v>
      </c>
      <c r="CM34" s="1393">
        <v>0.0</v>
      </c>
      <c r="CN34" s="1393">
        <v>0.0</v>
      </c>
      <c r="CO34" s="1393">
        <v>1.3363409763177928E7</v>
      </c>
      <c r="CP34" s="1393">
        <v>0.0</v>
      </c>
      <c r="CQ34" s="1393">
        <v>0.0</v>
      </c>
      <c r="CR34" s="1393">
        <v>0.0</v>
      </c>
      <c r="CS34" s="1393">
        <v>781979.4132426727</v>
      </c>
      <c r="CT34" s="1393">
        <v>2402174.751978109</v>
      </c>
      <c r="CU34" s="1393">
        <v>0.0</v>
      </c>
      <c r="CV34" s="1393">
        <v>0.0</v>
      </c>
      <c r="CW34" s="1393">
        <v>1.3333996082298322E7</v>
      </c>
      <c r="CX34" s="1393">
        <v>0.0</v>
      </c>
      <c r="CY34" s="1393">
        <v>0.0</v>
      </c>
      <c r="CZ34" s="1393">
        <v>0.0</v>
      </c>
      <c r="DA34" s="1393">
        <v>780241.1434804987</v>
      </c>
      <c r="DB34" s="1393">
        <v>2362773.9637301075</v>
      </c>
      <c r="DC34" s="1393">
        <v>0.0</v>
      </c>
      <c r="DD34" s="1393">
        <v>0.0</v>
      </c>
      <c r="DE34" s="1393">
        <v>1.311738966214131E7</v>
      </c>
      <c r="DF34" s="1393">
        <v>0.0</v>
      </c>
      <c r="DG34" s="1393">
        <v>0.0</v>
      </c>
      <c r="DH34" s="1393">
        <v>0.0</v>
      </c>
      <c r="DI34" s="1393">
        <v>767443.5249677994</v>
      </c>
      <c r="DJ34" s="1393">
        <v>2399745.555887051</v>
      </c>
      <c r="DK34" s="1393">
        <v>0.0</v>
      </c>
      <c r="DL34" s="1393">
        <v>0.0</v>
      </c>
      <c r="DM34" s="1393">
        <v>1.332059008342407E7</v>
      </c>
      <c r="DN34" s="1393">
        <v>0.0</v>
      </c>
      <c r="DO34" s="1393">
        <v>0.0</v>
      </c>
      <c r="DP34" s="1393">
        <v>0.0</v>
      </c>
      <c r="DQ34" s="1393">
        <v>779452.1256397838</v>
      </c>
      <c r="DR34" s="1379">
        <f t="shared" si="10"/>
        <v>197286031.4</v>
      </c>
    </row>
    <row r="35" hidden="1">
      <c r="A35" s="1387"/>
      <c r="B35" s="1394">
        <f t="shared" si="11"/>
        <v>4</v>
      </c>
      <c r="C35" s="1389" t="s">
        <v>1748</v>
      </c>
      <c r="D35" s="185" t="s">
        <v>186</v>
      </c>
      <c r="E35" s="185" t="s">
        <v>347</v>
      </c>
      <c r="F35" s="185" t="s">
        <v>1888</v>
      </c>
      <c r="G35" s="185" t="s">
        <v>203</v>
      </c>
      <c r="H35" s="185" t="s">
        <v>135</v>
      </c>
      <c r="I35" s="185" t="s">
        <v>135</v>
      </c>
      <c r="J35" s="185" t="s">
        <v>1889</v>
      </c>
      <c r="K35" s="185" t="s">
        <v>188</v>
      </c>
      <c r="L35" s="1390">
        <v>1.5764261E8</v>
      </c>
      <c r="M35" s="1390">
        <v>1.5764261E8</v>
      </c>
      <c r="N35" s="1390">
        <v>1.5764261E8</v>
      </c>
      <c r="O35" s="1390">
        <v>1.5764261E8</v>
      </c>
      <c r="P35" s="1390">
        <v>1.5764261E8</v>
      </c>
      <c r="Q35" s="1390">
        <v>1.5764261E8</v>
      </c>
      <c r="R35" s="1390">
        <v>1.5764261E8</v>
      </c>
      <c r="S35" s="1390">
        <v>1.5764261E8</v>
      </c>
      <c r="T35" s="1390">
        <v>1.5764261E8</v>
      </c>
      <c r="U35" s="1390">
        <v>1.5764261E8</v>
      </c>
      <c r="V35" s="1390">
        <v>1.5764261E8</v>
      </c>
      <c r="W35" s="1390">
        <v>1.5764261E8</v>
      </c>
      <c r="X35" s="1391">
        <v>1.89171132E9</v>
      </c>
      <c r="Y35" s="1392">
        <f t="shared" si="3"/>
        <v>0</v>
      </c>
      <c r="Z35" s="1393">
        <v>2681204.333289002</v>
      </c>
      <c r="AA35" s="1393">
        <v>0.0</v>
      </c>
      <c r="AB35" s="1393">
        <v>0.0</v>
      </c>
      <c r="AC35" s="1393">
        <v>1.1469583932518077E8</v>
      </c>
      <c r="AD35" s="1393">
        <v>0.0</v>
      </c>
      <c r="AE35" s="1393">
        <v>0.0</v>
      </c>
      <c r="AF35" s="1393">
        <v>0.0</v>
      </c>
      <c r="AG35" s="1393">
        <v>1.1843812391140765E7</v>
      </c>
      <c r="AH35" s="1393">
        <v>2649434.2024708935</v>
      </c>
      <c r="AI35" s="1393">
        <v>0.0</v>
      </c>
      <c r="AJ35" s="1393">
        <v>0.0</v>
      </c>
      <c r="AK35" s="1393">
        <v>1.1331286023604839E8</v>
      </c>
      <c r="AL35" s="1393">
        <v>0.0</v>
      </c>
      <c r="AM35" s="1393">
        <v>0.0</v>
      </c>
      <c r="AN35" s="1393">
        <v>0.0</v>
      </c>
      <c r="AO35" s="1393">
        <v>1.1703472669777527E7</v>
      </c>
      <c r="AP35" s="1393">
        <v>3324621.586060243</v>
      </c>
      <c r="AQ35" s="1393">
        <v>0.0</v>
      </c>
      <c r="AR35" s="1393">
        <v>0.0</v>
      </c>
      <c r="AS35" s="1393">
        <v>1.4200409354406264E8</v>
      </c>
      <c r="AT35" s="1393">
        <v>0.0</v>
      </c>
      <c r="AU35" s="1393">
        <v>0.0</v>
      </c>
      <c r="AV35" s="1393">
        <v>0.0</v>
      </c>
      <c r="AW35" s="1393">
        <v>1.4686010255895732E7</v>
      </c>
      <c r="AX35" s="1393">
        <v>2765140.991682312</v>
      </c>
      <c r="AY35" s="1393">
        <v>0.0</v>
      </c>
      <c r="AZ35" s="1393">
        <v>0.0</v>
      </c>
      <c r="BA35" s="1393">
        <v>1.1822933613953742E8</v>
      </c>
      <c r="BB35" s="1393">
        <v>0.0</v>
      </c>
      <c r="BC35" s="1393">
        <v>0.0</v>
      </c>
      <c r="BD35" s="1393">
        <v>0.0</v>
      </c>
      <c r="BE35" s="1393">
        <v>1.2214589814706294E7</v>
      </c>
      <c r="BF35" s="1393">
        <v>2642202.9105060175</v>
      </c>
      <c r="BG35" s="1393">
        <v>0.0</v>
      </c>
      <c r="BH35" s="1393">
        <v>0.0</v>
      </c>
      <c r="BI35" s="1393">
        <v>1.1299263137180986E8</v>
      </c>
      <c r="BJ35" s="1393">
        <v>0.0</v>
      </c>
      <c r="BK35" s="1393">
        <v>0.0</v>
      </c>
      <c r="BL35" s="1393">
        <v>0.0</v>
      </c>
      <c r="BM35" s="1393">
        <v>1.1671529537240332E7</v>
      </c>
      <c r="BN35" s="1393">
        <v>2762636.7194388304</v>
      </c>
      <c r="BO35" s="1393">
        <v>0.0</v>
      </c>
      <c r="BP35" s="1393">
        <v>0.0</v>
      </c>
      <c r="BQ35" s="1393">
        <v>1.1811510193307917E8</v>
      </c>
      <c r="BR35" s="1393">
        <v>0.0</v>
      </c>
      <c r="BS35" s="1393">
        <v>0.0</v>
      </c>
      <c r="BT35" s="1393">
        <v>0.0</v>
      </c>
      <c r="BU35" s="1393">
        <v>1.2203527572914468E7</v>
      </c>
      <c r="BV35" s="1393">
        <v>2532836.010492828</v>
      </c>
      <c r="BW35" s="1393">
        <v>0.0</v>
      </c>
      <c r="BX35" s="1393">
        <v>0.0</v>
      </c>
      <c r="BY35" s="1393">
        <v>1.082124823987964E8</v>
      </c>
      <c r="BZ35" s="1393">
        <v>0.0</v>
      </c>
      <c r="CA35" s="1393">
        <v>0.0</v>
      </c>
      <c r="CB35" s="1393">
        <v>0.0</v>
      </c>
      <c r="CC35" s="1393">
        <v>1.1188417888689507E7</v>
      </c>
      <c r="CD35" s="1393">
        <v>2477842.554677926</v>
      </c>
      <c r="CE35" s="1393">
        <v>0.0</v>
      </c>
      <c r="CF35" s="1393">
        <v>0.0</v>
      </c>
      <c r="CG35" s="1393">
        <v>1.0585552175763375E8</v>
      </c>
      <c r="CH35" s="1393">
        <v>0.0</v>
      </c>
      <c r="CI35" s="1393">
        <v>0.0</v>
      </c>
      <c r="CJ35" s="1393">
        <v>0.0</v>
      </c>
      <c r="CK35" s="1393">
        <v>1.0945492660900839E7</v>
      </c>
      <c r="CL35" s="1393">
        <v>3001539.0876576593</v>
      </c>
      <c r="CM35" s="1393">
        <v>0.0</v>
      </c>
      <c r="CN35" s="1393">
        <v>0.0</v>
      </c>
      <c r="CO35" s="1393">
        <v>1.2828811477565159E8</v>
      </c>
      <c r="CP35" s="1393">
        <v>0.0</v>
      </c>
      <c r="CQ35" s="1393">
        <v>0.0</v>
      </c>
      <c r="CR35" s="1393">
        <v>0.0</v>
      </c>
      <c r="CS35" s="1393">
        <v>1.3258842452818494E7</v>
      </c>
      <c r="CT35" s="1393">
        <v>3034432.938562003</v>
      </c>
      <c r="CU35" s="1393">
        <v>0.0</v>
      </c>
      <c r="CV35" s="1393">
        <v>0.0</v>
      </c>
      <c r="CW35" s="1393">
        <v>1.297003395255617E8</v>
      </c>
      <c r="CX35" s="1393">
        <v>0.0</v>
      </c>
      <c r="CY35" s="1393">
        <v>0.0</v>
      </c>
      <c r="CZ35" s="1393">
        <v>0.0</v>
      </c>
      <c r="DA35" s="1393">
        <v>1.340414603677E7</v>
      </c>
      <c r="DB35" s="1393">
        <v>2842001.0142413266</v>
      </c>
      <c r="DC35" s="1393">
        <v>0.0</v>
      </c>
      <c r="DD35" s="1393">
        <v>0.0</v>
      </c>
      <c r="DE35" s="1393">
        <v>1.2150636003910567E8</v>
      </c>
      <c r="DF35" s="1393">
        <v>0.0</v>
      </c>
      <c r="DG35" s="1393">
        <v>0.0</v>
      </c>
      <c r="DH35" s="1393">
        <v>0.0</v>
      </c>
      <c r="DI35" s="1393">
        <v>1.2554107275671732E7</v>
      </c>
      <c r="DJ35" s="1393">
        <v>2807225.9918630426</v>
      </c>
      <c r="DK35" s="1393">
        <v>0.0</v>
      </c>
      <c r="DL35" s="1393">
        <v>0.0</v>
      </c>
      <c r="DM35" s="1393">
        <v>1.199908512505223E8</v>
      </c>
      <c r="DN35" s="1393">
        <v>0.0</v>
      </c>
      <c r="DO35" s="1393">
        <v>0.0</v>
      </c>
      <c r="DP35" s="1393">
        <v>0.0</v>
      </c>
      <c r="DQ35" s="1393">
        <v>1.2400493902818168E7</v>
      </c>
      <c r="DR35" s="1379">
        <f t="shared" si="10"/>
        <v>1614499093</v>
      </c>
    </row>
    <row r="36" hidden="1">
      <c r="A36" s="1387"/>
      <c r="B36" s="1394">
        <f t="shared" si="11"/>
        <v>5</v>
      </c>
      <c r="C36" s="1389" t="s">
        <v>1749</v>
      </c>
      <c r="D36" s="185" t="s">
        <v>186</v>
      </c>
      <c r="E36" s="185" t="s">
        <v>347</v>
      </c>
      <c r="F36" s="185" t="s">
        <v>1888</v>
      </c>
      <c r="G36" s="185" t="s">
        <v>203</v>
      </c>
      <c r="H36" s="185" t="s">
        <v>135</v>
      </c>
      <c r="I36" s="185" t="s">
        <v>135</v>
      </c>
      <c r="J36" s="185" t="s">
        <v>1889</v>
      </c>
      <c r="K36" s="185" t="s">
        <v>188</v>
      </c>
      <c r="L36" s="1390">
        <v>2.9895622E7</v>
      </c>
      <c r="M36" s="1390">
        <v>2.9895622E7</v>
      </c>
      <c r="N36" s="1390">
        <v>2.9895622E7</v>
      </c>
      <c r="O36" s="1390">
        <v>2.9895622E7</v>
      </c>
      <c r="P36" s="1390">
        <v>2.9895622E7</v>
      </c>
      <c r="Q36" s="1390">
        <v>2.9895622E7</v>
      </c>
      <c r="R36" s="1390">
        <v>2.9895622E7</v>
      </c>
      <c r="S36" s="1390">
        <v>2.9895622E7</v>
      </c>
      <c r="T36" s="1390">
        <v>2.9895622E7</v>
      </c>
      <c r="U36" s="1390">
        <v>2.9895622E7</v>
      </c>
      <c r="V36" s="1390">
        <v>2.9895622E7</v>
      </c>
      <c r="W36" s="1390">
        <v>2.9895622E7</v>
      </c>
      <c r="X36" s="1391">
        <v>3.58747464E8</v>
      </c>
      <c r="Y36" s="1392">
        <f t="shared" si="3"/>
        <v>0</v>
      </c>
      <c r="Z36" s="1393">
        <v>508468.30849076924</v>
      </c>
      <c r="AA36" s="1393">
        <v>0.0</v>
      </c>
      <c r="AB36" s="1393">
        <v>0.0</v>
      </c>
      <c r="AC36" s="1393">
        <v>2.175112082601486E7</v>
      </c>
      <c r="AD36" s="1393">
        <v>0.0</v>
      </c>
      <c r="AE36" s="1393">
        <v>0.0</v>
      </c>
      <c r="AF36" s="1393">
        <v>0.0</v>
      </c>
      <c r="AG36" s="1393">
        <v>2246081.4261097326</v>
      </c>
      <c r="AH36" s="1393">
        <v>502443.36496928905</v>
      </c>
      <c r="AI36" s="1393">
        <v>0.0</v>
      </c>
      <c r="AJ36" s="1393">
        <v>0.0</v>
      </c>
      <c r="AK36" s="1393">
        <v>2.148885023760856E7</v>
      </c>
      <c r="AL36" s="1393">
        <v>0.0</v>
      </c>
      <c r="AM36" s="1393">
        <v>0.0</v>
      </c>
      <c r="AN36" s="1393">
        <v>0.0</v>
      </c>
      <c r="AO36" s="1393">
        <v>2219467.154362642</v>
      </c>
      <c r="AP36" s="1393">
        <v>630487.0886741693</v>
      </c>
      <c r="AQ36" s="1393">
        <v>0.0</v>
      </c>
      <c r="AR36" s="1393">
        <v>0.0</v>
      </c>
      <c r="AS36" s="1393">
        <v>2.692990621663735E7</v>
      </c>
      <c r="AT36" s="1393">
        <v>0.0</v>
      </c>
      <c r="AU36" s="1393">
        <v>0.0</v>
      </c>
      <c r="AV36" s="1393">
        <v>0.0</v>
      </c>
      <c r="AW36" s="1393">
        <v>2785080.8312446875</v>
      </c>
      <c r="AX36" s="1393">
        <v>524386.2041109288</v>
      </c>
      <c r="AY36" s="1393">
        <v>0.0</v>
      </c>
      <c r="AZ36" s="1393">
        <v>0.0</v>
      </c>
      <c r="BA36" s="1393">
        <v>2.242121938058847E7</v>
      </c>
      <c r="BB36" s="1393">
        <v>0.0</v>
      </c>
      <c r="BC36" s="1393">
        <v>0.0</v>
      </c>
      <c r="BD36" s="1393">
        <v>0.0</v>
      </c>
      <c r="BE36" s="1393">
        <v>2316396.309256167</v>
      </c>
      <c r="BF36" s="1393">
        <v>501072.0100345188</v>
      </c>
      <c r="BG36" s="1393">
        <v>0.0</v>
      </c>
      <c r="BH36" s="1393">
        <v>0.0</v>
      </c>
      <c r="BI36" s="1393">
        <v>2.1428121472214706E7</v>
      </c>
      <c r="BJ36" s="1393">
        <v>0.0</v>
      </c>
      <c r="BK36" s="1393">
        <v>0.0</v>
      </c>
      <c r="BL36" s="1393">
        <v>0.0</v>
      </c>
      <c r="BM36" s="1393">
        <v>2213409.402490684</v>
      </c>
      <c r="BN36" s="1393">
        <v>523911.2895153368</v>
      </c>
      <c r="BO36" s="1393">
        <v>0.0</v>
      </c>
      <c r="BP36" s="1393">
        <v>0.0</v>
      </c>
      <c r="BQ36" s="1393">
        <v>2.2399555804631777E7</v>
      </c>
      <c r="BR36" s="1393">
        <v>0.0</v>
      </c>
      <c r="BS36" s="1393">
        <v>0.0</v>
      </c>
      <c r="BT36" s="1393">
        <v>0.0</v>
      </c>
      <c r="BU36" s="1393">
        <v>2314298.4462540196</v>
      </c>
      <c r="BV36" s="1393">
        <v>480331.47863817797</v>
      </c>
      <c r="BW36" s="1393">
        <v>0.0</v>
      </c>
      <c r="BX36" s="1393">
        <v>0.0</v>
      </c>
      <c r="BY36" s="1393">
        <v>2.0521605608255725E7</v>
      </c>
      <c r="BZ36" s="1393">
        <v>0.0</v>
      </c>
      <c r="CA36" s="1393">
        <v>0.0</v>
      </c>
      <c r="CB36" s="1393">
        <v>0.0</v>
      </c>
      <c r="CC36" s="1393">
        <v>2121791.2592179207</v>
      </c>
      <c r="CD36" s="1393">
        <v>469902.4228929323</v>
      </c>
      <c r="CE36" s="1393">
        <v>0.0</v>
      </c>
      <c r="CF36" s="1393">
        <v>0.0</v>
      </c>
      <c r="CG36" s="1393">
        <v>2.0074627444185264E7</v>
      </c>
      <c r="CH36" s="1393">
        <v>0.0</v>
      </c>
      <c r="CI36" s="1393">
        <v>0.0</v>
      </c>
      <c r="CJ36" s="1393">
        <v>0.0</v>
      </c>
      <c r="CK36" s="1393">
        <v>2075722.4914892341</v>
      </c>
      <c r="CL36" s="1393">
        <v>569217.1550752568</v>
      </c>
      <c r="CM36" s="1393">
        <v>0.0</v>
      </c>
      <c r="CN36" s="1393">
        <v>0.0</v>
      </c>
      <c r="CO36" s="1393">
        <v>2.4328783863864567E7</v>
      </c>
      <c r="CP36" s="1393">
        <v>0.0</v>
      </c>
      <c r="CQ36" s="1393">
        <v>0.0</v>
      </c>
      <c r="CR36" s="1393">
        <v>0.0</v>
      </c>
      <c r="CS36" s="1393">
        <v>2514430.2173569347</v>
      </c>
      <c r="CT36" s="1393">
        <v>575455.2028515568</v>
      </c>
      <c r="CU36" s="1393">
        <v>0.0</v>
      </c>
      <c r="CV36" s="1393">
        <v>0.0</v>
      </c>
      <c r="CW36" s="1393">
        <v>2.459660065085101E7</v>
      </c>
      <c r="CX36" s="1393">
        <v>0.0</v>
      </c>
      <c r="CY36" s="1393">
        <v>0.0</v>
      </c>
      <c r="CZ36" s="1393">
        <v>0.0</v>
      </c>
      <c r="DA36" s="1393">
        <v>2541985.8447413044</v>
      </c>
      <c r="DB36" s="1393">
        <v>538962.0740571049</v>
      </c>
      <c r="DC36" s="1393">
        <v>0.0</v>
      </c>
      <c r="DD36" s="1393">
        <v>0.0</v>
      </c>
      <c r="DE36" s="1393">
        <v>2.3042679960227814E7</v>
      </c>
      <c r="DF36" s="1393">
        <v>0.0</v>
      </c>
      <c r="DG36" s="1393">
        <v>0.0</v>
      </c>
      <c r="DH36" s="1393">
        <v>0.0</v>
      </c>
      <c r="DI36" s="1393">
        <v>2380782.998079846</v>
      </c>
      <c r="DJ36" s="1393">
        <v>532367.2776117611</v>
      </c>
      <c r="DK36" s="1393">
        <v>0.0</v>
      </c>
      <c r="DL36" s="1393">
        <v>0.0</v>
      </c>
      <c r="DM36" s="1393">
        <v>2.2755276206374925E7</v>
      </c>
      <c r="DN36" s="1393">
        <v>0.0</v>
      </c>
      <c r="DO36" s="1393">
        <v>0.0</v>
      </c>
      <c r="DP36" s="1393">
        <v>0.0</v>
      </c>
      <c r="DQ36" s="1393">
        <v>2351651.487703462</v>
      </c>
      <c r="DR36" s="1379">
        <f t="shared" si="10"/>
        <v>306176449.4</v>
      </c>
    </row>
    <row r="37" hidden="1">
      <c r="A37" s="1387"/>
      <c r="B37" s="1394">
        <f t="shared" si="11"/>
        <v>6</v>
      </c>
      <c r="C37" s="1389" t="s">
        <v>1750</v>
      </c>
      <c r="D37" s="185" t="s">
        <v>186</v>
      </c>
      <c r="E37" s="185" t="s">
        <v>347</v>
      </c>
      <c r="F37" s="185" t="s">
        <v>1888</v>
      </c>
      <c r="G37" s="185" t="s">
        <v>218</v>
      </c>
      <c r="H37" s="185" t="s">
        <v>88</v>
      </c>
      <c r="I37" s="185" t="s">
        <v>88</v>
      </c>
      <c r="J37" s="185" t="s">
        <v>1889</v>
      </c>
      <c r="K37" s="185" t="s">
        <v>188</v>
      </c>
      <c r="L37" s="1390">
        <v>4.7246803E8</v>
      </c>
      <c r="M37" s="1390">
        <v>4.7246803E8</v>
      </c>
      <c r="N37" s="1390">
        <v>4.7246803E8</v>
      </c>
      <c r="O37" s="1390">
        <v>4.7246803E8</v>
      </c>
      <c r="P37" s="1390">
        <v>4.7246803E8</v>
      </c>
      <c r="Q37" s="1390">
        <v>4.7246803E8</v>
      </c>
      <c r="R37" s="1390">
        <v>4.7246803E8</v>
      </c>
      <c r="S37" s="1390">
        <v>4.7246803E8</v>
      </c>
      <c r="T37" s="1390">
        <v>4.7246803E8</v>
      </c>
      <c r="U37" s="1390">
        <v>4.7246803E8</v>
      </c>
      <c r="V37" s="1390">
        <v>4.7246803E8</v>
      </c>
      <c r="W37" s="1390">
        <v>4.7246803E8</v>
      </c>
      <c r="X37" s="1391">
        <v>5.66961636E9</v>
      </c>
      <c r="Y37" s="1392">
        <f t="shared" si="3"/>
        <v>0</v>
      </c>
      <c r="Z37" s="1393">
        <v>8500657.647916052</v>
      </c>
      <c r="AA37" s="1393">
        <v>0.0</v>
      </c>
      <c r="AB37" s="1393">
        <v>0.0</v>
      </c>
      <c r="AC37" s="1393">
        <v>3.726027455390304E8</v>
      </c>
      <c r="AD37" s="1393">
        <v>0.0</v>
      </c>
      <c r="AE37" s="1393">
        <v>0.0</v>
      </c>
      <c r="AF37" s="1393">
        <v>0.0</v>
      </c>
      <c r="AG37" s="1393">
        <v>5.713626110614223E7</v>
      </c>
      <c r="AH37" s="1393">
        <v>8500657.647916052</v>
      </c>
      <c r="AI37" s="1393">
        <v>0.0</v>
      </c>
      <c r="AJ37" s="1393">
        <v>0.0</v>
      </c>
      <c r="AK37" s="1393">
        <v>3.726027455390304E8</v>
      </c>
      <c r="AL37" s="1393">
        <v>0.0</v>
      </c>
      <c r="AM37" s="1393">
        <v>0.0</v>
      </c>
      <c r="AN37" s="1393">
        <v>0.0</v>
      </c>
      <c r="AO37" s="1393">
        <v>5.713626110614223E7</v>
      </c>
      <c r="AP37" s="1393">
        <v>8500657.647916052</v>
      </c>
      <c r="AQ37" s="1393">
        <v>0.0</v>
      </c>
      <c r="AR37" s="1393">
        <v>0.0</v>
      </c>
      <c r="AS37" s="1393">
        <v>3.726027455390304E8</v>
      </c>
      <c r="AT37" s="1393">
        <v>0.0</v>
      </c>
      <c r="AU37" s="1393">
        <v>0.0</v>
      </c>
      <c r="AV37" s="1393">
        <v>0.0</v>
      </c>
      <c r="AW37" s="1393">
        <v>5.713626110614223E7</v>
      </c>
      <c r="AX37" s="1393">
        <v>8500657.647916052</v>
      </c>
      <c r="AY37" s="1393">
        <v>0.0</v>
      </c>
      <c r="AZ37" s="1393">
        <v>0.0</v>
      </c>
      <c r="BA37" s="1393">
        <v>3.726027455390304E8</v>
      </c>
      <c r="BB37" s="1393">
        <v>0.0</v>
      </c>
      <c r="BC37" s="1393">
        <v>0.0</v>
      </c>
      <c r="BD37" s="1393">
        <v>0.0</v>
      </c>
      <c r="BE37" s="1393">
        <v>5.713626110614223E7</v>
      </c>
      <c r="BF37" s="1393">
        <v>8500657.647916052</v>
      </c>
      <c r="BG37" s="1393">
        <v>0.0</v>
      </c>
      <c r="BH37" s="1393">
        <v>0.0</v>
      </c>
      <c r="BI37" s="1393">
        <v>3.726027455390304E8</v>
      </c>
      <c r="BJ37" s="1393">
        <v>0.0</v>
      </c>
      <c r="BK37" s="1393">
        <v>0.0</v>
      </c>
      <c r="BL37" s="1393">
        <v>0.0</v>
      </c>
      <c r="BM37" s="1393">
        <v>5.713626110614223E7</v>
      </c>
      <c r="BN37" s="1393">
        <v>8500657.647916052</v>
      </c>
      <c r="BO37" s="1393">
        <v>0.0</v>
      </c>
      <c r="BP37" s="1393">
        <v>0.0</v>
      </c>
      <c r="BQ37" s="1393">
        <v>3.726027455390304E8</v>
      </c>
      <c r="BR37" s="1393">
        <v>0.0</v>
      </c>
      <c r="BS37" s="1393">
        <v>0.0</v>
      </c>
      <c r="BT37" s="1393">
        <v>0.0</v>
      </c>
      <c r="BU37" s="1393">
        <v>5.713626110614223E7</v>
      </c>
      <c r="BV37" s="1393">
        <v>8500657.647916052</v>
      </c>
      <c r="BW37" s="1393">
        <v>0.0</v>
      </c>
      <c r="BX37" s="1393">
        <v>0.0</v>
      </c>
      <c r="BY37" s="1393">
        <v>3.726027455390304E8</v>
      </c>
      <c r="BZ37" s="1393">
        <v>0.0</v>
      </c>
      <c r="CA37" s="1393">
        <v>0.0</v>
      </c>
      <c r="CB37" s="1393">
        <v>0.0</v>
      </c>
      <c r="CC37" s="1393">
        <v>5.713626110614223E7</v>
      </c>
      <c r="CD37" s="1393">
        <v>8500657.647916052</v>
      </c>
      <c r="CE37" s="1393">
        <v>0.0</v>
      </c>
      <c r="CF37" s="1393">
        <v>0.0</v>
      </c>
      <c r="CG37" s="1393">
        <v>3.726027455390304E8</v>
      </c>
      <c r="CH37" s="1393">
        <v>0.0</v>
      </c>
      <c r="CI37" s="1393">
        <v>0.0</v>
      </c>
      <c r="CJ37" s="1393">
        <v>0.0</v>
      </c>
      <c r="CK37" s="1393">
        <v>5.713626110614223E7</v>
      </c>
      <c r="CL37" s="1393">
        <v>8500657.647916052</v>
      </c>
      <c r="CM37" s="1393">
        <v>0.0</v>
      </c>
      <c r="CN37" s="1393">
        <v>0.0</v>
      </c>
      <c r="CO37" s="1393">
        <v>3.726027455390304E8</v>
      </c>
      <c r="CP37" s="1393">
        <v>0.0</v>
      </c>
      <c r="CQ37" s="1393">
        <v>0.0</v>
      </c>
      <c r="CR37" s="1393">
        <v>0.0</v>
      </c>
      <c r="CS37" s="1393">
        <v>5.713626110614223E7</v>
      </c>
      <c r="CT37" s="1393">
        <v>8500657.647916052</v>
      </c>
      <c r="CU37" s="1393">
        <v>0.0</v>
      </c>
      <c r="CV37" s="1393">
        <v>0.0</v>
      </c>
      <c r="CW37" s="1393">
        <v>3.726027455390304E8</v>
      </c>
      <c r="CX37" s="1393">
        <v>0.0</v>
      </c>
      <c r="CY37" s="1393">
        <v>0.0</v>
      </c>
      <c r="CZ37" s="1393">
        <v>0.0</v>
      </c>
      <c r="DA37" s="1393">
        <v>5.713626110614223E7</v>
      </c>
      <c r="DB37" s="1393">
        <v>8500657.647916052</v>
      </c>
      <c r="DC37" s="1393">
        <v>0.0</v>
      </c>
      <c r="DD37" s="1393">
        <v>0.0</v>
      </c>
      <c r="DE37" s="1393">
        <v>3.726027455390304E8</v>
      </c>
      <c r="DF37" s="1393">
        <v>0.0</v>
      </c>
      <c r="DG37" s="1393">
        <v>0.0</v>
      </c>
      <c r="DH37" s="1393">
        <v>0.0</v>
      </c>
      <c r="DI37" s="1393">
        <v>5.713626110614223E7</v>
      </c>
      <c r="DJ37" s="1393">
        <v>8500657.647916052</v>
      </c>
      <c r="DK37" s="1393">
        <v>0.0</v>
      </c>
      <c r="DL37" s="1393">
        <v>0.0</v>
      </c>
      <c r="DM37" s="1393">
        <v>3.726027455390304E8</v>
      </c>
      <c r="DN37" s="1393">
        <v>0.0</v>
      </c>
      <c r="DO37" s="1393">
        <v>0.0</v>
      </c>
      <c r="DP37" s="1393">
        <v>0.0</v>
      </c>
      <c r="DQ37" s="1393">
        <v>5.713626110614223E7</v>
      </c>
      <c r="DR37" s="1379">
        <f t="shared" si="10"/>
        <v>5258875972</v>
      </c>
    </row>
    <row r="38" hidden="1">
      <c r="A38" s="1387"/>
      <c r="B38" s="1394">
        <f t="shared" si="11"/>
        <v>7</v>
      </c>
      <c r="C38" s="1389" t="s">
        <v>1751</v>
      </c>
      <c r="D38" s="185" t="s">
        <v>186</v>
      </c>
      <c r="E38" s="185" t="s">
        <v>347</v>
      </c>
      <c r="F38" s="185" t="s">
        <v>1888</v>
      </c>
      <c r="G38" s="185" t="s">
        <v>306</v>
      </c>
      <c r="H38" s="185" t="s">
        <v>92</v>
      </c>
      <c r="I38" s="185" t="s">
        <v>305</v>
      </c>
      <c r="J38" s="185" t="s">
        <v>1889</v>
      </c>
      <c r="K38" s="185" t="s">
        <v>188</v>
      </c>
      <c r="L38" s="1390">
        <v>6.0315994E7</v>
      </c>
      <c r="M38" s="1390">
        <v>6.0315994E7</v>
      </c>
      <c r="N38" s="1390">
        <v>6.0315994E7</v>
      </c>
      <c r="O38" s="1390">
        <v>6.0315994E7</v>
      </c>
      <c r="P38" s="1390">
        <v>6.0315994E7</v>
      </c>
      <c r="Q38" s="1390">
        <v>6.0315994E7</v>
      </c>
      <c r="R38" s="1390">
        <v>6.0315994E7</v>
      </c>
      <c r="S38" s="1390">
        <v>6.0315994E7</v>
      </c>
      <c r="T38" s="1390">
        <v>6.0315994E7</v>
      </c>
      <c r="U38" s="1390">
        <v>6.0315994E7</v>
      </c>
      <c r="V38" s="1390">
        <v>6.0315994E7</v>
      </c>
      <c r="W38" s="1390">
        <v>6.0315994E7</v>
      </c>
      <c r="X38" s="1391">
        <v>7.23791928E8</v>
      </c>
      <c r="Y38" s="1392">
        <f t="shared" si="3"/>
        <v>0</v>
      </c>
      <c r="Z38" s="1393">
        <v>3.817620021035321E7</v>
      </c>
      <c r="AA38" s="1393">
        <v>0.0</v>
      </c>
      <c r="AB38" s="1393">
        <v>0.0</v>
      </c>
      <c r="AC38" s="1393">
        <v>8426130.39517203</v>
      </c>
      <c r="AD38" s="1393">
        <v>0.0</v>
      </c>
      <c r="AE38" s="1393">
        <v>0.0</v>
      </c>
      <c r="AF38" s="1393">
        <v>0.0</v>
      </c>
      <c r="AG38" s="1393">
        <v>2798223.8527097777</v>
      </c>
      <c r="AH38" s="1393">
        <v>3.7778011204584934E7</v>
      </c>
      <c r="AI38" s="1393">
        <v>0.0</v>
      </c>
      <c r="AJ38" s="1393">
        <v>0.0</v>
      </c>
      <c r="AK38" s="1393">
        <v>8354747.457111513</v>
      </c>
      <c r="AL38" s="1393">
        <v>0.0</v>
      </c>
      <c r="AM38" s="1393">
        <v>0.0</v>
      </c>
      <c r="AN38" s="1393">
        <v>0.0</v>
      </c>
      <c r="AO38" s="1393">
        <v>2765876.670814222</v>
      </c>
      <c r="AP38" s="1393">
        <v>4.301673890950116E7</v>
      </c>
      <c r="AQ38" s="1393">
        <v>0.0</v>
      </c>
      <c r="AR38" s="1393">
        <v>0.0</v>
      </c>
      <c r="AS38" s="1393">
        <v>9293888.84438922</v>
      </c>
      <c r="AT38" s="1393">
        <v>0.0</v>
      </c>
      <c r="AU38" s="1393">
        <v>0.0</v>
      </c>
      <c r="AV38" s="1393">
        <v>0.0</v>
      </c>
      <c r="AW38" s="1393">
        <v>3191448.636683206</v>
      </c>
      <c r="AX38" s="1393">
        <v>3.857514250101636E7</v>
      </c>
      <c r="AY38" s="1393">
        <v>0.0</v>
      </c>
      <c r="AZ38" s="1393">
        <v>0.0</v>
      </c>
      <c r="BA38" s="1393">
        <v>8497648.373849474</v>
      </c>
      <c r="BB38" s="1393">
        <v>0.0</v>
      </c>
      <c r="BC38" s="1393">
        <v>0.0</v>
      </c>
      <c r="BD38" s="1393">
        <v>0.0</v>
      </c>
      <c r="BE38" s="1393">
        <v>2830632.228267541</v>
      </c>
      <c r="BF38" s="1393">
        <v>3.802411214065069E7</v>
      </c>
      <c r="BG38" s="1393">
        <v>0.0</v>
      </c>
      <c r="BH38" s="1393">
        <v>0.0</v>
      </c>
      <c r="BI38" s="1393">
        <v>8382816.550002385</v>
      </c>
      <c r="BJ38" s="1393">
        <v>0.0</v>
      </c>
      <c r="BK38" s="1393">
        <v>0.0</v>
      </c>
      <c r="BL38" s="1393">
        <v>0.0</v>
      </c>
      <c r="BM38" s="1393">
        <v>2788942.622878508</v>
      </c>
      <c r="BN38" s="1393">
        <v>4.2825243583921775E7</v>
      </c>
      <c r="BO38" s="1393">
        <v>0.0</v>
      </c>
      <c r="BP38" s="1393">
        <v>0.0</v>
      </c>
      <c r="BQ38" s="1393">
        <v>6573358.939106695</v>
      </c>
      <c r="BR38" s="1393">
        <v>0.0</v>
      </c>
      <c r="BS38" s="1393">
        <v>0.0</v>
      </c>
      <c r="BT38" s="1393">
        <v>0.0</v>
      </c>
      <c r="BU38" s="1393">
        <v>2201673.1752279475</v>
      </c>
      <c r="BV38" s="1393">
        <v>4.160073961216449E7</v>
      </c>
      <c r="BW38" s="1393">
        <v>0.0</v>
      </c>
      <c r="BX38" s="1393">
        <v>0.0</v>
      </c>
      <c r="BY38" s="1393">
        <v>9022356.168990029</v>
      </c>
      <c r="BZ38" s="1393">
        <v>0.0</v>
      </c>
      <c r="CA38" s="1393">
        <v>0.0</v>
      </c>
      <c r="CB38" s="1393">
        <v>0.0</v>
      </c>
      <c r="CC38" s="1393">
        <v>3079806.4878827073</v>
      </c>
      <c r="CD38" s="1393">
        <v>4.200576904854732E7</v>
      </c>
      <c r="CE38" s="1393">
        <v>0.0</v>
      </c>
      <c r="CF38" s="1393">
        <v>0.0</v>
      </c>
      <c r="CG38" s="1393">
        <v>9088355.763344869</v>
      </c>
      <c r="CH38" s="1393">
        <v>0.0</v>
      </c>
      <c r="CI38" s="1393">
        <v>0.0</v>
      </c>
      <c r="CJ38" s="1393">
        <v>0.0</v>
      </c>
      <c r="CK38" s="1393">
        <v>3113975.240488454</v>
      </c>
      <c r="CL38" s="1393">
        <v>3.996732434570138E7</v>
      </c>
      <c r="CM38" s="1393">
        <v>0.0</v>
      </c>
      <c r="CN38" s="1393">
        <v>0.0</v>
      </c>
      <c r="CO38" s="1393">
        <v>8716301.83442168</v>
      </c>
      <c r="CP38" s="1393">
        <v>0.0</v>
      </c>
      <c r="CQ38" s="1393">
        <v>0.0</v>
      </c>
      <c r="CR38" s="1393">
        <v>0.0</v>
      </c>
      <c r="CS38" s="1393">
        <v>2949649.3004889498</v>
      </c>
      <c r="CT38" s="1393">
        <v>3.983312529238301E7</v>
      </c>
      <c r="CU38" s="1393">
        <v>0.0</v>
      </c>
      <c r="CV38" s="1393">
        <v>0.0</v>
      </c>
      <c r="CW38" s="1393">
        <v>8692244.106629016</v>
      </c>
      <c r="CX38" s="1393">
        <v>0.0</v>
      </c>
      <c r="CY38" s="1393">
        <v>0.0</v>
      </c>
      <c r="CZ38" s="1393">
        <v>0.0</v>
      </c>
      <c r="DA38" s="1393">
        <v>2938747.539955585</v>
      </c>
      <c r="DB38" s="1393">
        <v>3.88423384908991E7</v>
      </c>
      <c r="DC38" s="1393">
        <v>0.0</v>
      </c>
      <c r="DD38" s="1393">
        <v>0.0</v>
      </c>
      <c r="DE38" s="1393">
        <v>8514626.764469992</v>
      </c>
      <c r="DF38" s="1393">
        <v>0.0</v>
      </c>
      <c r="DG38" s="1393">
        <v>0.0</v>
      </c>
      <c r="DH38" s="1393">
        <v>0.0</v>
      </c>
      <c r="DI38" s="1393">
        <v>2858260.2326139887</v>
      </c>
      <c r="DJ38" s="1393">
        <v>4.34939699751891E7</v>
      </c>
      <c r="DK38" s="1393">
        <v>0.0</v>
      </c>
      <c r="DL38" s="1393">
        <v>0.0</v>
      </c>
      <c r="DM38" s="1393">
        <v>6700447.387725448</v>
      </c>
      <c r="DN38" s="1393">
        <v>0.0</v>
      </c>
      <c r="DO38" s="1393">
        <v>0.0</v>
      </c>
      <c r="DP38" s="1393">
        <v>0.0</v>
      </c>
      <c r="DQ38" s="1393">
        <v>2264336.1607138724</v>
      </c>
      <c r="DR38" s="1379">
        <f t="shared" si="10"/>
        <v>618183210</v>
      </c>
    </row>
    <row r="39" hidden="1">
      <c r="A39" s="1387"/>
      <c r="B39" s="1394">
        <f t="shared" si="11"/>
        <v>8</v>
      </c>
      <c r="C39" s="1389" t="s">
        <v>1752</v>
      </c>
      <c r="D39" s="185" t="s">
        <v>186</v>
      </c>
      <c r="E39" s="185" t="s">
        <v>347</v>
      </c>
      <c r="F39" s="185" t="s">
        <v>1888</v>
      </c>
      <c r="G39" s="185" t="s">
        <v>306</v>
      </c>
      <c r="H39" s="185" t="s">
        <v>92</v>
      </c>
      <c r="I39" s="185" t="s">
        <v>305</v>
      </c>
      <c r="J39" s="185" t="s">
        <v>1889</v>
      </c>
      <c r="K39" s="185" t="s">
        <v>188</v>
      </c>
      <c r="L39" s="1390">
        <v>4.66540259009009E7</v>
      </c>
      <c r="M39" s="1390">
        <v>4.66540259009009E7</v>
      </c>
      <c r="N39" s="1390">
        <v>4.66540259009009E7</v>
      </c>
      <c r="O39" s="1390">
        <v>4.66540259009009E7</v>
      </c>
      <c r="P39" s="1390">
        <v>4.66540259009009E7</v>
      </c>
      <c r="Q39" s="1390">
        <v>4.66540259009009E7</v>
      </c>
      <c r="R39" s="1390">
        <v>4.66540259009009E7</v>
      </c>
      <c r="S39" s="1390">
        <v>4.66540259009009E7</v>
      </c>
      <c r="T39" s="1390">
        <v>4.66540259009009E7</v>
      </c>
      <c r="U39" s="1390">
        <v>4.66540259009009E7</v>
      </c>
      <c r="V39" s="1390">
        <v>4.66540259009009E7</v>
      </c>
      <c r="W39" s="1390">
        <v>4.66540259009009E7</v>
      </c>
      <c r="X39" s="1391">
        <v>5.598483108108108E8</v>
      </c>
      <c r="Y39" s="1392">
        <f t="shared" si="3"/>
        <v>0</v>
      </c>
      <c r="Z39" s="1393">
        <v>2.9529040562803242E7</v>
      </c>
      <c r="AA39" s="1393">
        <v>0.0</v>
      </c>
      <c r="AB39" s="1393">
        <v>0.0</v>
      </c>
      <c r="AC39" s="1393">
        <v>6517556.615260692</v>
      </c>
      <c r="AD39" s="1393">
        <v>0.0</v>
      </c>
      <c r="AE39" s="1393">
        <v>0.0</v>
      </c>
      <c r="AF39" s="1393">
        <v>0.0</v>
      </c>
      <c r="AG39" s="1393">
        <v>2164407.8036886975</v>
      </c>
      <c r="AH39" s="1393">
        <v>2.922104397754317E7</v>
      </c>
      <c r="AI39" s="1393">
        <v>0.0</v>
      </c>
      <c r="AJ39" s="1393">
        <v>0.0</v>
      </c>
      <c r="AK39" s="1393">
        <v>6462342.380688719</v>
      </c>
      <c r="AL39" s="1393">
        <v>0.0</v>
      </c>
      <c r="AM39" s="1393">
        <v>0.0</v>
      </c>
      <c r="AN39" s="1393">
        <v>0.0</v>
      </c>
      <c r="AO39" s="1393">
        <v>2139387.4705747915</v>
      </c>
      <c r="AP39" s="1393">
        <v>3.3273165509900384E7</v>
      </c>
      <c r="AQ39" s="1393">
        <v>0.0</v>
      </c>
      <c r="AR39" s="1393">
        <v>0.0</v>
      </c>
      <c r="AS39" s="1393">
        <v>7188762.086325372</v>
      </c>
      <c r="AT39" s="1393">
        <v>0.0</v>
      </c>
      <c r="AU39" s="1393">
        <v>0.0</v>
      </c>
      <c r="AV39" s="1393">
        <v>0.0</v>
      </c>
      <c r="AW39" s="1393">
        <v>2468564.595938072</v>
      </c>
      <c r="AX39" s="1393">
        <v>2.9837619808990635E7</v>
      </c>
      <c r="AY39" s="1393">
        <v>0.0</v>
      </c>
      <c r="AZ39" s="1393">
        <v>0.0</v>
      </c>
      <c r="BA39" s="1393">
        <v>6572875.302864474</v>
      </c>
      <c r="BB39" s="1393">
        <v>0.0</v>
      </c>
      <c r="BC39" s="1393">
        <v>0.0</v>
      </c>
      <c r="BD39" s="1393">
        <v>0.0</v>
      </c>
      <c r="BE39" s="1393">
        <v>2189475.46969911</v>
      </c>
      <c r="BF39" s="1393">
        <v>2.941140143804441E7</v>
      </c>
      <c r="BG39" s="1393">
        <v>0.0</v>
      </c>
      <c r="BH39" s="1393">
        <v>0.0</v>
      </c>
      <c r="BI39" s="1393">
        <v>6484053.640006529</v>
      </c>
      <c r="BJ39" s="1393">
        <v>0.0</v>
      </c>
      <c r="BK39" s="1393">
        <v>0.0</v>
      </c>
      <c r="BL39" s="1393">
        <v>0.0</v>
      </c>
      <c r="BM39" s="1393">
        <v>2157228.833266022</v>
      </c>
      <c r="BN39" s="1393">
        <v>3.3125045131092038E7</v>
      </c>
      <c r="BO39" s="1393">
        <v>0.0</v>
      </c>
      <c r="BP39" s="1393">
        <v>0.0</v>
      </c>
      <c r="BQ39" s="1393">
        <v>5084450.041576074</v>
      </c>
      <c r="BR39" s="1393">
        <v>0.0</v>
      </c>
      <c r="BS39" s="1393">
        <v>0.0</v>
      </c>
      <c r="BT39" s="1393">
        <v>0.0</v>
      </c>
      <c r="BU39" s="1393">
        <v>1702979.7659042706</v>
      </c>
      <c r="BV39" s="1393">
        <v>3.2177899337322634E7</v>
      </c>
      <c r="BW39" s="1393">
        <v>0.0</v>
      </c>
      <c r="BX39" s="1393">
        <v>0.0</v>
      </c>
      <c r="BY39" s="1393">
        <v>6978733.342191356</v>
      </c>
      <c r="BZ39" s="1393">
        <v>0.0</v>
      </c>
      <c r="CA39" s="1393">
        <v>0.0</v>
      </c>
      <c r="CB39" s="1393">
        <v>0.0</v>
      </c>
      <c r="CC39" s="1393">
        <v>2382210.1258157576</v>
      </c>
      <c r="CD39" s="1393">
        <v>3.249118695081421E7</v>
      </c>
      <c r="CE39" s="1393">
        <v>0.0</v>
      </c>
      <c r="CF39" s="1393">
        <v>0.0</v>
      </c>
      <c r="CG39" s="1393">
        <v>7029783.595702551</v>
      </c>
      <c r="CH39" s="1393">
        <v>0.0</v>
      </c>
      <c r="CI39" s="1393">
        <v>0.0</v>
      </c>
      <c r="CJ39" s="1393">
        <v>0.0</v>
      </c>
      <c r="CK39" s="1393">
        <v>2408639.4319309806</v>
      </c>
      <c r="CL39" s="1393">
        <v>3.09144633381E7</v>
      </c>
      <c r="CM39" s="1393">
        <v>0.0</v>
      </c>
      <c r="CN39" s="1393">
        <v>0.0</v>
      </c>
      <c r="CO39" s="1393">
        <v>6742002.321029129</v>
      </c>
      <c r="CP39" s="1393">
        <v>0.0</v>
      </c>
      <c r="CQ39" s="1393">
        <v>0.0</v>
      </c>
      <c r="CR39" s="1393">
        <v>0.0</v>
      </c>
      <c r="CS39" s="1393">
        <v>2281534.394734267</v>
      </c>
      <c r="CT39" s="1393">
        <v>3.081066125022606E7</v>
      </c>
      <c r="CU39" s="1393">
        <v>0.0</v>
      </c>
      <c r="CV39" s="1393">
        <v>0.0</v>
      </c>
      <c r="CW39" s="1393">
        <v>6723393.826314514</v>
      </c>
      <c r="CX39" s="1393">
        <v>0.0</v>
      </c>
      <c r="CY39" s="1393">
        <v>0.0</v>
      </c>
      <c r="CZ39" s="1393">
        <v>0.0</v>
      </c>
      <c r="DA39" s="1393">
        <v>2273101.9544384307</v>
      </c>
      <c r="DB39" s="1393">
        <v>3.0044294155310888E7</v>
      </c>
      <c r="DC39" s="1393">
        <v>0.0</v>
      </c>
      <c r="DD39" s="1393">
        <v>0.0</v>
      </c>
      <c r="DE39" s="1393">
        <v>6586007.976691673</v>
      </c>
      <c r="DF39" s="1393">
        <v>0.0</v>
      </c>
      <c r="DG39" s="1393">
        <v>0.0</v>
      </c>
      <c r="DH39" s="1393">
        <v>0.0</v>
      </c>
      <c r="DI39" s="1393">
        <v>2210845.5499197785</v>
      </c>
      <c r="DJ39" s="1393">
        <v>3.364230061027392E7</v>
      </c>
      <c r="DK39" s="1393">
        <v>0.0</v>
      </c>
      <c r="DL39" s="1393">
        <v>0.0</v>
      </c>
      <c r="DM39" s="1393">
        <v>5182752.123335094</v>
      </c>
      <c r="DN39" s="1393">
        <v>0.0</v>
      </c>
      <c r="DO39" s="1393">
        <v>0.0</v>
      </c>
      <c r="DP39" s="1393">
        <v>0.0</v>
      </c>
      <c r="DQ39" s="1393">
        <v>1751449.1743316292</v>
      </c>
      <c r="DR39" s="1379">
        <f t="shared" si="10"/>
        <v>478160659.9</v>
      </c>
    </row>
    <row r="40" hidden="1">
      <c r="A40" s="1387"/>
      <c r="B40" s="1394">
        <f t="shared" si="11"/>
        <v>9</v>
      </c>
      <c r="C40" s="1389" t="s">
        <v>1753</v>
      </c>
      <c r="D40" s="185" t="s">
        <v>186</v>
      </c>
      <c r="E40" s="185" t="s">
        <v>347</v>
      </c>
      <c r="F40" s="185" t="s">
        <v>1888</v>
      </c>
      <c r="G40" s="185" t="s">
        <v>306</v>
      </c>
      <c r="H40" s="185" t="s">
        <v>92</v>
      </c>
      <c r="I40" s="185" t="s">
        <v>305</v>
      </c>
      <c r="J40" s="185" t="s">
        <v>1889</v>
      </c>
      <c r="K40" s="185" t="s">
        <v>188</v>
      </c>
      <c r="L40" s="1390">
        <v>6.256159933666667E7</v>
      </c>
      <c r="M40" s="1390">
        <v>6.256159933666667E7</v>
      </c>
      <c r="N40" s="1390">
        <v>6.256159933666667E7</v>
      </c>
      <c r="O40" s="1390">
        <v>6.256159933666667E7</v>
      </c>
      <c r="P40" s="1390">
        <v>6.256159933666667E7</v>
      </c>
      <c r="Q40" s="1390">
        <v>6.256159933666667E7</v>
      </c>
      <c r="R40" s="1390">
        <v>6.256159933666667E7</v>
      </c>
      <c r="S40" s="1390">
        <v>6.256159933666667E7</v>
      </c>
      <c r="T40" s="1390">
        <v>6.256159933666667E7</v>
      </c>
      <c r="U40" s="1390">
        <v>6.256159933666667E7</v>
      </c>
      <c r="V40" s="1390">
        <v>6.256159933666667E7</v>
      </c>
      <c r="W40" s="1390">
        <v>6.256159933666667E7</v>
      </c>
      <c r="X40" s="1391">
        <v>7.507391920400003E8</v>
      </c>
      <c r="Y40" s="1392">
        <f t="shared" si="3"/>
        <v>0</v>
      </c>
      <c r="Z40" s="1393">
        <v>3.959752601866243E7</v>
      </c>
      <c r="AA40" s="1393">
        <v>0.0</v>
      </c>
      <c r="AB40" s="1393">
        <v>0.0</v>
      </c>
      <c r="AC40" s="1393">
        <v>8739840.940717338</v>
      </c>
      <c r="AD40" s="1393">
        <v>0.0</v>
      </c>
      <c r="AE40" s="1393">
        <v>0.0</v>
      </c>
      <c r="AF40" s="1393">
        <v>0.0</v>
      </c>
      <c r="AG40" s="1393">
        <v>2902403.623283285</v>
      </c>
      <c r="AH40" s="1393">
        <v>3.918451216633099E7</v>
      </c>
      <c r="AI40" s="1393">
        <v>0.0</v>
      </c>
      <c r="AJ40" s="1393">
        <v>0.0</v>
      </c>
      <c r="AK40" s="1393">
        <v>8665800.367492</v>
      </c>
      <c r="AL40" s="1393">
        <v>0.0</v>
      </c>
      <c r="AM40" s="1393">
        <v>0.0</v>
      </c>
      <c r="AN40" s="1393">
        <v>0.0</v>
      </c>
      <c r="AO40" s="1393">
        <v>2868852.1338819833</v>
      </c>
      <c r="AP40" s="1393">
        <v>4.4618281254325524E7</v>
      </c>
      <c r="AQ40" s="1393">
        <v>0.0</v>
      </c>
      <c r="AR40" s="1393">
        <v>0.0</v>
      </c>
      <c r="AS40" s="1393">
        <v>9639906.62513486</v>
      </c>
      <c r="AT40" s="1393">
        <v>0.0</v>
      </c>
      <c r="AU40" s="1393">
        <v>0.0</v>
      </c>
      <c r="AV40" s="1393">
        <v>0.0</v>
      </c>
      <c r="AW40" s="1393">
        <v>3310268.4324778905</v>
      </c>
      <c r="AX40" s="1393">
        <v>4.001132120119595E7</v>
      </c>
      <c r="AY40" s="1393">
        <v>0.0</v>
      </c>
      <c r="AZ40" s="1393">
        <v>0.0</v>
      </c>
      <c r="BA40" s="1393">
        <v>8814021.5822133</v>
      </c>
      <c r="BB40" s="1393">
        <v>0.0</v>
      </c>
      <c r="BC40" s="1393">
        <v>0.0</v>
      </c>
      <c r="BD40" s="1393">
        <v>0.0</v>
      </c>
      <c r="BE40" s="1393">
        <v>2936018.5846283142</v>
      </c>
      <c r="BF40" s="1393">
        <v>3.943977560704499E7</v>
      </c>
      <c r="BG40" s="1393">
        <v>0.0</v>
      </c>
      <c r="BH40" s="1393">
        <v>0.0</v>
      </c>
      <c r="BI40" s="1393">
        <v>8694914.491735434</v>
      </c>
      <c r="BJ40" s="1393">
        <v>0.0</v>
      </c>
      <c r="BK40" s="1393">
        <v>0.0</v>
      </c>
      <c r="BL40" s="1393">
        <v>0.0</v>
      </c>
      <c r="BM40" s="1393">
        <v>2892776.8469749084</v>
      </c>
      <c r="BN40" s="1393">
        <v>4.441965642798606E7</v>
      </c>
      <c r="BO40" s="1393">
        <v>0.0</v>
      </c>
      <c r="BP40" s="1393">
        <v>0.0</v>
      </c>
      <c r="BQ40" s="1393">
        <v>6818089.547599753</v>
      </c>
      <c r="BR40" s="1393">
        <v>0.0</v>
      </c>
      <c r="BS40" s="1393">
        <v>0.0</v>
      </c>
      <c r="BT40" s="1393">
        <v>0.0</v>
      </c>
      <c r="BU40" s="1393">
        <v>2283642.959757864</v>
      </c>
      <c r="BV40" s="1393">
        <v>4.314956334343478E7</v>
      </c>
      <c r="BW40" s="1393">
        <v>0.0</v>
      </c>
      <c r="BX40" s="1393">
        <v>0.0</v>
      </c>
      <c r="BY40" s="1393">
        <v>9358264.604195315</v>
      </c>
      <c r="BZ40" s="1393">
        <v>0.0</v>
      </c>
      <c r="CA40" s="1393">
        <v>0.0</v>
      </c>
      <c r="CB40" s="1393">
        <v>0.0</v>
      </c>
      <c r="CC40" s="1393">
        <v>3194469.7708104504</v>
      </c>
      <c r="CD40" s="1393">
        <v>4.356967230024878E7</v>
      </c>
      <c r="CE40" s="1393">
        <v>0.0</v>
      </c>
      <c r="CF40" s="1393">
        <v>0.0</v>
      </c>
      <c r="CG40" s="1393">
        <v>9426721.408180177</v>
      </c>
      <c r="CH40" s="1393">
        <v>0.0</v>
      </c>
      <c r="CI40" s="1393">
        <v>0.0</v>
      </c>
      <c r="CJ40" s="1393">
        <v>0.0</v>
      </c>
      <c r="CK40" s="1393">
        <v>3229910.64923408</v>
      </c>
      <c r="CL40" s="1393">
        <v>4.145533491953019E7</v>
      </c>
      <c r="CM40" s="1393">
        <v>0.0</v>
      </c>
      <c r="CN40" s="1393">
        <v>0.0</v>
      </c>
      <c r="CO40" s="1393">
        <v>9040815.659318186</v>
      </c>
      <c r="CP40" s="1393">
        <v>0.0</v>
      </c>
      <c r="CQ40" s="1393">
        <v>0.0</v>
      </c>
      <c r="CR40" s="1393">
        <v>0.0</v>
      </c>
      <c r="CS40" s="1393">
        <v>3059466.7431140863</v>
      </c>
      <c r="CT40" s="1393">
        <v>4.131613954450141E7</v>
      </c>
      <c r="CU40" s="1393">
        <v>0.0</v>
      </c>
      <c r="CV40" s="1393">
        <v>0.0</v>
      </c>
      <c r="CW40" s="1393">
        <v>9015862.246014325</v>
      </c>
      <c r="CX40" s="1393">
        <v>0.0</v>
      </c>
      <c r="CY40" s="1393">
        <v>0.0</v>
      </c>
      <c r="CZ40" s="1393">
        <v>0.0</v>
      </c>
      <c r="DA40" s="1393">
        <v>3048159.102647237</v>
      </c>
      <c r="DB40" s="1393">
        <v>4.028846507887801E7</v>
      </c>
      <c r="DC40" s="1393">
        <v>0.0</v>
      </c>
      <c r="DD40" s="1393">
        <v>0.0</v>
      </c>
      <c r="DE40" s="1393">
        <v>8831632.089823974</v>
      </c>
      <c r="DF40" s="1393">
        <v>0.0</v>
      </c>
      <c r="DG40" s="1393">
        <v>0.0</v>
      </c>
      <c r="DH40" s="1393">
        <v>0.0</v>
      </c>
      <c r="DI40" s="1393">
        <v>2964675.1983018643</v>
      </c>
      <c r="DJ40" s="1393">
        <v>4.511327995603936E7</v>
      </c>
      <c r="DK40" s="1393">
        <v>0.0</v>
      </c>
      <c r="DL40" s="1393">
        <v>0.0</v>
      </c>
      <c r="DM40" s="1393">
        <v>6949909.5852966355</v>
      </c>
      <c r="DN40" s="1393">
        <v>0.0</v>
      </c>
      <c r="DO40" s="1393">
        <v>0.0</v>
      </c>
      <c r="DP40" s="1393">
        <v>0.0</v>
      </c>
      <c r="DQ40" s="1393">
        <v>2348638.9306641845</v>
      </c>
      <c r="DR40" s="1379">
        <f t="shared" si="10"/>
        <v>641198589.9</v>
      </c>
    </row>
    <row r="41" hidden="1">
      <c r="A41" s="1387"/>
      <c r="B41" s="1394">
        <f t="shared" si="11"/>
        <v>10</v>
      </c>
      <c r="C41" s="1397" t="s">
        <v>1754</v>
      </c>
      <c r="D41" s="185" t="s">
        <v>186</v>
      </c>
      <c r="E41" s="185" t="s">
        <v>347</v>
      </c>
      <c r="F41" s="185" t="s">
        <v>1888</v>
      </c>
      <c r="G41" s="185" t="s">
        <v>86</v>
      </c>
      <c r="H41" s="185" t="s">
        <v>86</v>
      </c>
      <c r="I41" s="185" t="s">
        <v>103</v>
      </c>
      <c r="J41" s="185" t="s">
        <v>1889</v>
      </c>
      <c r="K41" s="185" t="s">
        <v>188</v>
      </c>
      <c r="L41" s="1390">
        <v>2.99533E7</v>
      </c>
      <c r="M41" s="1390">
        <v>2.99533E7</v>
      </c>
      <c r="N41" s="1390">
        <v>2.99533E7</v>
      </c>
      <c r="O41" s="1390">
        <v>2.99533E7</v>
      </c>
      <c r="P41" s="1390">
        <v>2.99533E7</v>
      </c>
      <c r="Q41" s="1390">
        <v>2.99533E7</v>
      </c>
      <c r="R41" s="1390">
        <v>2.99533E7</v>
      </c>
      <c r="S41" s="1390">
        <v>2.99533E7</v>
      </c>
      <c r="T41" s="1390">
        <v>2.99533E7</v>
      </c>
      <c r="U41" s="1390">
        <v>2.99533E7</v>
      </c>
      <c r="V41" s="1390">
        <v>2.99533E7</v>
      </c>
      <c r="W41" s="1390">
        <v>2.99533E7</v>
      </c>
      <c r="X41" s="1391">
        <v>3.594396E8</v>
      </c>
      <c r="Y41" s="1392">
        <f t="shared" si="3"/>
        <v>0</v>
      </c>
      <c r="Z41" s="1393">
        <v>5331689.452779302</v>
      </c>
      <c r="AA41" s="1393">
        <v>0.0</v>
      </c>
      <c r="AB41" s="1393">
        <v>0.0</v>
      </c>
      <c r="AC41" s="1393">
        <v>1.3733875154760089E7</v>
      </c>
      <c r="AD41" s="1393">
        <v>2665844.726389651</v>
      </c>
      <c r="AE41" s="1393">
        <v>0.0</v>
      </c>
      <c r="AF41" s="1393">
        <v>0.0</v>
      </c>
      <c r="AG41" s="1393">
        <v>2159016.5342817726</v>
      </c>
      <c r="AH41" s="1393">
        <v>5359380.172757092</v>
      </c>
      <c r="AI41" s="1393">
        <v>0.0</v>
      </c>
      <c r="AJ41" s="1393">
        <v>0.0</v>
      </c>
      <c r="AK41" s="1393">
        <v>1.379414964753271E7</v>
      </c>
      <c r="AL41" s="1393">
        <v>2679690.086378546</v>
      </c>
      <c r="AM41" s="1393">
        <v>0.0</v>
      </c>
      <c r="AN41" s="1393">
        <v>0.0</v>
      </c>
      <c r="AO41" s="1393">
        <v>2172861.8942706664</v>
      </c>
      <c r="AP41" s="1393">
        <v>5331689.452779302</v>
      </c>
      <c r="AQ41" s="1393">
        <v>0.0</v>
      </c>
      <c r="AR41" s="1393">
        <v>0.0</v>
      </c>
      <c r="AS41" s="1393">
        <v>1.3733875154760089E7</v>
      </c>
      <c r="AT41" s="1393">
        <v>2665844.726389651</v>
      </c>
      <c r="AU41" s="1393">
        <v>0.0</v>
      </c>
      <c r="AV41" s="1393">
        <v>0.0</v>
      </c>
      <c r="AW41" s="1393">
        <v>2159016.5342817726</v>
      </c>
      <c r="AX41" s="1393">
        <v>5360215.554729721</v>
      </c>
      <c r="AY41" s="1393">
        <v>0.0</v>
      </c>
      <c r="AZ41" s="1393">
        <v>0.0</v>
      </c>
      <c r="BA41" s="1393">
        <v>1.3771626224252077E7</v>
      </c>
      <c r="BB41" s="1393">
        <v>2680107.7773648603</v>
      </c>
      <c r="BC41" s="1393">
        <v>0.0</v>
      </c>
      <c r="BD41" s="1393">
        <v>0.0</v>
      </c>
      <c r="BE41" s="1393">
        <v>2179076.100539936</v>
      </c>
      <c r="BF41" s="1393">
        <v>5378720.9731557835</v>
      </c>
      <c r="BG41" s="1393">
        <v>0.0</v>
      </c>
      <c r="BH41" s="1393">
        <v>0.0</v>
      </c>
      <c r="BI41" s="1393">
        <v>1.3777241222098427E7</v>
      </c>
      <c r="BJ41" s="1393">
        <v>2689360.4865778917</v>
      </c>
      <c r="BK41" s="1393">
        <v>0.0</v>
      </c>
      <c r="BL41" s="1393">
        <v>0.0</v>
      </c>
      <c r="BM41" s="1393">
        <v>2196583.782982707</v>
      </c>
      <c r="BN41" s="1393">
        <v>5422027.103509399</v>
      </c>
      <c r="BO41" s="1393">
        <v>0.0</v>
      </c>
      <c r="BP41" s="1393">
        <v>0.0</v>
      </c>
      <c r="BQ41" s="1393">
        <v>1.3828196151002185E7</v>
      </c>
      <c r="BR41" s="1393">
        <v>2711013.5517546996</v>
      </c>
      <c r="BS41" s="1393">
        <v>0.0</v>
      </c>
      <c r="BT41" s="1393">
        <v>0.0</v>
      </c>
      <c r="BU41" s="1393">
        <v>2228550.1869415483</v>
      </c>
      <c r="BV41" s="1393">
        <v>5413240.590221061</v>
      </c>
      <c r="BW41" s="1393">
        <v>0.0</v>
      </c>
      <c r="BX41" s="1393">
        <v>0.0</v>
      </c>
      <c r="BY41" s="1393">
        <v>1.380907051497252E7</v>
      </c>
      <c r="BZ41" s="1393">
        <v>2706620.2951105307</v>
      </c>
      <c r="CA41" s="1393">
        <v>0.0</v>
      </c>
      <c r="CB41" s="1393">
        <v>0.0</v>
      </c>
      <c r="CC41" s="1393">
        <v>2224156.9302973794</v>
      </c>
      <c r="CD41" s="1393">
        <v>5413240.590308545</v>
      </c>
      <c r="CE41" s="1393">
        <v>0.0</v>
      </c>
      <c r="CF41" s="1393">
        <v>0.0</v>
      </c>
      <c r="CG41" s="1393">
        <v>1.380907051488886E7</v>
      </c>
      <c r="CH41" s="1393">
        <v>2706620.2951542726</v>
      </c>
      <c r="CI41" s="1393">
        <v>0.0</v>
      </c>
      <c r="CJ41" s="1393">
        <v>0.0</v>
      </c>
      <c r="CK41" s="1393">
        <v>2224156.9304063893</v>
      </c>
      <c r="CL41" s="1393">
        <v>5450455.026714653</v>
      </c>
      <c r="CM41" s="1393">
        <v>0.0</v>
      </c>
      <c r="CN41" s="1393">
        <v>0.0</v>
      </c>
      <c r="CO41" s="1393">
        <v>1.3854213384997675E7</v>
      </c>
      <c r="CP41" s="1393">
        <v>2725227.5133573264</v>
      </c>
      <c r="CQ41" s="1393">
        <v>0.0</v>
      </c>
      <c r="CR41" s="1393">
        <v>0.0</v>
      </c>
      <c r="CS41" s="1393">
        <v>2251303.953153032</v>
      </c>
      <c r="CT41" s="1393">
        <v>5429246.197551643</v>
      </c>
      <c r="CU41" s="1393">
        <v>0.0</v>
      </c>
      <c r="CV41" s="1393">
        <v>0.0</v>
      </c>
      <c r="CW41" s="1393">
        <v>1.3823828707505288E7</v>
      </c>
      <c r="CX41" s="1393">
        <v>2714623.0987758213</v>
      </c>
      <c r="CY41" s="1393">
        <v>0.0</v>
      </c>
      <c r="CZ41" s="1393">
        <v>0.0</v>
      </c>
      <c r="DA41" s="1393">
        <v>2236941.68888805</v>
      </c>
      <c r="DB41" s="1393">
        <v>5446208.796172152</v>
      </c>
      <c r="DC41" s="1393">
        <v>0.0</v>
      </c>
      <c r="DD41" s="1393">
        <v>0.0</v>
      </c>
      <c r="DE41" s="1393">
        <v>1.3850327234815225E7</v>
      </c>
      <c r="DF41" s="1393">
        <v>2723104.398086076</v>
      </c>
      <c r="DG41" s="1393">
        <v>0.0</v>
      </c>
      <c r="DH41" s="1393">
        <v>0.0</v>
      </c>
      <c r="DI41" s="1393">
        <v>2247905.2618354205</v>
      </c>
      <c r="DJ41" s="1393">
        <v>5429246.197636115</v>
      </c>
      <c r="DK41" s="1393">
        <v>0.0</v>
      </c>
      <c r="DL41" s="1393">
        <v>0.0</v>
      </c>
      <c r="DM41" s="1393">
        <v>1.3823828707420483E7</v>
      </c>
      <c r="DN41" s="1393">
        <v>2714623.0988180577</v>
      </c>
      <c r="DO41" s="1393">
        <v>0.0</v>
      </c>
      <c r="DP41" s="1393">
        <v>0.0</v>
      </c>
      <c r="DQ41" s="1393">
        <v>2236941.6889942675</v>
      </c>
      <c r="DR41" s="1379">
        <f t="shared" si="10"/>
        <v>289273854.3</v>
      </c>
    </row>
    <row r="42" hidden="1">
      <c r="A42" s="1387"/>
      <c r="B42" s="1394">
        <f t="shared" si="11"/>
        <v>11</v>
      </c>
      <c r="C42" s="1397" t="s">
        <v>1755</v>
      </c>
      <c r="D42" s="185" t="s">
        <v>186</v>
      </c>
      <c r="E42" s="185" t="s">
        <v>347</v>
      </c>
      <c r="F42" s="185" t="s">
        <v>1888</v>
      </c>
      <c r="G42" s="185" t="s">
        <v>86</v>
      </c>
      <c r="H42" s="185" t="s">
        <v>86</v>
      </c>
      <c r="I42" s="185" t="s">
        <v>103</v>
      </c>
      <c r="J42" s="185" t="s">
        <v>1889</v>
      </c>
      <c r="K42" s="185" t="s">
        <v>188</v>
      </c>
      <c r="L42" s="1390">
        <v>4.7473692E7</v>
      </c>
      <c r="M42" s="1390">
        <v>4.7473692E7</v>
      </c>
      <c r="N42" s="1390">
        <v>4.7473692E7</v>
      </c>
      <c r="O42" s="1390">
        <v>4.7473692E7</v>
      </c>
      <c r="P42" s="1390">
        <v>4.7473692E7</v>
      </c>
      <c r="Q42" s="1390">
        <v>4.7473692E7</v>
      </c>
      <c r="R42" s="1390">
        <v>4.7473692E7</v>
      </c>
      <c r="S42" s="1390">
        <v>4.7473692E7</v>
      </c>
      <c r="T42" s="1390">
        <v>4.7473692E7</v>
      </c>
      <c r="U42" s="1390">
        <v>4.7473692E7</v>
      </c>
      <c r="V42" s="1390">
        <v>4.7473692E7</v>
      </c>
      <c r="W42" s="1390">
        <v>4.7473692E7</v>
      </c>
      <c r="X42" s="1391">
        <v>5.69684304E8</v>
      </c>
      <c r="Y42" s="1392">
        <f t="shared" si="3"/>
        <v>0</v>
      </c>
      <c r="Z42" s="1393">
        <v>8450320.429498358</v>
      </c>
      <c r="AA42" s="1393">
        <v>0.0</v>
      </c>
      <c r="AB42" s="1393">
        <v>0.0</v>
      </c>
      <c r="AC42" s="1393">
        <v>2.1767142821109287E7</v>
      </c>
      <c r="AD42" s="1393">
        <v>4225160.214749179</v>
      </c>
      <c r="AE42" s="1393">
        <v>0.0</v>
      </c>
      <c r="AF42" s="1393">
        <v>0.0</v>
      </c>
      <c r="AG42" s="1393">
        <v>3421876.253080639</v>
      </c>
      <c r="AH42" s="1393">
        <v>8494208.105029395</v>
      </c>
      <c r="AI42" s="1393">
        <v>0.0</v>
      </c>
      <c r="AJ42" s="1393">
        <v>0.0</v>
      </c>
      <c r="AK42" s="1393">
        <v>2.1862673287046053E7</v>
      </c>
      <c r="AL42" s="1393">
        <v>4247104.052514697</v>
      </c>
      <c r="AM42" s="1393">
        <v>0.0</v>
      </c>
      <c r="AN42" s="1393">
        <v>0.0</v>
      </c>
      <c r="AO42" s="1393">
        <v>3443820.0908461567</v>
      </c>
      <c r="AP42" s="1393">
        <v>8450320.429498358</v>
      </c>
      <c r="AQ42" s="1393">
        <v>0.0</v>
      </c>
      <c r="AR42" s="1393">
        <v>0.0</v>
      </c>
      <c r="AS42" s="1393">
        <v>2.1767142821109287E7</v>
      </c>
      <c r="AT42" s="1393">
        <v>4225160.214749179</v>
      </c>
      <c r="AU42" s="1393">
        <v>0.0</v>
      </c>
      <c r="AV42" s="1393">
        <v>0.0</v>
      </c>
      <c r="AW42" s="1393">
        <v>3421876.253080639</v>
      </c>
      <c r="AX42" s="1393">
        <v>8495532.121630935</v>
      </c>
      <c r="AY42" s="1393">
        <v>0.0</v>
      </c>
      <c r="AZ42" s="1393">
        <v>0.0</v>
      </c>
      <c r="BA42" s="1393">
        <v>2.1826975381986827E7</v>
      </c>
      <c r="BB42" s="1393">
        <v>4247766.0608154675</v>
      </c>
      <c r="BC42" s="1393">
        <v>0.0</v>
      </c>
      <c r="BD42" s="1393">
        <v>0.0</v>
      </c>
      <c r="BE42" s="1393">
        <v>3453669.1330035077</v>
      </c>
      <c r="BF42" s="1393">
        <v>8524861.79598034</v>
      </c>
      <c r="BG42" s="1393">
        <v>0.0</v>
      </c>
      <c r="BH42" s="1393">
        <v>0.0</v>
      </c>
      <c r="BI42" s="1393">
        <v>2.183587472457473E7</v>
      </c>
      <c r="BJ42" s="1393">
        <v>4262430.89799017</v>
      </c>
      <c r="BK42" s="1393">
        <v>0.0</v>
      </c>
      <c r="BL42" s="1393">
        <v>0.0</v>
      </c>
      <c r="BM42" s="1393">
        <v>3481417.472048685</v>
      </c>
      <c r="BN42" s="1393">
        <v>8593498.703904321</v>
      </c>
      <c r="BO42" s="1393">
        <v>0.0</v>
      </c>
      <c r="BP42" s="1393">
        <v>0.0</v>
      </c>
      <c r="BQ42" s="1393">
        <v>2.1916634393815145E7</v>
      </c>
      <c r="BR42" s="1393">
        <v>4296749.351952161</v>
      </c>
      <c r="BS42" s="1393">
        <v>0.0</v>
      </c>
      <c r="BT42" s="1393">
        <v>0.0</v>
      </c>
      <c r="BU42" s="1393">
        <v>3532081.780017744</v>
      </c>
      <c r="BV42" s="1393">
        <v>8579572.751651835</v>
      </c>
      <c r="BW42" s="1393">
        <v>0.0</v>
      </c>
      <c r="BX42" s="1393">
        <v>0.0</v>
      </c>
      <c r="BY42" s="1393">
        <v>2.188632172195006E7</v>
      </c>
      <c r="BZ42" s="1393">
        <v>4289786.375825917</v>
      </c>
      <c r="CA42" s="1393">
        <v>0.0</v>
      </c>
      <c r="CB42" s="1393">
        <v>0.0</v>
      </c>
      <c r="CC42" s="1393">
        <v>3525118.8038915</v>
      </c>
      <c r="CD42" s="1393">
        <v>8579572.75179049</v>
      </c>
      <c r="CE42" s="1393">
        <v>0.0</v>
      </c>
      <c r="CF42" s="1393">
        <v>0.0</v>
      </c>
      <c r="CG42" s="1393">
        <v>2.188632172181747E7</v>
      </c>
      <c r="CH42" s="1393">
        <v>4289786.375895245</v>
      </c>
      <c r="CI42" s="1393">
        <v>0.0</v>
      </c>
      <c r="CJ42" s="1393">
        <v>0.0</v>
      </c>
      <c r="CK42" s="1393">
        <v>3525118.8040642724</v>
      </c>
      <c r="CL42" s="1393">
        <v>8638554.790226893</v>
      </c>
      <c r="CM42" s="1393">
        <v>0.0</v>
      </c>
      <c r="CN42" s="1393">
        <v>0.0</v>
      </c>
      <c r="CO42" s="1393">
        <v>2.195786972192236E7</v>
      </c>
      <c r="CP42" s="1393">
        <v>4319277.395113447</v>
      </c>
      <c r="CQ42" s="1393">
        <v>0.0</v>
      </c>
      <c r="CR42" s="1393">
        <v>0.0</v>
      </c>
      <c r="CS42" s="1393">
        <v>3568144.761023642</v>
      </c>
      <c r="CT42" s="1393">
        <v>8604940.416406132</v>
      </c>
      <c r="CU42" s="1393">
        <v>0.0</v>
      </c>
      <c r="CV42" s="1393">
        <v>0.0</v>
      </c>
      <c r="CW42" s="1393">
        <v>2.1909712329555143E7</v>
      </c>
      <c r="CX42" s="1393">
        <v>4302470.208203066</v>
      </c>
      <c r="CY42" s="1393">
        <v>0.0</v>
      </c>
      <c r="CZ42" s="1393">
        <v>0.0</v>
      </c>
      <c r="DA42" s="1393">
        <v>3545381.6694731833</v>
      </c>
      <c r="DB42" s="1393">
        <v>8631824.839238668</v>
      </c>
      <c r="DC42" s="1393">
        <v>0.0</v>
      </c>
      <c r="DD42" s="1393">
        <v>0.0</v>
      </c>
      <c r="DE42" s="1393">
        <v>2.195171047079386E7</v>
      </c>
      <c r="DF42" s="1393">
        <v>4315912.419619334</v>
      </c>
      <c r="DG42" s="1393">
        <v>0.0</v>
      </c>
      <c r="DH42" s="1393">
        <v>0.0</v>
      </c>
      <c r="DI42" s="1393">
        <v>3562758.0949529465</v>
      </c>
      <c r="DJ42" s="1393">
        <v>8604940.416540017</v>
      </c>
      <c r="DK42" s="1393">
        <v>0.0</v>
      </c>
      <c r="DL42" s="1393">
        <v>0.0</v>
      </c>
      <c r="DM42" s="1393">
        <v>2.1909712329420738E7</v>
      </c>
      <c r="DN42" s="1393">
        <v>4302470.208270009</v>
      </c>
      <c r="DO42" s="1393">
        <v>0.0</v>
      </c>
      <c r="DP42" s="1393">
        <v>0.0</v>
      </c>
      <c r="DQ42" s="1393">
        <v>3545381.66964153</v>
      </c>
      <c r="DR42" s="1379">
        <f t="shared" si="10"/>
        <v>458476957.8</v>
      </c>
    </row>
    <row r="43" hidden="1">
      <c r="A43" s="1387"/>
      <c r="B43" s="1394">
        <f t="shared" si="11"/>
        <v>12</v>
      </c>
      <c r="C43" s="1397" t="s">
        <v>1756</v>
      </c>
      <c r="D43" s="185" t="s">
        <v>186</v>
      </c>
      <c r="E43" s="185" t="s">
        <v>347</v>
      </c>
      <c r="F43" s="185" t="s">
        <v>1888</v>
      </c>
      <c r="G43" s="185" t="s">
        <v>86</v>
      </c>
      <c r="H43" s="185" t="s">
        <v>86</v>
      </c>
      <c r="I43" s="185" t="s">
        <v>103</v>
      </c>
      <c r="J43" s="185" t="s">
        <v>1889</v>
      </c>
      <c r="K43" s="185" t="s">
        <v>188</v>
      </c>
      <c r="L43" s="1390">
        <v>3.7241484E7</v>
      </c>
      <c r="M43" s="1390">
        <v>3.7241484E7</v>
      </c>
      <c r="N43" s="1390">
        <v>3.7241484E7</v>
      </c>
      <c r="O43" s="1390">
        <v>3.7241484E7</v>
      </c>
      <c r="P43" s="1390">
        <v>3.7241484E7</v>
      </c>
      <c r="Q43" s="1390">
        <v>3.7241484E7</v>
      </c>
      <c r="R43" s="1390">
        <v>3.7241484E7</v>
      </c>
      <c r="S43" s="1390">
        <v>3.7241484E7</v>
      </c>
      <c r="T43" s="1390">
        <v>3.7241484E7</v>
      </c>
      <c r="U43" s="1390">
        <v>3.7241484E7</v>
      </c>
      <c r="V43" s="1390">
        <v>3.7241484E7</v>
      </c>
      <c r="W43" s="1390">
        <v>3.7241484E7</v>
      </c>
      <c r="X43" s="1391">
        <v>4.46897808E8</v>
      </c>
      <c r="Y43" s="1392">
        <f t="shared" si="3"/>
        <v>0</v>
      </c>
      <c r="Z43" s="1393">
        <v>6628986.704257934</v>
      </c>
      <c r="AA43" s="1393">
        <v>0.0</v>
      </c>
      <c r="AB43" s="1393">
        <v>0.0</v>
      </c>
      <c r="AC43" s="1393">
        <v>1.7075577376582727E7</v>
      </c>
      <c r="AD43" s="1393">
        <v>3314493.352128967</v>
      </c>
      <c r="AE43" s="1393">
        <v>0.0</v>
      </c>
      <c r="AF43" s="1393">
        <v>0.0</v>
      </c>
      <c r="AG43" s="1393">
        <v>2684344.620365371</v>
      </c>
      <c r="AH43" s="1393">
        <v>6663415.08126485</v>
      </c>
      <c r="AI43" s="1393">
        <v>0.0</v>
      </c>
      <c r="AJ43" s="1393">
        <v>0.0</v>
      </c>
      <c r="AK43" s="1393">
        <v>1.715051775237437E7</v>
      </c>
      <c r="AL43" s="1393">
        <v>3331707.540632425</v>
      </c>
      <c r="AM43" s="1393">
        <v>0.0</v>
      </c>
      <c r="AN43" s="1393">
        <v>0.0</v>
      </c>
      <c r="AO43" s="1393">
        <v>2701558.8088688296</v>
      </c>
      <c r="AP43" s="1393">
        <v>6628986.704257934</v>
      </c>
      <c r="AQ43" s="1393">
        <v>0.0</v>
      </c>
      <c r="AR43" s="1393">
        <v>0.0</v>
      </c>
      <c r="AS43" s="1393">
        <v>1.7075577376582727E7</v>
      </c>
      <c r="AT43" s="1393">
        <v>3314493.352128967</v>
      </c>
      <c r="AU43" s="1393">
        <v>0.0</v>
      </c>
      <c r="AV43" s="1393">
        <v>0.0</v>
      </c>
      <c r="AW43" s="1393">
        <v>2684344.620365371</v>
      </c>
      <c r="AX43" s="1393">
        <v>6664453.726902146</v>
      </c>
      <c r="AY43" s="1393">
        <v>0.0</v>
      </c>
      <c r="AZ43" s="1393">
        <v>0.0</v>
      </c>
      <c r="BA43" s="1393">
        <v>1.712251396956142E7</v>
      </c>
      <c r="BB43" s="1393">
        <v>3332226.863451073</v>
      </c>
      <c r="BC43" s="1393">
        <v>0.0</v>
      </c>
      <c r="BD43" s="1393">
        <v>0.0</v>
      </c>
      <c r="BE43" s="1393">
        <v>2709285.044821119</v>
      </c>
      <c r="BF43" s="1393">
        <v>6687461.851022943</v>
      </c>
      <c r="BG43" s="1393">
        <v>0.0</v>
      </c>
      <c r="BH43" s="1393">
        <v>0.0</v>
      </c>
      <c r="BI43" s="1393">
        <v>1.7129495198756695E7</v>
      </c>
      <c r="BJ43" s="1393">
        <v>3343730.9255114715</v>
      </c>
      <c r="BK43" s="1393">
        <v>0.0</v>
      </c>
      <c r="BL43" s="1393">
        <v>0.0</v>
      </c>
      <c r="BM43" s="1393">
        <v>2731052.665603121</v>
      </c>
      <c r="BN43" s="1393">
        <v>6741305.1524510365</v>
      </c>
      <c r="BO43" s="1393">
        <v>0.0</v>
      </c>
      <c r="BP43" s="1393">
        <v>0.0</v>
      </c>
      <c r="BQ43" s="1393">
        <v>1.7192848390875444E7</v>
      </c>
      <c r="BR43" s="1393">
        <v>3370652.5762255182</v>
      </c>
      <c r="BS43" s="1393">
        <v>0.0</v>
      </c>
      <c r="BT43" s="1393">
        <v>0.0</v>
      </c>
      <c r="BU43" s="1393">
        <v>2770797.0784581564</v>
      </c>
      <c r="BV43" s="1393">
        <v>6730380.720283515</v>
      </c>
      <c r="BW43" s="1393">
        <v>0.0</v>
      </c>
      <c r="BX43" s="1393">
        <v>0.0</v>
      </c>
      <c r="BY43" s="1393">
        <v>1.716906913890025E7</v>
      </c>
      <c r="BZ43" s="1393">
        <v>3365190.3601417574</v>
      </c>
      <c r="CA43" s="1393">
        <v>0.0</v>
      </c>
      <c r="CB43" s="1393">
        <v>0.0</v>
      </c>
      <c r="CC43" s="1393">
        <v>2765334.862374395</v>
      </c>
      <c r="CD43" s="1393">
        <v>6730380.720392285</v>
      </c>
      <c r="CE43" s="1393">
        <v>0.0</v>
      </c>
      <c r="CF43" s="1393">
        <v>0.0</v>
      </c>
      <c r="CG43" s="1393">
        <v>1.7169069138796236E7</v>
      </c>
      <c r="CH43" s="1393">
        <v>3365190.3601961425</v>
      </c>
      <c r="CI43" s="1393">
        <v>0.0</v>
      </c>
      <c r="CJ43" s="1393">
        <v>0.0</v>
      </c>
      <c r="CK43" s="1393">
        <v>2765334.862509929</v>
      </c>
      <c r="CL43" s="1393">
        <v>6776650.107671386</v>
      </c>
      <c r="CM43" s="1393">
        <v>0.0</v>
      </c>
      <c r="CN43" s="1393">
        <v>0.0</v>
      </c>
      <c r="CO43" s="1393">
        <v>1.7225196092249494E7</v>
      </c>
      <c r="CP43" s="1393">
        <v>3388325.053835693</v>
      </c>
      <c r="CQ43" s="1393">
        <v>0.0</v>
      </c>
      <c r="CR43" s="1393">
        <v>0.0</v>
      </c>
      <c r="CS43" s="1393">
        <v>2799087.2508366485</v>
      </c>
      <c r="CT43" s="1393">
        <v>6750280.783692626</v>
      </c>
      <c r="CU43" s="1393">
        <v>0.0</v>
      </c>
      <c r="CV43" s="1393">
        <v>0.0</v>
      </c>
      <c r="CW43" s="1393">
        <v>1.7187418268748313E7</v>
      </c>
      <c r="CX43" s="1393">
        <v>3375140.391846313</v>
      </c>
      <c r="CY43" s="1393">
        <v>0.0</v>
      </c>
      <c r="CZ43" s="1393">
        <v>0.0</v>
      </c>
      <c r="DA43" s="1393">
        <v>2781230.3858225066</v>
      </c>
      <c r="DB43" s="1393">
        <v>6771370.691820417</v>
      </c>
      <c r="DC43" s="1393">
        <v>0.0</v>
      </c>
      <c r="DD43" s="1393">
        <v>0.0</v>
      </c>
      <c r="DE43" s="1393">
        <v>1.7220364370875176E7</v>
      </c>
      <c r="DF43" s="1393">
        <v>3385685.3459102083</v>
      </c>
      <c r="DG43" s="1393">
        <v>0.0</v>
      </c>
      <c r="DH43" s="1393">
        <v>0.0</v>
      </c>
      <c r="DI43" s="1393">
        <v>2794861.5959563595</v>
      </c>
      <c r="DJ43" s="1393">
        <v>6750280.783797653</v>
      </c>
      <c r="DK43" s="1393">
        <v>0.0</v>
      </c>
      <c r="DL43" s="1393">
        <v>0.0</v>
      </c>
      <c r="DM43" s="1393">
        <v>1.7187418268642876E7</v>
      </c>
      <c r="DN43" s="1393">
        <v>3375140.3918988267</v>
      </c>
      <c r="DO43" s="1393">
        <v>0.0</v>
      </c>
      <c r="DP43" s="1393">
        <v>0.0</v>
      </c>
      <c r="DQ43" s="1393">
        <v>2781230.3859545686</v>
      </c>
      <c r="DR43" s="1379">
        <f t="shared" si="10"/>
        <v>359659457.1</v>
      </c>
    </row>
    <row r="44" hidden="1">
      <c r="A44" s="1387">
        <v>4.0</v>
      </c>
      <c r="B44" s="1395" t="s">
        <v>32</v>
      </c>
      <c r="C44" s="7"/>
      <c r="D44" s="1225"/>
      <c r="E44" s="1225"/>
      <c r="F44" s="1225"/>
      <c r="G44" s="1225"/>
      <c r="H44" s="1225"/>
      <c r="I44" s="1225"/>
      <c r="J44" s="1225"/>
      <c r="K44" s="1225"/>
      <c r="L44" s="1396">
        <f t="shared" ref="L44:X44" si="12">L45+L46+L47+L48+L49+L50</f>
        <v>824456242.5</v>
      </c>
      <c r="M44" s="1396">
        <f t="shared" si="12"/>
        <v>824456242.5</v>
      </c>
      <c r="N44" s="1396">
        <f t="shared" si="12"/>
        <v>824456242.5</v>
      </c>
      <c r="O44" s="1396">
        <f t="shared" si="12"/>
        <v>824456242.5</v>
      </c>
      <c r="P44" s="1396">
        <f t="shared" si="12"/>
        <v>824456242.5</v>
      </c>
      <c r="Q44" s="1396">
        <f t="shared" si="12"/>
        <v>824456242.5</v>
      </c>
      <c r="R44" s="1396">
        <f t="shared" si="12"/>
        <v>824456242.5</v>
      </c>
      <c r="S44" s="1396">
        <f t="shared" si="12"/>
        <v>824456242.5</v>
      </c>
      <c r="T44" s="1396">
        <f t="shared" si="12"/>
        <v>824456242.5</v>
      </c>
      <c r="U44" s="1396">
        <f t="shared" si="12"/>
        <v>824456242.5</v>
      </c>
      <c r="V44" s="1396">
        <f t="shared" si="12"/>
        <v>824456242.5</v>
      </c>
      <c r="W44" s="1396">
        <f t="shared" si="12"/>
        <v>824456242.5</v>
      </c>
      <c r="X44" s="1396">
        <f t="shared" si="12"/>
        <v>9893474910</v>
      </c>
      <c r="Y44" s="1392">
        <f t="shared" si="3"/>
        <v>0</v>
      </c>
    </row>
    <row r="45" hidden="1">
      <c r="A45" s="1387"/>
      <c r="B45" s="1388">
        <v>1.0</v>
      </c>
      <c r="C45" s="1389" t="s">
        <v>446</v>
      </c>
      <c r="D45" s="185" t="s">
        <v>186</v>
      </c>
      <c r="E45" s="185" t="s">
        <v>445</v>
      </c>
      <c r="F45" s="185" t="s">
        <v>1888</v>
      </c>
      <c r="G45" s="185" t="s">
        <v>86</v>
      </c>
      <c r="H45" s="185" t="s">
        <v>86</v>
      </c>
      <c r="I45" s="185" t="s">
        <v>103</v>
      </c>
      <c r="J45" s="185" t="s">
        <v>1889</v>
      </c>
      <c r="K45" s="185" t="s">
        <v>188</v>
      </c>
      <c r="L45" s="1390">
        <v>2.39056685E8</v>
      </c>
      <c r="M45" s="1390">
        <v>2.39056685E8</v>
      </c>
      <c r="N45" s="1390">
        <v>2.39056685E8</v>
      </c>
      <c r="O45" s="1390">
        <v>2.39056685E8</v>
      </c>
      <c r="P45" s="1390">
        <v>2.39056685E8</v>
      </c>
      <c r="Q45" s="1390">
        <v>2.39056685E8</v>
      </c>
      <c r="R45" s="1390">
        <v>2.39056685E8</v>
      </c>
      <c r="S45" s="1390">
        <v>2.39056685E8</v>
      </c>
      <c r="T45" s="1390">
        <v>2.39056685E8</v>
      </c>
      <c r="U45" s="1390">
        <v>2.39056685E8</v>
      </c>
      <c r="V45" s="1390">
        <v>2.39056685E8</v>
      </c>
      <c r="W45" s="1390">
        <v>2.39056685E8</v>
      </c>
      <c r="X45" s="1391">
        <v>2.86868022E9</v>
      </c>
      <c r="Y45" s="1392">
        <f t="shared" si="3"/>
        <v>0</v>
      </c>
      <c r="Z45" s="1393">
        <v>2.9542995303797387E7</v>
      </c>
      <c r="AA45" s="1393">
        <v>0.0</v>
      </c>
      <c r="AB45" s="1393">
        <v>0.0</v>
      </c>
      <c r="AC45" s="1393">
        <v>1.6461415617028397E8</v>
      </c>
      <c r="AD45" s="1393">
        <v>0.0</v>
      </c>
      <c r="AE45" s="1393">
        <v>0.0</v>
      </c>
      <c r="AF45" s="1393">
        <v>0.0</v>
      </c>
      <c r="AG45" s="1393">
        <v>9595746.69523624</v>
      </c>
      <c r="AH45" s="1393">
        <v>3.01376429948461E7</v>
      </c>
      <c r="AI45" s="1393">
        <v>0.0</v>
      </c>
      <c r="AJ45" s="1393">
        <v>0.0</v>
      </c>
      <c r="AK45" s="1393">
        <v>1.6750184045782435E8</v>
      </c>
      <c r="AL45" s="1393">
        <v>0.0</v>
      </c>
      <c r="AM45" s="1393">
        <v>0.0</v>
      </c>
      <c r="AN45" s="1393">
        <v>0.0</v>
      </c>
      <c r="AO45" s="1393">
        <v>9788891.925011814</v>
      </c>
      <c r="AP45" s="1393">
        <v>3.311765929094431E7</v>
      </c>
      <c r="AQ45" s="1393">
        <v>0.0</v>
      </c>
      <c r="AR45" s="1393">
        <v>0.0</v>
      </c>
      <c r="AS45" s="1393">
        <v>1.8377081027357456E8</v>
      </c>
      <c r="AT45" s="1393">
        <v>0.0</v>
      </c>
      <c r="AU45" s="1393">
        <v>0.0</v>
      </c>
      <c r="AV45" s="1393">
        <v>0.0</v>
      </c>
      <c r="AW45" s="1393">
        <v>1.0756819558313062E7</v>
      </c>
      <c r="AX45" s="1393">
        <v>3.0777706628699455E7</v>
      </c>
      <c r="AY45" s="1393">
        <v>0.0</v>
      </c>
      <c r="AZ45" s="1393">
        <v>0.0</v>
      </c>
      <c r="BA45" s="1393">
        <v>1.7089818461685997E8</v>
      </c>
      <c r="BB45" s="1393">
        <v>0.0</v>
      </c>
      <c r="BC45" s="1393">
        <v>0.0</v>
      </c>
      <c r="BD45" s="1393">
        <v>0.0</v>
      </c>
      <c r="BE45" s="1393">
        <v>9996788.532519983</v>
      </c>
      <c r="BF45" s="1393">
        <v>3.0450771247027174E7</v>
      </c>
      <c r="BG45" s="1393">
        <v>0.0</v>
      </c>
      <c r="BH45" s="1393">
        <v>0.0</v>
      </c>
      <c r="BI45" s="1393">
        <v>1.6909882082500064E8</v>
      </c>
      <c r="BJ45" s="1393">
        <v>0.0</v>
      </c>
      <c r="BK45" s="1393">
        <v>0.0</v>
      </c>
      <c r="BL45" s="1393">
        <v>0.0</v>
      </c>
      <c r="BM45" s="1393">
        <v>9890597.908448957</v>
      </c>
      <c r="BN45" s="1393">
        <v>3.0906887291909315E7</v>
      </c>
      <c r="BO45" s="1393">
        <v>0.0</v>
      </c>
      <c r="BP45" s="1393">
        <v>0.0</v>
      </c>
      <c r="BQ45" s="1393">
        <v>1.7159640075392333E8</v>
      </c>
      <c r="BR45" s="1393">
        <v>0.0</v>
      </c>
      <c r="BS45" s="1393">
        <v>0.0</v>
      </c>
      <c r="BT45" s="1393">
        <v>0.0</v>
      </c>
      <c r="BU45" s="1393">
        <v>1.0038747206965055E7</v>
      </c>
      <c r="BV45" s="1393">
        <v>3.2327825365184274E7</v>
      </c>
      <c r="BW45" s="1393">
        <v>0.0</v>
      </c>
      <c r="BX45" s="1393">
        <v>0.0</v>
      </c>
      <c r="BY45" s="1393">
        <v>1.794059635833748E8</v>
      </c>
      <c r="BZ45" s="1393">
        <v>0.0</v>
      </c>
      <c r="CA45" s="1393">
        <v>0.0</v>
      </c>
      <c r="CB45" s="1393">
        <v>0.0</v>
      </c>
      <c r="CC45" s="1393">
        <v>1.0500276638241474E7</v>
      </c>
      <c r="CD45" s="1393">
        <v>3.2528138081977393E7</v>
      </c>
      <c r="CE45" s="1393">
        <v>0.0</v>
      </c>
      <c r="CF45" s="1393">
        <v>0.0</v>
      </c>
      <c r="CG45" s="1393">
        <v>1.8050655396665964E8</v>
      </c>
      <c r="CH45" s="1393">
        <v>0.0</v>
      </c>
      <c r="CI45" s="1393">
        <v>0.0</v>
      </c>
      <c r="CJ45" s="1393">
        <v>0.0</v>
      </c>
      <c r="CK45" s="1393">
        <v>1.056533944146828E7</v>
      </c>
      <c r="CL45" s="1393">
        <v>3.146658514250835E7</v>
      </c>
      <c r="CM45" s="1393">
        <v>0.0</v>
      </c>
      <c r="CN45" s="1393">
        <v>0.0</v>
      </c>
      <c r="CO45" s="1393">
        <v>1.7466095471265364E8</v>
      </c>
      <c r="CP45" s="1393">
        <v>0.0</v>
      </c>
      <c r="CQ45" s="1393">
        <v>0.0</v>
      </c>
      <c r="CR45" s="1393">
        <v>0.0</v>
      </c>
      <c r="CS45" s="1393">
        <v>1.0220540513465911E7</v>
      </c>
      <c r="CT45" s="1393">
        <v>3.139663775956476E7</v>
      </c>
      <c r="CU45" s="1393">
        <v>0.0</v>
      </c>
      <c r="CV45" s="1393">
        <v>0.0</v>
      </c>
      <c r="CW45" s="1393">
        <v>1.7427651528625807E8</v>
      </c>
      <c r="CX45" s="1393">
        <v>0.0</v>
      </c>
      <c r="CY45" s="1393">
        <v>0.0</v>
      </c>
      <c r="CZ45" s="1393">
        <v>0.0</v>
      </c>
      <c r="DA45" s="1393">
        <v>1.019782117299893E7</v>
      </c>
      <c r="DB45" s="1393">
        <v>3.0881665951187726E7</v>
      </c>
      <c r="DC45" s="1393">
        <v>0.0</v>
      </c>
      <c r="DD45" s="1393">
        <v>0.0</v>
      </c>
      <c r="DE45" s="1393">
        <v>1.7144545010065252E8</v>
      </c>
      <c r="DF45" s="1393">
        <v>0.0</v>
      </c>
      <c r="DG45" s="1393">
        <v>0.0</v>
      </c>
      <c r="DH45" s="1393">
        <v>0.0</v>
      </c>
      <c r="DI45" s="1393">
        <v>1.003055516027548E7</v>
      </c>
      <c r="DJ45" s="1393">
        <v>3.1364887950499E7</v>
      </c>
      <c r="DK45" s="1393">
        <v>0.0</v>
      </c>
      <c r="DL45" s="1393">
        <v>0.0</v>
      </c>
      <c r="DM45" s="1393">
        <v>1.7410129768807396E8</v>
      </c>
      <c r="DN45" s="1393">
        <v>0.0</v>
      </c>
      <c r="DO45" s="1393">
        <v>0.0</v>
      </c>
      <c r="DP45" s="1393">
        <v>0.0</v>
      </c>
      <c r="DQ45" s="1393">
        <v>1.0187508639612105E7</v>
      </c>
      <c r="DR45" s="1379">
        <f t="shared" ref="DR45:DR50" si="13">SUM(Z45:DQ45)</f>
        <v>2578545985</v>
      </c>
    </row>
    <row r="46" hidden="1">
      <c r="A46" s="1387"/>
      <c r="B46" s="1394">
        <f t="shared" ref="B46:B50" si="14">B45+1</f>
        <v>2</v>
      </c>
      <c r="C46" s="1389" t="s">
        <v>1759</v>
      </c>
      <c r="D46" s="185" t="s">
        <v>186</v>
      </c>
      <c r="E46" s="185" t="s">
        <v>445</v>
      </c>
      <c r="F46" s="185" t="s">
        <v>1888</v>
      </c>
      <c r="G46" s="185" t="s">
        <v>86</v>
      </c>
      <c r="H46" s="185" t="s">
        <v>86</v>
      </c>
      <c r="I46" s="185" t="s">
        <v>103</v>
      </c>
      <c r="J46" s="185" t="s">
        <v>1889</v>
      </c>
      <c r="K46" s="185" t="s">
        <v>188</v>
      </c>
      <c r="L46" s="1390">
        <v>3.310375E7</v>
      </c>
      <c r="M46" s="1390">
        <v>3.310375E7</v>
      </c>
      <c r="N46" s="1390">
        <v>3.310375E7</v>
      </c>
      <c r="O46" s="1390">
        <v>3.310375E7</v>
      </c>
      <c r="P46" s="1390">
        <v>3.310375E7</v>
      </c>
      <c r="Q46" s="1390">
        <v>3.310375E7</v>
      </c>
      <c r="R46" s="1390">
        <v>3.310375E7</v>
      </c>
      <c r="S46" s="1390">
        <v>3.310375E7</v>
      </c>
      <c r="T46" s="1390">
        <v>3.310375E7</v>
      </c>
      <c r="U46" s="1390">
        <v>3.310375E7</v>
      </c>
      <c r="V46" s="1390">
        <v>3.310375E7</v>
      </c>
      <c r="W46" s="1390">
        <v>3.310375E7</v>
      </c>
      <c r="X46" s="1391">
        <v>3.97245E8</v>
      </c>
      <c r="Y46" s="1392">
        <f t="shared" si="3"/>
        <v>0</v>
      </c>
      <c r="Z46" s="1393">
        <v>4091012.6850796193</v>
      </c>
      <c r="AA46" s="1393">
        <v>0.0</v>
      </c>
      <c r="AB46" s="1393">
        <v>0.0</v>
      </c>
      <c r="AC46" s="1393">
        <v>2.2795203875273503E7</v>
      </c>
      <c r="AD46" s="1393">
        <v>0.0</v>
      </c>
      <c r="AE46" s="1393">
        <v>0.0</v>
      </c>
      <c r="AF46" s="1393">
        <v>0.0</v>
      </c>
      <c r="AG46" s="1393">
        <v>1328786.0980019309</v>
      </c>
      <c r="AH46" s="1393">
        <v>4173357.4582557133</v>
      </c>
      <c r="AI46" s="1393">
        <v>0.0</v>
      </c>
      <c r="AJ46" s="1393">
        <v>0.0</v>
      </c>
      <c r="AK46" s="1393">
        <v>2.3195080493380483E7</v>
      </c>
      <c r="AL46" s="1393">
        <v>0.0</v>
      </c>
      <c r="AM46" s="1393">
        <v>0.0</v>
      </c>
      <c r="AN46" s="1393">
        <v>0.0</v>
      </c>
      <c r="AO46" s="1393">
        <v>1355532.1871154108</v>
      </c>
      <c r="AP46" s="1393">
        <v>4586019.896296134</v>
      </c>
      <c r="AQ46" s="1393">
        <v>0.0</v>
      </c>
      <c r="AR46" s="1393">
        <v>0.0</v>
      </c>
      <c r="AS46" s="1393">
        <v>2.5447951646254294E7</v>
      </c>
      <c r="AT46" s="1393">
        <v>0.0</v>
      </c>
      <c r="AU46" s="1393">
        <v>0.0</v>
      </c>
      <c r="AV46" s="1393">
        <v>0.0</v>
      </c>
      <c r="AW46" s="1393">
        <v>1489567.4866967474</v>
      </c>
      <c r="AX46" s="1393">
        <v>4261991.275457575</v>
      </c>
      <c r="AY46" s="1393">
        <v>0.0</v>
      </c>
      <c r="AZ46" s="1393">
        <v>0.0</v>
      </c>
      <c r="BA46" s="1393">
        <v>2.3665394586268853E7</v>
      </c>
      <c r="BB46" s="1393">
        <v>0.0</v>
      </c>
      <c r="BC46" s="1393">
        <v>0.0</v>
      </c>
      <c r="BD46" s="1393">
        <v>0.0</v>
      </c>
      <c r="BE46" s="1393">
        <v>1384320.996433998</v>
      </c>
      <c r="BF46" s="1393">
        <v>4216718.384883384</v>
      </c>
      <c r="BG46" s="1393">
        <v>0.0</v>
      </c>
      <c r="BH46" s="1393">
        <v>0.0</v>
      </c>
      <c r="BI46" s="1393">
        <v>2.3416224858491678E7</v>
      </c>
      <c r="BJ46" s="1393">
        <v>0.0</v>
      </c>
      <c r="BK46" s="1393">
        <v>0.0</v>
      </c>
      <c r="BL46" s="1393">
        <v>0.0</v>
      </c>
      <c r="BM46" s="1393">
        <v>1369616.082946257</v>
      </c>
      <c r="BN46" s="1393">
        <v>4279879.770731126</v>
      </c>
      <c r="BO46" s="1393">
        <v>0.0</v>
      </c>
      <c r="BP46" s="1393">
        <v>0.0</v>
      </c>
      <c r="BQ46" s="1393">
        <v>2.3762081162707034E7</v>
      </c>
      <c r="BR46" s="1393">
        <v>0.0</v>
      </c>
      <c r="BS46" s="1393">
        <v>0.0</v>
      </c>
      <c r="BT46" s="1393">
        <v>0.0</v>
      </c>
      <c r="BU46" s="1393">
        <v>1390131.2897925004</v>
      </c>
      <c r="BV46" s="1393">
        <v>4476646.402641779</v>
      </c>
      <c r="BW46" s="1393">
        <v>0.0</v>
      </c>
      <c r="BX46" s="1393">
        <v>0.0</v>
      </c>
      <c r="BY46" s="1393">
        <v>2.484352264389989E7</v>
      </c>
      <c r="BZ46" s="1393">
        <v>0.0</v>
      </c>
      <c r="CA46" s="1393">
        <v>0.0</v>
      </c>
      <c r="CB46" s="1393">
        <v>0.0</v>
      </c>
      <c r="CC46" s="1393">
        <v>1454042.3028253163</v>
      </c>
      <c r="CD46" s="1393">
        <v>4504385.020779733</v>
      </c>
      <c r="CE46" s="1393">
        <v>0.0</v>
      </c>
      <c r="CF46" s="1393">
        <v>0.0</v>
      </c>
      <c r="CG46" s="1393">
        <v>2.4995928626190934E7</v>
      </c>
      <c r="CH46" s="1393">
        <v>0.0</v>
      </c>
      <c r="CI46" s="1393">
        <v>0.0</v>
      </c>
      <c r="CJ46" s="1393">
        <v>0.0</v>
      </c>
      <c r="CK46" s="1393">
        <v>1463051.9767121575</v>
      </c>
      <c r="CL46" s="1393">
        <v>4357384.809846714</v>
      </c>
      <c r="CM46" s="1393">
        <v>0.0</v>
      </c>
      <c r="CN46" s="1393">
        <v>0.0</v>
      </c>
      <c r="CO46" s="1393">
        <v>2.4186450086384356E7</v>
      </c>
      <c r="CP46" s="1393">
        <v>0.0</v>
      </c>
      <c r="CQ46" s="1393">
        <v>0.0</v>
      </c>
      <c r="CR46" s="1393">
        <v>0.0</v>
      </c>
      <c r="CS46" s="1393">
        <v>1415305.40349728</v>
      </c>
      <c r="CT46" s="1393">
        <v>4347698.736110191</v>
      </c>
      <c r="CU46" s="1393">
        <v>0.0</v>
      </c>
      <c r="CV46" s="1393">
        <v>0.0</v>
      </c>
      <c r="CW46" s="1393">
        <v>2.4133214232881483E7</v>
      </c>
      <c r="CX46" s="1393">
        <v>0.0</v>
      </c>
      <c r="CY46" s="1393">
        <v>0.0</v>
      </c>
      <c r="CZ46" s="1393">
        <v>0.0</v>
      </c>
      <c r="DA46" s="1393">
        <v>1412159.307135307</v>
      </c>
      <c r="DB46" s="1393">
        <v>4276387.205953394</v>
      </c>
      <c r="DC46" s="1393">
        <v>0.0</v>
      </c>
      <c r="DD46" s="1393">
        <v>0.0</v>
      </c>
      <c r="DE46" s="1393">
        <v>2.3741178033860363E7</v>
      </c>
      <c r="DF46" s="1393">
        <v>0.0</v>
      </c>
      <c r="DG46" s="1393">
        <v>0.0</v>
      </c>
      <c r="DH46" s="1393">
        <v>0.0</v>
      </c>
      <c r="DI46" s="1393">
        <v>1388996.8832579162</v>
      </c>
      <c r="DJ46" s="1393">
        <v>4343302.131422642</v>
      </c>
      <c r="DK46" s="1393">
        <v>0.0</v>
      </c>
      <c r="DL46" s="1393">
        <v>0.0</v>
      </c>
      <c r="DM46" s="1393">
        <v>2.4108950700715937E7</v>
      </c>
      <c r="DN46" s="1393">
        <v>0.0</v>
      </c>
      <c r="DO46" s="1393">
        <v>0.0</v>
      </c>
      <c r="DP46" s="1393">
        <v>0.0</v>
      </c>
      <c r="DQ46" s="1393">
        <v>1410731.2628741558</v>
      </c>
      <c r="DR46" s="1379">
        <f t="shared" si="13"/>
        <v>357068206</v>
      </c>
    </row>
    <row r="47" hidden="1">
      <c r="A47" s="1387"/>
      <c r="B47" s="1394">
        <f t="shared" si="14"/>
        <v>3</v>
      </c>
      <c r="C47" s="1389" t="s">
        <v>458</v>
      </c>
      <c r="D47" s="185" t="s">
        <v>186</v>
      </c>
      <c r="E47" s="185" t="s">
        <v>445</v>
      </c>
      <c r="F47" s="185" t="s">
        <v>1888</v>
      </c>
      <c r="G47" s="185" t="s">
        <v>86</v>
      </c>
      <c r="H47" s="185" t="s">
        <v>86</v>
      </c>
      <c r="I47" s="185" t="s">
        <v>103</v>
      </c>
      <c r="J47" s="185" t="s">
        <v>366</v>
      </c>
      <c r="K47" s="185" t="e">
        <v>#N/A</v>
      </c>
      <c r="L47" s="1390">
        <v>2.153182E7</v>
      </c>
      <c r="M47" s="1390">
        <v>2.153182E7</v>
      </c>
      <c r="N47" s="1390">
        <v>2.153182E7</v>
      </c>
      <c r="O47" s="1390">
        <v>2.153182E7</v>
      </c>
      <c r="P47" s="1390">
        <v>2.153182E7</v>
      </c>
      <c r="Q47" s="1390">
        <v>2.153182E7</v>
      </c>
      <c r="R47" s="1390">
        <v>2.153182E7</v>
      </c>
      <c r="S47" s="1390">
        <v>2.153182E7</v>
      </c>
      <c r="T47" s="1390">
        <v>2.153182E7</v>
      </c>
      <c r="U47" s="1390">
        <v>2.153182E7</v>
      </c>
      <c r="V47" s="1390">
        <v>2.153182E7</v>
      </c>
      <c r="W47" s="1390">
        <v>2.153182E7</v>
      </c>
      <c r="X47" s="1391">
        <v>2.5838184E8</v>
      </c>
      <c r="Y47" s="1392">
        <f t="shared" si="3"/>
        <v>0</v>
      </c>
      <c r="Z47" s="1393">
        <v>2660935.6569225853</v>
      </c>
      <c r="AA47" s="1393">
        <v>0.0</v>
      </c>
      <c r="AB47" s="1393">
        <v>0.0</v>
      </c>
      <c r="AC47" s="1393">
        <v>1.482678629175521E7</v>
      </c>
      <c r="AD47" s="1393">
        <v>0.0</v>
      </c>
      <c r="AE47" s="1393">
        <v>0.0</v>
      </c>
      <c r="AF47" s="1393">
        <v>0.0</v>
      </c>
      <c r="AG47" s="1393">
        <v>864288.277934673</v>
      </c>
      <c r="AH47" s="1393">
        <v>2714495.5356060727</v>
      </c>
      <c r="AI47" s="1393">
        <v>0.0</v>
      </c>
      <c r="AJ47" s="1393">
        <v>0.0</v>
      </c>
      <c r="AK47" s="1393">
        <v>1.5086879826877007E7</v>
      </c>
      <c r="AL47" s="1393">
        <v>0.0</v>
      </c>
      <c r="AM47" s="1393">
        <v>0.0</v>
      </c>
      <c r="AN47" s="1393">
        <v>0.0</v>
      </c>
      <c r="AO47" s="1393">
        <v>881684.8561620767</v>
      </c>
      <c r="AP47" s="1393">
        <v>2982905.408706477</v>
      </c>
      <c r="AQ47" s="1393">
        <v>0.0</v>
      </c>
      <c r="AR47" s="1393">
        <v>0.0</v>
      </c>
      <c r="AS47" s="1393">
        <v>1.6552224875304192E7</v>
      </c>
      <c r="AT47" s="1393">
        <v>0.0</v>
      </c>
      <c r="AU47" s="1393">
        <v>0.0</v>
      </c>
      <c r="AV47" s="1393">
        <v>0.0</v>
      </c>
      <c r="AW47" s="1393">
        <v>968866.0348572824</v>
      </c>
      <c r="AX47" s="1393">
        <v>2772146.0252908785</v>
      </c>
      <c r="AY47" s="1393">
        <v>0.0</v>
      </c>
      <c r="AZ47" s="1393">
        <v>0.0</v>
      </c>
      <c r="BA47" s="1393">
        <v>1.5392788323392833E7</v>
      </c>
      <c r="BB47" s="1393">
        <v>0.0</v>
      </c>
      <c r="BC47" s="1393">
        <v>0.0</v>
      </c>
      <c r="BD47" s="1393">
        <v>0.0</v>
      </c>
      <c r="BE47" s="1393">
        <v>900410.0900181244</v>
      </c>
      <c r="BF47" s="1393">
        <v>2742698.97682286</v>
      </c>
      <c r="BG47" s="1393">
        <v>0.0</v>
      </c>
      <c r="BH47" s="1393">
        <v>0.0</v>
      </c>
      <c r="BI47" s="1393">
        <v>1.523071974421533E7</v>
      </c>
      <c r="BJ47" s="1393">
        <v>0.0</v>
      </c>
      <c r="BK47" s="1393">
        <v>0.0</v>
      </c>
      <c r="BL47" s="1393">
        <v>0.0</v>
      </c>
      <c r="BM47" s="1393">
        <v>890845.507445648</v>
      </c>
      <c r="BN47" s="1393">
        <v>2783781.3191866134</v>
      </c>
      <c r="BO47" s="1393">
        <v>0.0</v>
      </c>
      <c r="BP47" s="1393">
        <v>0.0</v>
      </c>
      <c r="BQ47" s="1393">
        <v>1.5455676605242565E7</v>
      </c>
      <c r="BR47" s="1393">
        <v>0.0</v>
      </c>
      <c r="BS47" s="1393">
        <v>0.0</v>
      </c>
      <c r="BT47" s="1393">
        <v>0.0</v>
      </c>
      <c r="BU47" s="1393">
        <v>904189.3050841659</v>
      </c>
      <c r="BV47" s="1393">
        <v>2911765.118614366</v>
      </c>
      <c r="BW47" s="1393">
        <v>0.0</v>
      </c>
      <c r="BX47" s="1393">
        <v>0.0</v>
      </c>
      <c r="BY47" s="1393">
        <v>1.615908341908021E7</v>
      </c>
      <c r="BZ47" s="1393">
        <v>0.0</v>
      </c>
      <c r="CA47" s="1393">
        <v>0.0</v>
      </c>
      <c r="CB47" s="1393">
        <v>0.0</v>
      </c>
      <c r="CC47" s="1393">
        <v>945759.2308067877</v>
      </c>
      <c r="CD47" s="1393">
        <v>2929807.271929176</v>
      </c>
      <c r="CE47" s="1393">
        <v>0.0</v>
      </c>
      <c r="CF47" s="1393">
        <v>0.0</v>
      </c>
      <c r="CG47" s="1393">
        <v>1.6258213522999372E7</v>
      </c>
      <c r="CH47" s="1393">
        <v>0.0</v>
      </c>
      <c r="CI47" s="1393">
        <v>0.0</v>
      </c>
      <c r="CJ47" s="1393">
        <v>0.0</v>
      </c>
      <c r="CK47" s="1393">
        <v>951619.4332427706</v>
      </c>
      <c r="CL47" s="1393">
        <v>2834193.268024127</v>
      </c>
      <c r="CM47" s="1393">
        <v>0.0</v>
      </c>
      <c r="CN47" s="1393">
        <v>0.0</v>
      </c>
      <c r="CO47" s="1393">
        <v>1.5731700780093266E7</v>
      </c>
      <c r="CP47" s="1393">
        <v>0.0</v>
      </c>
      <c r="CQ47" s="1393">
        <v>0.0</v>
      </c>
      <c r="CR47" s="1393">
        <v>0.0</v>
      </c>
      <c r="CS47" s="1393">
        <v>920563.4163238547</v>
      </c>
      <c r="CT47" s="1393">
        <v>2827893.11181217</v>
      </c>
      <c r="CU47" s="1393">
        <v>0.0</v>
      </c>
      <c r="CV47" s="1393">
        <v>0.0</v>
      </c>
      <c r="CW47" s="1393">
        <v>1.569707434607385E7</v>
      </c>
      <c r="CX47" s="1393">
        <v>0.0</v>
      </c>
      <c r="CY47" s="1393">
        <v>0.0</v>
      </c>
      <c r="CZ47" s="1393">
        <v>0.0</v>
      </c>
      <c r="DA47" s="1393">
        <v>918517.086812284</v>
      </c>
      <c r="DB47" s="1393">
        <v>2781509.6346755703</v>
      </c>
      <c r="DC47" s="1393">
        <v>0.0</v>
      </c>
      <c r="DD47" s="1393">
        <v>0.0</v>
      </c>
      <c r="DE47" s="1393">
        <v>1.5442080489764309E7</v>
      </c>
      <c r="DF47" s="1393">
        <v>0.0</v>
      </c>
      <c r="DG47" s="1393">
        <v>0.0</v>
      </c>
      <c r="DH47" s="1393">
        <v>0.0</v>
      </c>
      <c r="DI47" s="1393">
        <v>903451.4479740352</v>
      </c>
      <c r="DJ47" s="1393">
        <v>2825033.408583882</v>
      </c>
      <c r="DK47" s="1393">
        <v>0.0</v>
      </c>
      <c r="DL47" s="1393">
        <v>0.0</v>
      </c>
      <c r="DM47" s="1393">
        <v>1.568129250845265E7</v>
      </c>
      <c r="DN47" s="1393">
        <v>0.0</v>
      </c>
      <c r="DO47" s="1393">
        <v>0.0</v>
      </c>
      <c r="DP47" s="1393">
        <v>0.0</v>
      </c>
      <c r="DQ47" s="1393">
        <v>917588.2376038667</v>
      </c>
      <c r="DR47" s="1379">
        <f t="shared" si="13"/>
        <v>232249468.4</v>
      </c>
    </row>
    <row r="48" hidden="1">
      <c r="A48" s="1387"/>
      <c r="B48" s="1394">
        <f t="shared" si="14"/>
        <v>4</v>
      </c>
      <c r="C48" s="1389" t="s">
        <v>1760</v>
      </c>
      <c r="D48" s="185" t="s">
        <v>186</v>
      </c>
      <c r="E48" s="185" t="s">
        <v>445</v>
      </c>
      <c r="F48" s="185" t="s">
        <v>1888</v>
      </c>
      <c r="G48" s="185" t="s">
        <v>203</v>
      </c>
      <c r="H48" s="185" t="s">
        <v>135</v>
      </c>
      <c r="I48" s="185" t="s">
        <v>135</v>
      </c>
      <c r="J48" s="185" t="s">
        <v>1889</v>
      </c>
      <c r="K48" s="185" t="s">
        <v>188</v>
      </c>
      <c r="L48" s="1390">
        <v>1.14597762E8</v>
      </c>
      <c r="M48" s="1390">
        <v>1.14597762E8</v>
      </c>
      <c r="N48" s="1390">
        <v>1.14597762E8</v>
      </c>
      <c r="O48" s="1390">
        <v>1.14597762E8</v>
      </c>
      <c r="P48" s="1390">
        <v>1.14597762E8</v>
      </c>
      <c r="Q48" s="1390">
        <v>1.14597762E8</v>
      </c>
      <c r="R48" s="1390">
        <v>1.14597762E8</v>
      </c>
      <c r="S48" s="1390">
        <v>1.14597762E8</v>
      </c>
      <c r="T48" s="1390">
        <v>1.14597762E8</v>
      </c>
      <c r="U48" s="1390">
        <v>1.14597762E8</v>
      </c>
      <c r="V48" s="1390">
        <v>1.14597762E8</v>
      </c>
      <c r="W48" s="1390">
        <v>1.14597762E8</v>
      </c>
      <c r="X48" s="1391">
        <v>1.375173144E9</v>
      </c>
      <c r="Y48" s="1392">
        <f t="shared" si="3"/>
        <v>0</v>
      </c>
      <c r="Z48" s="1393">
        <v>1949092.4189825437</v>
      </c>
      <c r="AA48" s="1393">
        <v>0.0</v>
      </c>
      <c r="AB48" s="1393">
        <v>0.0</v>
      </c>
      <c r="AC48" s="1393">
        <v>8.337775235627794E7</v>
      </c>
      <c r="AD48" s="1393">
        <v>0.0</v>
      </c>
      <c r="AE48" s="1393">
        <v>0.0</v>
      </c>
      <c r="AF48" s="1393">
        <v>0.0</v>
      </c>
      <c r="AG48" s="1393">
        <v>8609819.347526662</v>
      </c>
      <c r="AH48" s="1393">
        <v>1925997.229869635</v>
      </c>
      <c r="AI48" s="1393">
        <v>0.0</v>
      </c>
      <c r="AJ48" s="1393">
        <v>0.0</v>
      </c>
      <c r="AK48" s="1393">
        <v>8.237240038635452E7</v>
      </c>
      <c r="AL48" s="1393">
        <v>0.0</v>
      </c>
      <c r="AM48" s="1393">
        <v>0.0</v>
      </c>
      <c r="AN48" s="1393">
        <v>0.0</v>
      </c>
      <c r="AO48" s="1393">
        <v>8507799.861881692</v>
      </c>
      <c r="AP48" s="1393">
        <v>2416822.414063014</v>
      </c>
      <c r="AQ48" s="1393">
        <v>0.0</v>
      </c>
      <c r="AR48" s="1393">
        <v>0.0</v>
      </c>
      <c r="AS48" s="1393">
        <v>1.0322939537088498E8</v>
      </c>
      <c r="AT48" s="1393">
        <v>0.0</v>
      </c>
      <c r="AU48" s="1393">
        <v>0.0</v>
      </c>
      <c r="AV48" s="1393">
        <v>0.0</v>
      </c>
      <c r="AW48" s="1393">
        <v>1.0675945469531989E7</v>
      </c>
      <c r="AX48" s="1393">
        <v>2010109.888825449</v>
      </c>
      <c r="AY48" s="1393">
        <v>0.0</v>
      </c>
      <c r="AZ48" s="1393">
        <v>0.0</v>
      </c>
      <c r="BA48" s="1393">
        <v>8.594641591088036E7</v>
      </c>
      <c r="BB48" s="1393">
        <v>0.0</v>
      </c>
      <c r="BC48" s="1393">
        <v>0.0</v>
      </c>
      <c r="BD48" s="1393">
        <v>0.0</v>
      </c>
      <c r="BE48" s="1393">
        <v>8879354.741166338</v>
      </c>
      <c r="BF48" s="1393">
        <v>1920740.4666408144</v>
      </c>
      <c r="BG48" s="1393">
        <v>0.0</v>
      </c>
      <c r="BH48" s="1393">
        <v>0.0</v>
      </c>
      <c r="BI48" s="1393">
        <v>8.213961109690076E7</v>
      </c>
      <c r="BJ48" s="1393">
        <v>0.0</v>
      </c>
      <c r="BK48" s="1393">
        <v>0.0</v>
      </c>
      <c r="BL48" s="1393">
        <v>0.0</v>
      </c>
      <c r="BM48" s="1393">
        <v>8484578.9097544</v>
      </c>
      <c r="BN48" s="1393">
        <v>2008289.4165905518</v>
      </c>
      <c r="BO48" s="1393">
        <v>0.0</v>
      </c>
      <c r="BP48" s="1393">
        <v>0.0</v>
      </c>
      <c r="BQ48" s="1393">
        <v>8.58633737409749E7</v>
      </c>
      <c r="BR48" s="1393">
        <v>0.0</v>
      </c>
      <c r="BS48" s="1393">
        <v>0.0</v>
      </c>
      <c r="BT48" s="1393">
        <v>0.0</v>
      </c>
      <c r="BU48" s="1393">
        <v>8871313.08192176</v>
      </c>
      <c r="BV48" s="1393">
        <v>1841236.5686884187</v>
      </c>
      <c r="BW48" s="1393">
        <v>0.0</v>
      </c>
      <c r="BX48" s="1393">
        <v>0.0</v>
      </c>
      <c r="BY48" s="1393">
        <v>7.866469797326027E7</v>
      </c>
      <c r="BZ48" s="1393">
        <v>0.0</v>
      </c>
      <c r="CA48" s="1393">
        <v>0.0</v>
      </c>
      <c r="CB48" s="1393">
        <v>0.0</v>
      </c>
      <c r="CC48" s="1393">
        <v>8133382.531312965</v>
      </c>
      <c r="CD48" s="1393">
        <v>1801259.2620386893</v>
      </c>
      <c r="CE48" s="1393">
        <v>0.0</v>
      </c>
      <c r="CF48" s="1393">
        <v>0.0</v>
      </c>
      <c r="CG48" s="1393">
        <v>7.69513134092815E7</v>
      </c>
      <c r="CH48" s="1393">
        <v>0.0</v>
      </c>
      <c r="CI48" s="1393">
        <v>0.0</v>
      </c>
      <c r="CJ48" s="1393">
        <v>0.0</v>
      </c>
      <c r="CK48" s="1393">
        <v>7956788.85884128</v>
      </c>
      <c r="CL48" s="1393">
        <v>2181958.6849081577</v>
      </c>
      <c r="CM48" s="1393">
        <v>0.0</v>
      </c>
      <c r="CN48" s="1393">
        <v>0.0</v>
      </c>
      <c r="CO48" s="1393">
        <v>9.325861100935088E7</v>
      </c>
      <c r="CP48" s="1393">
        <v>0.0</v>
      </c>
      <c r="CQ48" s="1393">
        <v>0.0</v>
      </c>
      <c r="CR48" s="1393">
        <v>0.0</v>
      </c>
      <c r="CS48" s="1393">
        <v>9638470.66350646</v>
      </c>
      <c r="CT48" s="1393">
        <v>2205870.7585359635</v>
      </c>
      <c r="CU48" s="1393">
        <v>0.0</v>
      </c>
      <c r="CV48" s="1393">
        <v>0.0</v>
      </c>
      <c r="CW48" s="1393">
        <v>9.428522301343217E7</v>
      </c>
      <c r="CX48" s="1393">
        <v>0.0</v>
      </c>
      <c r="CY48" s="1393">
        <v>0.0</v>
      </c>
      <c r="CZ48" s="1393">
        <v>0.0</v>
      </c>
      <c r="DA48" s="1393">
        <v>9744098.612266136</v>
      </c>
      <c r="DB48" s="1393">
        <v>2065983.0221904225</v>
      </c>
      <c r="DC48" s="1393">
        <v>0.0</v>
      </c>
      <c r="DD48" s="1393">
        <v>0.0</v>
      </c>
      <c r="DE48" s="1393">
        <v>8.832863734778143E7</v>
      </c>
      <c r="DF48" s="1393">
        <v>0.0</v>
      </c>
      <c r="DG48" s="1393">
        <v>0.0</v>
      </c>
      <c r="DH48" s="1393">
        <v>0.0</v>
      </c>
      <c r="DI48" s="1393">
        <v>9126165.81075318</v>
      </c>
      <c r="DJ48" s="1393">
        <v>2040703.4373240515</v>
      </c>
      <c r="DK48" s="1393">
        <v>0.0</v>
      </c>
      <c r="DL48" s="1393">
        <v>0.0</v>
      </c>
      <c r="DM48" s="1393">
        <v>8.722694336121914E7</v>
      </c>
      <c r="DN48" s="1393">
        <v>0.0</v>
      </c>
      <c r="DO48" s="1393">
        <v>0.0</v>
      </c>
      <c r="DP48" s="1393">
        <v>0.0</v>
      </c>
      <c r="DQ48" s="1393">
        <v>9014497.089064991</v>
      </c>
      <c r="DR48" s="1379">
        <f t="shared" si="13"/>
        <v>1173654654</v>
      </c>
    </row>
    <row r="49" hidden="1">
      <c r="A49" s="1387"/>
      <c r="B49" s="1394">
        <f t="shared" si="14"/>
        <v>5</v>
      </c>
      <c r="C49" s="1389" t="s">
        <v>1761</v>
      </c>
      <c r="D49" s="185" t="s">
        <v>186</v>
      </c>
      <c r="E49" s="185" t="s">
        <v>445</v>
      </c>
      <c r="F49" s="185" t="s">
        <v>1888</v>
      </c>
      <c r="G49" s="185" t="s">
        <v>218</v>
      </c>
      <c r="H49" s="185" t="s">
        <v>88</v>
      </c>
      <c r="I49" s="185" t="s">
        <v>88</v>
      </c>
      <c r="J49" s="185" t="s">
        <v>1889</v>
      </c>
      <c r="K49" s="185" t="s">
        <v>188</v>
      </c>
      <c r="L49" s="1390">
        <v>3.30208618E8</v>
      </c>
      <c r="M49" s="1390">
        <v>3.30208618E8</v>
      </c>
      <c r="N49" s="1390">
        <v>3.30208618E8</v>
      </c>
      <c r="O49" s="1390">
        <v>3.30208618E8</v>
      </c>
      <c r="P49" s="1390">
        <v>3.30208618E8</v>
      </c>
      <c r="Q49" s="1390">
        <v>3.30208618E8</v>
      </c>
      <c r="R49" s="1390">
        <v>3.30208618E8</v>
      </c>
      <c r="S49" s="1390">
        <v>3.30208618E8</v>
      </c>
      <c r="T49" s="1390">
        <v>3.30208618E8</v>
      </c>
      <c r="U49" s="1390">
        <v>3.30208618E8</v>
      </c>
      <c r="V49" s="1390">
        <v>3.30208618E8</v>
      </c>
      <c r="W49" s="1390">
        <v>3.30208618E8</v>
      </c>
      <c r="X49" s="1391">
        <v>3.962503416E9</v>
      </c>
      <c r="Y49" s="1392">
        <f t="shared" si="3"/>
        <v>0</v>
      </c>
      <c r="Z49" s="1393">
        <v>5941122.4374472285</v>
      </c>
      <c r="AA49" s="1393">
        <v>0.0</v>
      </c>
      <c r="AB49" s="1393">
        <v>0.0</v>
      </c>
      <c r="AC49" s="1393">
        <v>2.6041262023051357E8</v>
      </c>
      <c r="AD49" s="1393">
        <v>0.0</v>
      </c>
      <c r="AE49" s="1393">
        <v>0.0</v>
      </c>
      <c r="AF49" s="1393">
        <v>0.0</v>
      </c>
      <c r="AG49" s="1393">
        <v>3.993261897010551E7</v>
      </c>
      <c r="AH49" s="1393">
        <v>5941122.4374472285</v>
      </c>
      <c r="AI49" s="1393">
        <v>0.0</v>
      </c>
      <c r="AJ49" s="1393">
        <v>0.0</v>
      </c>
      <c r="AK49" s="1393">
        <v>2.6041262023051357E8</v>
      </c>
      <c r="AL49" s="1393">
        <v>0.0</v>
      </c>
      <c r="AM49" s="1393">
        <v>0.0</v>
      </c>
      <c r="AN49" s="1393">
        <v>0.0</v>
      </c>
      <c r="AO49" s="1393">
        <v>3.993261897010551E7</v>
      </c>
      <c r="AP49" s="1393">
        <v>5941122.4374472285</v>
      </c>
      <c r="AQ49" s="1393">
        <v>0.0</v>
      </c>
      <c r="AR49" s="1393">
        <v>0.0</v>
      </c>
      <c r="AS49" s="1393">
        <v>2.6041262023051357E8</v>
      </c>
      <c r="AT49" s="1393">
        <v>0.0</v>
      </c>
      <c r="AU49" s="1393">
        <v>0.0</v>
      </c>
      <c r="AV49" s="1393">
        <v>0.0</v>
      </c>
      <c r="AW49" s="1393">
        <v>3.993261897010551E7</v>
      </c>
      <c r="AX49" s="1393">
        <v>5941122.4374472285</v>
      </c>
      <c r="AY49" s="1393">
        <v>0.0</v>
      </c>
      <c r="AZ49" s="1393">
        <v>0.0</v>
      </c>
      <c r="BA49" s="1393">
        <v>2.6041262023051357E8</v>
      </c>
      <c r="BB49" s="1393">
        <v>0.0</v>
      </c>
      <c r="BC49" s="1393">
        <v>0.0</v>
      </c>
      <c r="BD49" s="1393">
        <v>0.0</v>
      </c>
      <c r="BE49" s="1393">
        <v>3.993261897010551E7</v>
      </c>
      <c r="BF49" s="1393">
        <v>5941122.4374472285</v>
      </c>
      <c r="BG49" s="1393">
        <v>0.0</v>
      </c>
      <c r="BH49" s="1393">
        <v>0.0</v>
      </c>
      <c r="BI49" s="1393">
        <v>2.6041262023051357E8</v>
      </c>
      <c r="BJ49" s="1393">
        <v>0.0</v>
      </c>
      <c r="BK49" s="1393">
        <v>0.0</v>
      </c>
      <c r="BL49" s="1393">
        <v>0.0</v>
      </c>
      <c r="BM49" s="1393">
        <v>3.993261897010551E7</v>
      </c>
      <c r="BN49" s="1393">
        <v>5941122.4374472285</v>
      </c>
      <c r="BO49" s="1393">
        <v>0.0</v>
      </c>
      <c r="BP49" s="1393">
        <v>0.0</v>
      </c>
      <c r="BQ49" s="1393">
        <v>2.6041262023051357E8</v>
      </c>
      <c r="BR49" s="1393">
        <v>0.0</v>
      </c>
      <c r="BS49" s="1393">
        <v>0.0</v>
      </c>
      <c r="BT49" s="1393">
        <v>0.0</v>
      </c>
      <c r="BU49" s="1393">
        <v>3.993261897010551E7</v>
      </c>
      <c r="BV49" s="1393">
        <v>5941122.4374472285</v>
      </c>
      <c r="BW49" s="1393">
        <v>0.0</v>
      </c>
      <c r="BX49" s="1393">
        <v>0.0</v>
      </c>
      <c r="BY49" s="1393">
        <v>2.6041262023051357E8</v>
      </c>
      <c r="BZ49" s="1393">
        <v>0.0</v>
      </c>
      <c r="CA49" s="1393">
        <v>0.0</v>
      </c>
      <c r="CB49" s="1393">
        <v>0.0</v>
      </c>
      <c r="CC49" s="1393">
        <v>3.993261897010551E7</v>
      </c>
      <c r="CD49" s="1393">
        <v>5941122.4374472285</v>
      </c>
      <c r="CE49" s="1393">
        <v>0.0</v>
      </c>
      <c r="CF49" s="1393">
        <v>0.0</v>
      </c>
      <c r="CG49" s="1393">
        <v>2.6041262023051357E8</v>
      </c>
      <c r="CH49" s="1393">
        <v>0.0</v>
      </c>
      <c r="CI49" s="1393">
        <v>0.0</v>
      </c>
      <c r="CJ49" s="1393">
        <v>0.0</v>
      </c>
      <c r="CK49" s="1393">
        <v>3.993261897010551E7</v>
      </c>
      <c r="CL49" s="1393">
        <v>5941122.4374472285</v>
      </c>
      <c r="CM49" s="1393">
        <v>0.0</v>
      </c>
      <c r="CN49" s="1393">
        <v>0.0</v>
      </c>
      <c r="CO49" s="1393">
        <v>2.6041262023051357E8</v>
      </c>
      <c r="CP49" s="1393">
        <v>0.0</v>
      </c>
      <c r="CQ49" s="1393">
        <v>0.0</v>
      </c>
      <c r="CR49" s="1393">
        <v>0.0</v>
      </c>
      <c r="CS49" s="1393">
        <v>3.993261897010551E7</v>
      </c>
      <c r="CT49" s="1393">
        <v>5941122.4374472285</v>
      </c>
      <c r="CU49" s="1393">
        <v>0.0</v>
      </c>
      <c r="CV49" s="1393">
        <v>0.0</v>
      </c>
      <c r="CW49" s="1393">
        <v>2.6041262023051357E8</v>
      </c>
      <c r="CX49" s="1393">
        <v>0.0</v>
      </c>
      <c r="CY49" s="1393">
        <v>0.0</v>
      </c>
      <c r="CZ49" s="1393">
        <v>0.0</v>
      </c>
      <c r="DA49" s="1393">
        <v>3.993261897010551E7</v>
      </c>
      <c r="DB49" s="1393">
        <v>5941122.4374472285</v>
      </c>
      <c r="DC49" s="1393">
        <v>0.0</v>
      </c>
      <c r="DD49" s="1393">
        <v>0.0</v>
      </c>
      <c r="DE49" s="1393">
        <v>2.6041262023051357E8</v>
      </c>
      <c r="DF49" s="1393">
        <v>0.0</v>
      </c>
      <c r="DG49" s="1393">
        <v>0.0</v>
      </c>
      <c r="DH49" s="1393">
        <v>0.0</v>
      </c>
      <c r="DI49" s="1393">
        <v>3.993261897010551E7</v>
      </c>
      <c r="DJ49" s="1393">
        <v>5941122.4374472285</v>
      </c>
      <c r="DK49" s="1393">
        <v>0.0</v>
      </c>
      <c r="DL49" s="1393">
        <v>0.0</v>
      </c>
      <c r="DM49" s="1393">
        <v>2.6041262023051357E8</v>
      </c>
      <c r="DN49" s="1393">
        <v>0.0</v>
      </c>
      <c r="DO49" s="1393">
        <v>0.0</v>
      </c>
      <c r="DP49" s="1393">
        <v>0.0</v>
      </c>
      <c r="DQ49" s="1393">
        <v>3.993261897010551E7</v>
      </c>
      <c r="DR49" s="1379">
        <f t="shared" si="13"/>
        <v>3675436340</v>
      </c>
    </row>
    <row r="50" hidden="1">
      <c r="A50" s="1387"/>
      <c r="B50" s="1394">
        <f t="shared" si="14"/>
        <v>6</v>
      </c>
      <c r="C50" s="1389" t="s">
        <v>1762</v>
      </c>
      <c r="D50" s="185" t="s">
        <v>186</v>
      </c>
      <c r="E50" s="185" t="s">
        <v>445</v>
      </c>
      <c r="F50" s="185" t="s">
        <v>1888</v>
      </c>
      <c r="G50" s="185" t="s">
        <v>306</v>
      </c>
      <c r="H50" s="185" t="s">
        <v>92</v>
      </c>
      <c r="I50" s="185" t="s">
        <v>305</v>
      </c>
      <c r="J50" s="185" t="s">
        <v>1889</v>
      </c>
      <c r="K50" s="185" t="s">
        <v>188</v>
      </c>
      <c r="L50" s="1390">
        <v>8.595760746000002E7</v>
      </c>
      <c r="M50" s="1390">
        <v>8.595760746000002E7</v>
      </c>
      <c r="N50" s="1390">
        <v>8.595760746000002E7</v>
      </c>
      <c r="O50" s="1390">
        <v>8.595760746000002E7</v>
      </c>
      <c r="P50" s="1390">
        <v>8.595760746000002E7</v>
      </c>
      <c r="Q50" s="1390">
        <v>8.595760746000002E7</v>
      </c>
      <c r="R50" s="1390">
        <v>8.595760746000002E7</v>
      </c>
      <c r="S50" s="1390">
        <v>8.595760746000002E7</v>
      </c>
      <c r="T50" s="1390">
        <v>8.595760746000002E7</v>
      </c>
      <c r="U50" s="1390">
        <v>8.595760746000002E7</v>
      </c>
      <c r="V50" s="1390">
        <v>8.595760746000002E7</v>
      </c>
      <c r="W50" s="1390">
        <v>8.595760746000002E7</v>
      </c>
      <c r="X50" s="1391">
        <v>1.0314912895200003E9</v>
      </c>
      <c r="Y50" s="1392">
        <f t="shared" si="3"/>
        <v>0</v>
      </c>
      <c r="Z50" s="1393">
        <v>5.440571587025344E7</v>
      </c>
      <c r="AA50" s="1393">
        <v>0.0</v>
      </c>
      <c r="AB50" s="1393">
        <v>0.0</v>
      </c>
      <c r="AC50" s="1393">
        <v>1.2008257858023068E7</v>
      </c>
      <c r="AD50" s="1393">
        <v>0.0</v>
      </c>
      <c r="AE50" s="1393">
        <v>0.0</v>
      </c>
      <c r="AF50" s="1393">
        <v>0.0</v>
      </c>
      <c r="AG50" s="1393">
        <v>3987808.399815744</v>
      </c>
      <c r="AH50" s="1393">
        <v>5.3838248238820285E7</v>
      </c>
      <c r="AI50" s="1393">
        <v>0.0</v>
      </c>
      <c r="AJ50" s="1393">
        <v>0.0</v>
      </c>
      <c r="AK50" s="1393">
        <v>1.1906528512915246E7</v>
      </c>
      <c r="AL50" s="1393">
        <v>0.0</v>
      </c>
      <c r="AM50" s="1393">
        <v>0.0</v>
      </c>
      <c r="AN50" s="1393">
        <v>0.0</v>
      </c>
      <c r="AO50" s="1393">
        <v>3941709.742073067</v>
      </c>
      <c r="AP50" s="1393">
        <v>6.130407064819673E7</v>
      </c>
      <c r="AQ50" s="1393">
        <v>0.0</v>
      </c>
      <c r="AR50" s="1393">
        <v>0.0</v>
      </c>
      <c r="AS50" s="1393">
        <v>1.3244918902652618E7</v>
      </c>
      <c r="AT50" s="1393">
        <v>0.0</v>
      </c>
      <c r="AU50" s="1393">
        <v>0.0</v>
      </c>
      <c r="AV50" s="1393">
        <v>0.0</v>
      </c>
      <c r="AW50" s="1393">
        <v>4548201.413057493</v>
      </c>
      <c r="AX50" s="1393">
        <v>5.497425702403127E7</v>
      </c>
      <c r="AY50" s="1393">
        <v>0.0</v>
      </c>
      <c r="AZ50" s="1393">
        <v>0.0</v>
      </c>
      <c r="BA50" s="1393">
        <v>1.2110179652389724E7</v>
      </c>
      <c r="BB50" s="1393">
        <v>0.0</v>
      </c>
      <c r="BC50" s="1393">
        <v>0.0</v>
      </c>
      <c r="BD50" s="1393">
        <v>0.0</v>
      </c>
      <c r="BE50" s="1393">
        <v>4033994.2659495333</v>
      </c>
      <c r="BF50" s="1393">
        <v>5.418897192345157E7</v>
      </c>
      <c r="BG50" s="1393">
        <v>0.0</v>
      </c>
      <c r="BH50" s="1393">
        <v>0.0</v>
      </c>
      <c r="BI50" s="1393">
        <v>1.1946530374916755E7</v>
      </c>
      <c r="BJ50" s="1393">
        <v>0.0</v>
      </c>
      <c r="BK50" s="1393">
        <v>0.0</v>
      </c>
      <c r="BL50" s="1393">
        <v>0.0</v>
      </c>
      <c r="BM50" s="1393">
        <v>3974581.5215422576</v>
      </c>
      <c r="BN50" s="1393">
        <v>6.1031166581879295E7</v>
      </c>
      <c r="BO50" s="1393">
        <v>0.0</v>
      </c>
      <c r="BP50" s="1393">
        <v>0.0</v>
      </c>
      <c r="BQ50" s="1393">
        <v>9367833.801784243</v>
      </c>
      <c r="BR50" s="1393">
        <v>0.0</v>
      </c>
      <c r="BS50" s="1393">
        <v>0.0</v>
      </c>
      <c r="BT50" s="1393">
        <v>0.0</v>
      </c>
      <c r="BU50" s="1393">
        <v>3137651.325972606</v>
      </c>
      <c r="BV50" s="1393">
        <v>5.928609989629133E7</v>
      </c>
      <c r="BW50" s="1393">
        <v>0.0</v>
      </c>
      <c r="BX50" s="1393">
        <v>0.0</v>
      </c>
      <c r="BY50" s="1393">
        <v>1.2857951904736156E7</v>
      </c>
      <c r="BZ50" s="1393">
        <v>0.0</v>
      </c>
      <c r="CA50" s="1393">
        <v>0.0</v>
      </c>
      <c r="CB50" s="1393">
        <v>0.0</v>
      </c>
      <c r="CC50" s="1393">
        <v>4389097.809416571</v>
      </c>
      <c r="CD50" s="1393">
        <v>5.9863315971058175E7</v>
      </c>
      <c r="CE50" s="1393">
        <v>0.0</v>
      </c>
      <c r="CF50" s="1393">
        <v>0.0</v>
      </c>
      <c r="CG50" s="1393">
        <v>1.2952009332092365E7</v>
      </c>
      <c r="CH50" s="1393">
        <v>0.0</v>
      </c>
      <c r="CI50" s="1393">
        <v>0.0</v>
      </c>
      <c r="CJ50" s="1393">
        <v>0.0</v>
      </c>
      <c r="CK50" s="1393">
        <v>4437792.426368132</v>
      </c>
      <c r="CL50" s="1393">
        <v>5.695828501697745E7</v>
      </c>
      <c r="CM50" s="1393">
        <v>0.0</v>
      </c>
      <c r="CN50" s="1393">
        <v>0.0</v>
      </c>
      <c r="CO50" s="1393">
        <v>1.2421787355209578E7</v>
      </c>
      <c r="CP50" s="1393">
        <v>0.0</v>
      </c>
      <c r="CQ50" s="1393">
        <v>0.0</v>
      </c>
      <c r="CR50" s="1393">
        <v>0.0</v>
      </c>
      <c r="CS50" s="1393">
        <v>4203608.030004326</v>
      </c>
      <c r="CT50" s="1393">
        <v>5.676703508836574E7</v>
      </c>
      <c r="CU50" s="1393">
        <v>0.0</v>
      </c>
      <c r="CV50" s="1393">
        <v>0.0</v>
      </c>
      <c r="CW50" s="1393">
        <v>1.2387502175030315E7</v>
      </c>
      <c r="CX50" s="1393">
        <v>0.0</v>
      </c>
      <c r="CY50" s="1393">
        <v>0.0</v>
      </c>
      <c r="CZ50" s="1393">
        <v>0.0</v>
      </c>
      <c r="DA50" s="1393">
        <v>4188071.6989185805</v>
      </c>
      <c r="DB50" s="1393">
        <v>5.5355043719069846E7</v>
      </c>
      <c r="DC50" s="1393">
        <v>0.0</v>
      </c>
      <c r="DD50" s="1393">
        <v>0.0</v>
      </c>
      <c r="DE50" s="1393">
        <v>1.2134375918412648E7</v>
      </c>
      <c r="DF50" s="1393">
        <v>0.0</v>
      </c>
      <c r="DG50" s="1393">
        <v>0.0</v>
      </c>
      <c r="DH50" s="1393">
        <v>0.0</v>
      </c>
      <c r="DI50" s="1393">
        <v>4073367.523273539</v>
      </c>
      <c r="DJ50" s="1393">
        <v>6.198418280239784E7</v>
      </c>
      <c r="DK50" s="1393">
        <v>0.0</v>
      </c>
      <c r="DL50" s="1393">
        <v>0.0</v>
      </c>
      <c r="DM50" s="1393">
        <v>9548950.256220376</v>
      </c>
      <c r="DN50" s="1393">
        <v>0.0</v>
      </c>
      <c r="DO50" s="1393">
        <v>0.0</v>
      </c>
      <c r="DP50" s="1393">
        <v>0.0</v>
      </c>
      <c r="DQ50" s="1393">
        <v>3226953.6809776616</v>
      </c>
      <c r="DR50" s="1379">
        <f t="shared" si="13"/>
        <v>880986056.7</v>
      </c>
    </row>
    <row r="51" hidden="1">
      <c r="A51" s="1387">
        <v>5.0</v>
      </c>
      <c r="B51" s="1395" t="s">
        <v>33</v>
      </c>
      <c r="C51" s="7"/>
      <c r="D51" s="1225"/>
      <c r="E51" s="1225"/>
      <c r="F51" s="1225"/>
      <c r="G51" s="1225"/>
      <c r="H51" s="1225"/>
      <c r="I51" s="1225"/>
      <c r="J51" s="1225"/>
      <c r="K51" s="1225"/>
      <c r="L51" s="1396">
        <f t="shared" ref="L51:X51" si="15">L52+L53</f>
        <v>491801521</v>
      </c>
      <c r="M51" s="1396">
        <f t="shared" si="15"/>
        <v>491801521</v>
      </c>
      <c r="N51" s="1396">
        <f t="shared" si="15"/>
        <v>491801521</v>
      </c>
      <c r="O51" s="1396">
        <f t="shared" si="15"/>
        <v>491801521</v>
      </c>
      <c r="P51" s="1396">
        <f t="shared" si="15"/>
        <v>491801521</v>
      </c>
      <c r="Q51" s="1396">
        <f t="shared" si="15"/>
        <v>491801521</v>
      </c>
      <c r="R51" s="1396">
        <f t="shared" si="15"/>
        <v>491801521</v>
      </c>
      <c r="S51" s="1396">
        <f t="shared" si="15"/>
        <v>491801521</v>
      </c>
      <c r="T51" s="1396">
        <f t="shared" si="15"/>
        <v>491801521</v>
      </c>
      <c r="U51" s="1396">
        <f t="shared" si="15"/>
        <v>491801521</v>
      </c>
      <c r="V51" s="1396">
        <f t="shared" si="15"/>
        <v>491801521</v>
      </c>
      <c r="W51" s="1396">
        <f t="shared" si="15"/>
        <v>491801521</v>
      </c>
      <c r="X51" s="1396">
        <f t="shared" si="15"/>
        <v>5901618252</v>
      </c>
      <c r="Y51" s="1392">
        <f t="shared" si="3"/>
        <v>0</v>
      </c>
    </row>
    <row r="52" hidden="1">
      <c r="A52" s="1387"/>
      <c r="B52" s="1388">
        <v>1.0</v>
      </c>
      <c r="C52" s="1389" t="s">
        <v>1895</v>
      </c>
      <c r="D52" s="185" t="s">
        <v>186</v>
      </c>
      <c r="E52" s="185" t="s">
        <v>485</v>
      </c>
      <c r="F52" s="185" t="s">
        <v>1888</v>
      </c>
      <c r="G52" s="185" t="s">
        <v>86</v>
      </c>
      <c r="H52" s="185" t="s">
        <v>86</v>
      </c>
      <c r="I52" s="185" t="s">
        <v>103</v>
      </c>
      <c r="J52" s="185" t="s">
        <v>1889</v>
      </c>
      <c r="K52" s="185" t="s">
        <v>188</v>
      </c>
      <c r="L52" s="1390">
        <v>1.2E8</v>
      </c>
      <c r="M52" s="1390">
        <v>1.2E8</v>
      </c>
      <c r="N52" s="1390">
        <v>1.2E8</v>
      </c>
      <c r="O52" s="1390">
        <v>1.2E8</v>
      </c>
      <c r="P52" s="1390">
        <v>1.2E8</v>
      </c>
      <c r="Q52" s="1390">
        <v>1.2E8</v>
      </c>
      <c r="R52" s="1390">
        <v>1.2E8</v>
      </c>
      <c r="S52" s="1390">
        <v>1.2E8</v>
      </c>
      <c r="T52" s="1390">
        <v>1.2E8</v>
      </c>
      <c r="U52" s="1390">
        <v>1.2E8</v>
      </c>
      <c r="V52" s="1390">
        <v>1.2E8</v>
      </c>
      <c r="W52" s="1390">
        <v>1.2E8</v>
      </c>
      <c r="X52" s="1391">
        <v>1.44E9</v>
      </c>
      <c r="Y52" s="1392">
        <f t="shared" si="3"/>
        <v>0</v>
      </c>
      <c r="Z52" s="1393">
        <v>1.4829785816094983E7</v>
      </c>
      <c r="AA52" s="1393">
        <v>0.0</v>
      </c>
      <c r="AB52" s="1393">
        <v>0.0</v>
      </c>
      <c r="AC52" s="1393">
        <v>8.263186089288436E7</v>
      </c>
      <c r="AD52" s="1393">
        <v>0.0</v>
      </c>
      <c r="AE52" s="1393">
        <v>0.0</v>
      </c>
      <c r="AF52" s="1393">
        <v>0.0</v>
      </c>
      <c r="AG52" s="1393">
        <v>4816805.702080027</v>
      </c>
      <c r="AH52" s="1393">
        <v>1.5128282898181794E7</v>
      </c>
      <c r="AI52" s="1393">
        <v>0.0</v>
      </c>
      <c r="AJ52" s="1393">
        <v>0.0</v>
      </c>
      <c r="AK52" s="1393">
        <v>8.408140042157333E7</v>
      </c>
      <c r="AL52" s="1393">
        <v>0.0</v>
      </c>
      <c r="AM52" s="1393">
        <v>0.0</v>
      </c>
      <c r="AN52" s="1393">
        <v>0.0</v>
      </c>
      <c r="AO52" s="1393">
        <v>4913759.391423911</v>
      </c>
      <c r="AP52" s="1393">
        <v>1.662417060168519E7</v>
      </c>
      <c r="AQ52" s="1393">
        <v>0.0</v>
      </c>
      <c r="AR52" s="1393">
        <v>0.0</v>
      </c>
      <c r="AS52" s="1393">
        <v>9.224798391573507E7</v>
      </c>
      <c r="AT52" s="1393">
        <v>0.0</v>
      </c>
      <c r="AU52" s="1393">
        <v>0.0</v>
      </c>
      <c r="AV52" s="1393">
        <v>0.0</v>
      </c>
      <c r="AW52" s="1393">
        <v>5399632.923871456</v>
      </c>
      <c r="AX52" s="1393">
        <v>1.54495775570716E7</v>
      </c>
      <c r="AY52" s="1393">
        <v>0.0</v>
      </c>
      <c r="AZ52" s="1393">
        <v>0.0</v>
      </c>
      <c r="BA52" s="1393">
        <v>8.578627346908621E7</v>
      </c>
      <c r="BB52" s="1393">
        <v>0.0</v>
      </c>
      <c r="BC52" s="1393">
        <v>0.0</v>
      </c>
      <c r="BD52" s="1393">
        <v>0.0</v>
      </c>
      <c r="BE52" s="1393">
        <v>5018117.874019704</v>
      </c>
      <c r="BF52" s="1393">
        <v>1.5285464824559335E7</v>
      </c>
      <c r="BG52" s="1393">
        <v>0.0</v>
      </c>
      <c r="BH52" s="1393">
        <v>0.0</v>
      </c>
      <c r="BI52" s="1393">
        <v>8.488304143847756E7</v>
      </c>
      <c r="BJ52" s="1393">
        <v>0.0</v>
      </c>
      <c r="BK52" s="1393">
        <v>0.0</v>
      </c>
      <c r="BL52" s="1393">
        <v>0.0</v>
      </c>
      <c r="BM52" s="1393">
        <v>4964813.048477916</v>
      </c>
      <c r="BN52" s="1393">
        <v>1.55144227614012E7</v>
      </c>
      <c r="BO52" s="1393">
        <v>0.0</v>
      </c>
      <c r="BP52" s="1393">
        <v>0.0</v>
      </c>
      <c r="BQ52" s="1393">
        <v>8.613675911414398E7</v>
      </c>
      <c r="BR52" s="1393">
        <v>0.0</v>
      </c>
      <c r="BS52" s="1393">
        <v>0.0</v>
      </c>
      <c r="BT52" s="1393">
        <v>0.0</v>
      </c>
      <c r="BU52" s="1393">
        <v>5039179.995471814</v>
      </c>
      <c r="BV52" s="1393">
        <v>1.6227695300895318E7</v>
      </c>
      <c r="BW52" s="1393">
        <v>0.0</v>
      </c>
      <c r="BX52" s="1393">
        <v>0.0</v>
      </c>
      <c r="BY52" s="1393">
        <v>9.005694875257294E7</v>
      </c>
      <c r="BZ52" s="1393">
        <v>0.0</v>
      </c>
      <c r="CA52" s="1393">
        <v>0.0</v>
      </c>
      <c r="CB52" s="1393">
        <v>0.0</v>
      </c>
      <c r="CC52" s="1393">
        <v>5270855.306091846</v>
      </c>
      <c r="CD52" s="1393">
        <v>1.63282468751597E7</v>
      </c>
      <c r="CE52" s="1393">
        <v>0.0</v>
      </c>
      <c r="CF52" s="1393">
        <v>0.0</v>
      </c>
      <c r="CG52" s="1393">
        <v>9.060941540287466E7</v>
      </c>
      <c r="CH52" s="1393">
        <v>0.0</v>
      </c>
      <c r="CI52" s="1393">
        <v>0.0</v>
      </c>
      <c r="CJ52" s="1393">
        <v>0.0</v>
      </c>
      <c r="CK52" s="1393">
        <v>5303515.076251448</v>
      </c>
      <c r="CL52" s="1393">
        <v>1.5795375967423804E7</v>
      </c>
      <c r="CM52" s="1393">
        <v>0.0</v>
      </c>
      <c r="CN52" s="1393">
        <v>0.0</v>
      </c>
      <c r="CO52" s="1393">
        <v>8.767508244129813E7</v>
      </c>
      <c r="CP52" s="1393">
        <v>0.0</v>
      </c>
      <c r="CQ52" s="1393">
        <v>0.0</v>
      </c>
      <c r="CR52" s="1393">
        <v>0.0</v>
      </c>
      <c r="CS52" s="1393">
        <v>5130435.325897326</v>
      </c>
      <c r="CT52" s="1393">
        <v>1.5760264270157395E7</v>
      </c>
      <c r="CU52" s="1393">
        <v>0.0</v>
      </c>
      <c r="CV52" s="1393">
        <v>0.0</v>
      </c>
      <c r="CW52" s="1393">
        <v>8.748210423126619E7</v>
      </c>
      <c r="CX52" s="1393">
        <v>0.0</v>
      </c>
      <c r="CY52" s="1393">
        <v>0.0</v>
      </c>
      <c r="CZ52" s="1393">
        <v>0.0</v>
      </c>
      <c r="DA52" s="1393">
        <v>5119030.830532396</v>
      </c>
      <c r="DB52" s="1393">
        <v>1.5501762329476489E7</v>
      </c>
      <c r="DC52" s="1393">
        <v>0.0</v>
      </c>
      <c r="DD52" s="1393">
        <v>0.0</v>
      </c>
      <c r="DE52" s="1393">
        <v>8.60609859627155E7</v>
      </c>
      <c r="DF52" s="1393">
        <v>0.0</v>
      </c>
      <c r="DG52" s="1393">
        <v>0.0</v>
      </c>
      <c r="DH52" s="1393">
        <v>0.0</v>
      </c>
      <c r="DI52" s="1393">
        <v>5035067.80926481</v>
      </c>
      <c r="DJ52" s="1393">
        <v>1.5744326723429129E7</v>
      </c>
      <c r="DK52" s="1393">
        <v>0.0</v>
      </c>
      <c r="DL52" s="1393">
        <v>0.0</v>
      </c>
      <c r="DM52" s="1393">
        <v>8.739414972883472E7</v>
      </c>
      <c r="DN52" s="1393">
        <v>0.0</v>
      </c>
      <c r="DO52" s="1393">
        <v>0.0</v>
      </c>
      <c r="DP52" s="1393">
        <v>0.0</v>
      </c>
      <c r="DQ52" s="1393">
        <v>5113854.217268396</v>
      </c>
      <c r="DR52" s="1379">
        <f t="shared" ref="DR52:DR53" si="16">SUM(Z52:DQ52)</f>
        <v>1294360449</v>
      </c>
    </row>
    <row r="53" hidden="1">
      <c r="A53" s="1387"/>
      <c r="B53" s="1394">
        <f>B52+1</f>
        <v>2</v>
      </c>
      <c r="C53" s="1389" t="s">
        <v>493</v>
      </c>
      <c r="D53" s="185" t="s">
        <v>186</v>
      </c>
      <c r="E53" s="185" t="s">
        <v>485</v>
      </c>
      <c r="F53" s="185" t="s">
        <v>1888</v>
      </c>
      <c r="G53" s="185" t="s">
        <v>218</v>
      </c>
      <c r="H53" s="185" t="s">
        <v>88</v>
      </c>
      <c r="I53" s="185" t="s">
        <v>88</v>
      </c>
      <c r="J53" s="185" t="s">
        <v>1889</v>
      </c>
      <c r="K53" s="185" t="s">
        <v>188</v>
      </c>
      <c r="L53" s="1390">
        <v>3.71801521E8</v>
      </c>
      <c r="M53" s="1390">
        <v>3.71801521E8</v>
      </c>
      <c r="N53" s="1390">
        <v>3.71801521E8</v>
      </c>
      <c r="O53" s="1390">
        <v>3.71801521E8</v>
      </c>
      <c r="P53" s="1390">
        <v>3.71801521E8</v>
      </c>
      <c r="Q53" s="1390">
        <v>3.71801521E8</v>
      </c>
      <c r="R53" s="1390">
        <v>3.71801521E8</v>
      </c>
      <c r="S53" s="1390">
        <v>3.71801521E8</v>
      </c>
      <c r="T53" s="1390">
        <v>3.71801521E8</v>
      </c>
      <c r="U53" s="1390">
        <v>3.71801521E8</v>
      </c>
      <c r="V53" s="1390">
        <v>3.71801521E8</v>
      </c>
      <c r="W53" s="1390">
        <v>3.71801521E8</v>
      </c>
      <c r="X53" s="1391">
        <v>4.461618252E9</v>
      </c>
      <c r="Y53" s="1392">
        <f t="shared" si="3"/>
        <v>0</v>
      </c>
      <c r="Z53" s="1393">
        <v>6689463.079640481</v>
      </c>
      <c r="AA53" s="1393">
        <v>0.0</v>
      </c>
      <c r="AB53" s="1393">
        <v>0.0</v>
      </c>
      <c r="AC53" s="1393">
        <v>2.932140562403502E8</v>
      </c>
      <c r="AD53" s="1393">
        <v>0.0</v>
      </c>
      <c r="AE53" s="1393">
        <v>0.0</v>
      </c>
      <c r="AF53" s="1393">
        <v>0.0</v>
      </c>
      <c r="AG53" s="1393">
        <v>4.496251055022035E7</v>
      </c>
      <c r="AH53" s="1393">
        <v>6689463.079640481</v>
      </c>
      <c r="AI53" s="1393">
        <v>0.0</v>
      </c>
      <c r="AJ53" s="1393">
        <v>0.0</v>
      </c>
      <c r="AK53" s="1393">
        <v>2.932140562403502E8</v>
      </c>
      <c r="AL53" s="1393">
        <v>0.0</v>
      </c>
      <c r="AM53" s="1393">
        <v>0.0</v>
      </c>
      <c r="AN53" s="1393">
        <v>0.0</v>
      </c>
      <c r="AO53" s="1393">
        <v>4.496251055022035E7</v>
      </c>
      <c r="AP53" s="1393">
        <v>6689463.079640481</v>
      </c>
      <c r="AQ53" s="1393">
        <v>0.0</v>
      </c>
      <c r="AR53" s="1393">
        <v>0.0</v>
      </c>
      <c r="AS53" s="1393">
        <v>2.932140562403502E8</v>
      </c>
      <c r="AT53" s="1393">
        <v>0.0</v>
      </c>
      <c r="AU53" s="1393">
        <v>0.0</v>
      </c>
      <c r="AV53" s="1393">
        <v>0.0</v>
      </c>
      <c r="AW53" s="1393">
        <v>4.496251055022035E7</v>
      </c>
      <c r="AX53" s="1393">
        <v>6689463.079640481</v>
      </c>
      <c r="AY53" s="1393">
        <v>0.0</v>
      </c>
      <c r="AZ53" s="1393">
        <v>0.0</v>
      </c>
      <c r="BA53" s="1393">
        <v>2.932140562403502E8</v>
      </c>
      <c r="BB53" s="1393">
        <v>0.0</v>
      </c>
      <c r="BC53" s="1393">
        <v>0.0</v>
      </c>
      <c r="BD53" s="1393">
        <v>0.0</v>
      </c>
      <c r="BE53" s="1393">
        <v>4.496251055022035E7</v>
      </c>
      <c r="BF53" s="1393">
        <v>6689463.079640481</v>
      </c>
      <c r="BG53" s="1393">
        <v>0.0</v>
      </c>
      <c r="BH53" s="1393">
        <v>0.0</v>
      </c>
      <c r="BI53" s="1393">
        <v>2.932140562403502E8</v>
      </c>
      <c r="BJ53" s="1393">
        <v>0.0</v>
      </c>
      <c r="BK53" s="1393">
        <v>0.0</v>
      </c>
      <c r="BL53" s="1393">
        <v>0.0</v>
      </c>
      <c r="BM53" s="1393">
        <v>4.496251055022035E7</v>
      </c>
      <c r="BN53" s="1393">
        <v>6689463.079640481</v>
      </c>
      <c r="BO53" s="1393">
        <v>0.0</v>
      </c>
      <c r="BP53" s="1393">
        <v>0.0</v>
      </c>
      <c r="BQ53" s="1393">
        <v>2.932140562403502E8</v>
      </c>
      <c r="BR53" s="1393">
        <v>0.0</v>
      </c>
      <c r="BS53" s="1393">
        <v>0.0</v>
      </c>
      <c r="BT53" s="1393">
        <v>0.0</v>
      </c>
      <c r="BU53" s="1393">
        <v>4.496251055022035E7</v>
      </c>
      <c r="BV53" s="1393">
        <v>6689463.079640481</v>
      </c>
      <c r="BW53" s="1393">
        <v>0.0</v>
      </c>
      <c r="BX53" s="1393">
        <v>0.0</v>
      </c>
      <c r="BY53" s="1393">
        <v>2.932140562403502E8</v>
      </c>
      <c r="BZ53" s="1393">
        <v>0.0</v>
      </c>
      <c r="CA53" s="1393">
        <v>0.0</v>
      </c>
      <c r="CB53" s="1393">
        <v>0.0</v>
      </c>
      <c r="CC53" s="1393">
        <v>4.496251055022035E7</v>
      </c>
      <c r="CD53" s="1393">
        <v>6689463.079640481</v>
      </c>
      <c r="CE53" s="1393">
        <v>0.0</v>
      </c>
      <c r="CF53" s="1393">
        <v>0.0</v>
      </c>
      <c r="CG53" s="1393">
        <v>2.932140562403502E8</v>
      </c>
      <c r="CH53" s="1393">
        <v>0.0</v>
      </c>
      <c r="CI53" s="1393">
        <v>0.0</v>
      </c>
      <c r="CJ53" s="1393">
        <v>0.0</v>
      </c>
      <c r="CK53" s="1393">
        <v>4.496251055022035E7</v>
      </c>
      <c r="CL53" s="1393">
        <v>6689463.079640481</v>
      </c>
      <c r="CM53" s="1393">
        <v>0.0</v>
      </c>
      <c r="CN53" s="1393">
        <v>0.0</v>
      </c>
      <c r="CO53" s="1393">
        <v>2.932140562403502E8</v>
      </c>
      <c r="CP53" s="1393">
        <v>0.0</v>
      </c>
      <c r="CQ53" s="1393">
        <v>0.0</v>
      </c>
      <c r="CR53" s="1393">
        <v>0.0</v>
      </c>
      <c r="CS53" s="1393">
        <v>4.496251055022035E7</v>
      </c>
      <c r="CT53" s="1393">
        <v>6689463.079640481</v>
      </c>
      <c r="CU53" s="1393">
        <v>0.0</v>
      </c>
      <c r="CV53" s="1393">
        <v>0.0</v>
      </c>
      <c r="CW53" s="1393">
        <v>2.932140562403502E8</v>
      </c>
      <c r="CX53" s="1393">
        <v>0.0</v>
      </c>
      <c r="CY53" s="1393">
        <v>0.0</v>
      </c>
      <c r="CZ53" s="1393">
        <v>0.0</v>
      </c>
      <c r="DA53" s="1393">
        <v>4.496251055022035E7</v>
      </c>
      <c r="DB53" s="1393">
        <v>6689463.079640481</v>
      </c>
      <c r="DC53" s="1393">
        <v>0.0</v>
      </c>
      <c r="DD53" s="1393">
        <v>0.0</v>
      </c>
      <c r="DE53" s="1393">
        <v>2.932140562403502E8</v>
      </c>
      <c r="DF53" s="1393">
        <v>0.0</v>
      </c>
      <c r="DG53" s="1393">
        <v>0.0</v>
      </c>
      <c r="DH53" s="1393">
        <v>0.0</v>
      </c>
      <c r="DI53" s="1393">
        <v>4.496251055022035E7</v>
      </c>
      <c r="DJ53" s="1393">
        <v>6689463.079640481</v>
      </c>
      <c r="DK53" s="1393">
        <v>0.0</v>
      </c>
      <c r="DL53" s="1393">
        <v>0.0</v>
      </c>
      <c r="DM53" s="1393">
        <v>2.932140562403502E8</v>
      </c>
      <c r="DN53" s="1393">
        <v>0.0</v>
      </c>
      <c r="DO53" s="1393">
        <v>0.0</v>
      </c>
      <c r="DP53" s="1393">
        <v>0.0</v>
      </c>
      <c r="DQ53" s="1393">
        <v>4.496251055022035E7</v>
      </c>
      <c r="DR53" s="1379">
        <f t="shared" si="16"/>
        <v>4138392358</v>
      </c>
    </row>
    <row r="54" hidden="1">
      <c r="A54" s="1387">
        <v>6.0</v>
      </c>
      <c r="B54" s="1395" t="s">
        <v>34</v>
      </c>
      <c r="C54" s="7"/>
      <c r="D54" s="1225"/>
      <c r="E54" s="1225"/>
      <c r="F54" s="1225"/>
      <c r="G54" s="1225"/>
      <c r="H54" s="1225"/>
      <c r="I54" s="1225"/>
      <c r="J54" s="1225"/>
      <c r="K54" s="1225"/>
      <c r="L54" s="1396">
        <f t="shared" ref="L54:X54" si="17">L55+L56+L57</f>
        <v>858918922.5</v>
      </c>
      <c r="M54" s="1396">
        <f t="shared" si="17"/>
        <v>858918922.5</v>
      </c>
      <c r="N54" s="1396">
        <f t="shared" si="17"/>
        <v>858918922.5</v>
      </c>
      <c r="O54" s="1396">
        <f t="shared" si="17"/>
        <v>858918922.5</v>
      </c>
      <c r="P54" s="1396">
        <f t="shared" si="17"/>
        <v>858918922.5</v>
      </c>
      <c r="Q54" s="1396">
        <f t="shared" si="17"/>
        <v>858918922.5</v>
      </c>
      <c r="R54" s="1396">
        <f t="shared" si="17"/>
        <v>858918922.5</v>
      </c>
      <c r="S54" s="1396">
        <f t="shared" si="17"/>
        <v>858918922.5</v>
      </c>
      <c r="T54" s="1396">
        <f t="shared" si="17"/>
        <v>858918922.5</v>
      </c>
      <c r="U54" s="1396">
        <f t="shared" si="17"/>
        <v>858918922.5</v>
      </c>
      <c r="V54" s="1396">
        <f t="shared" si="17"/>
        <v>858918922.5</v>
      </c>
      <c r="W54" s="1396">
        <f t="shared" si="17"/>
        <v>858918922.5</v>
      </c>
      <c r="X54" s="1396">
        <f t="shared" si="17"/>
        <v>10307027070</v>
      </c>
      <c r="Y54" s="1392">
        <f t="shared" si="3"/>
        <v>0.000003814697266</v>
      </c>
    </row>
    <row r="55">
      <c r="A55" s="1387"/>
      <c r="B55" s="1388">
        <v>1.0</v>
      </c>
      <c r="C55" s="1389" t="s">
        <v>504</v>
      </c>
      <c r="D55" s="185" t="s">
        <v>186</v>
      </c>
      <c r="E55" s="185" t="s">
        <v>503</v>
      </c>
      <c r="F55" s="185" t="s">
        <v>1888</v>
      </c>
      <c r="G55" s="185" t="s">
        <v>86</v>
      </c>
      <c r="H55" s="185" t="s">
        <v>86</v>
      </c>
      <c r="I55" s="185" t="s">
        <v>103</v>
      </c>
      <c r="J55" s="185" t="s">
        <v>1889</v>
      </c>
      <c r="K55" s="185" t="s">
        <v>188</v>
      </c>
      <c r="L55" s="1390">
        <v>4.03809459E8</v>
      </c>
      <c r="M55" s="1390">
        <v>4.03809459E8</v>
      </c>
      <c r="N55" s="1390">
        <v>4.03809459E8</v>
      </c>
      <c r="O55" s="1390">
        <v>4.03809459E8</v>
      </c>
      <c r="P55" s="1390">
        <v>4.03809459E8</v>
      </c>
      <c r="Q55" s="1390">
        <v>4.03809459E8</v>
      </c>
      <c r="R55" s="1390">
        <v>4.03809459E8</v>
      </c>
      <c r="S55" s="1390">
        <v>4.03809459E8</v>
      </c>
      <c r="T55" s="1390">
        <v>4.03809459E8</v>
      </c>
      <c r="U55" s="1390">
        <v>4.03809459E8</v>
      </c>
      <c r="V55" s="1390">
        <v>4.03809459E8</v>
      </c>
      <c r="W55" s="1390">
        <v>4.03809459E8</v>
      </c>
      <c r="X55" s="1391">
        <v>4.845713508E9</v>
      </c>
      <c r="Y55" s="1392">
        <f t="shared" si="3"/>
        <v>0</v>
      </c>
      <c r="Z55" s="1393">
        <v>4.990339822902657E7</v>
      </c>
      <c r="AA55" s="1393">
        <v>0.0</v>
      </c>
      <c r="AB55" s="1393">
        <v>0.0</v>
      </c>
      <c r="AC55" s="1393">
        <v>2.7806272536099076E8</v>
      </c>
      <c r="AD55" s="1393">
        <v>0.0</v>
      </c>
      <c r="AE55" s="1393">
        <v>0.0</v>
      </c>
      <c r="AF55" s="1393">
        <v>0.0</v>
      </c>
      <c r="AG55" s="1393">
        <v>1.6208930872208755E7</v>
      </c>
      <c r="AH55" s="1393">
        <v>5.090786443928119E7</v>
      </c>
      <c r="AI55" s="1393">
        <v>0.0</v>
      </c>
      <c r="AJ55" s="1393">
        <v>0.0</v>
      </c>
      <c r="AK55" s="1393">
        <v>2.8294054013498247E8</v>
      </c>
      <c r="AL55" s="1393">
        <v>0.0</v>
      </c>
      <c r="AM55" s="1393">
        <v>0.0</v>
      </c>
      <c r="AN55" s="1393">
        <v>0.0</v>
      </c>
      <c r="AO55" s="1393">
        <v>1.6535187679225488E7</v>
      </c>
      <c r="AP55" s="1393">
        <v>5.594164447491834E7</v>
      </c>
      <c r="AQ55" s="1393">
        <v>0.0</v>
      </c>
      <c r="AR55" s="1393">
        <v>0.0</v>
      </c>
      <c r="AS55" s="1393">
        <v>3.104217373237807E8</v>
      </c>
      <c r="AT55" s="1393">
        <v>0.0</v>
      </c>
      <c r="AU55" s="1393">
        <v>0.0</v>
      </c>
      <c r="AV55" s="1393">
        <v>0.0</v>
      </c>
      <c r="AW55" s="1393">
        <v>1.817019041489267E7</v>
      </c>
      <c r="AX55" s="1393">
        <v>5.198904629249687E7</v>
      </c>
      <c r="AY55" s="1393">
        <v>0.0</v>
      </c>
      <c r="AZ55" s="1393">
        <v>0.0</v>
      </c>
      <c r="BA55" s="1393">
        <v>2.886775723264813E8</v>
      </c>
      <c r="BB55" s="1393">
        <v>0.0</v>
      </c>
      <c r="BC55" s="1393">
        <v>0.0</v>
      </c>
      <c r="BD55" s="1393">
        <v>0.0</v>
      </c>
      <c r="BE55" s="1393">
        <v>1.688636219921772E7</v>
      </c>
      <c r="BF55" s="1393">
        <v>5.143679401140696E7</v>
      </c>
      <c r="BG55" s="1393">
        <v>0.0</v>
      </c>
      <c r="BH55" s="1393">
        <v>0.0</v>
      </c>
      <c r="BI55" s="1393">
        <v>2.8563812534621835E8</v>
      </c>
      <c r="BJ55" s="1393">
        <v>0.0</v>
      </c>
      <c r="BK55" s="1393">
        <v>0.0</v>
      </c>
      <c r="BL55" s="1393">
        <v>0.0</v>
      </c>
      <c r="BM55" s="1393">
        <v>1.6706987259516733E7</v>
      </c>
      <c r="BN55" s="1393">
        <v>5.2207255516489215E7</v>
      </c>
      <c r="BO55" s="1393">
        <v>0.0</v>
      </c>
      <c r="BP55" s="1393">
        <v>0.0</v>
      </c>
      <c r="BQ55" s="1393">
        <v>2.898569841491317E8</v>
      </c>
      <c r="BR55" s="1393">
        <v>0.0</v>
      </c>
      <c r="BS55" s="1393">
        <v>0.0</v>
      </c>
      <c r="BT55" s="1393">
        <v>0.0</v>
      </c>
      <c r="BU55" s="1393">
        <v>1.6957237898125794E7</v>
      </c>
      <c r="BV55" s="1393">
        <v>5.460747383559484E7</v>
      </c>
      <c r="BW55" s="1393">
        <v>0.0</v>
      </c>
      <c r="BX55" s="1393">
        <v>0.0</v>
      </c>
      <c r="BY55" s="1393">
        <v>3.030487312913934E8</v>
      </c>
      <c r="BZ55" s="1393">
        <v>0.0</v>
      </c>
      <c r="CA55" s="1393">
        <v>0.0</v>
      </c>
      <c r="CB55" s="1393">
        <v>0.0</v>
      </c>
      <c r="CC55" s="1393">
        <v>1.7736843580168564E7</v>
      </c>
      <c r="CD55" s="1393">
        <v>5.494583780897233E7</v>
      </c>
      <c r="CE55" s="1393">
        <v>0.0</v>
      </c>
      <c r="CF55" s="1393">
        <v>0.0</v>
      </c>
      <c r="CG55" s="1393">
        <v>3.049078251178424E8</v>
      </c>
      <c r="CH55" s="1393">
        <v>0.0</v>
      </c>
      <c r="CI55" s="1393">
        <v>0.0</v>
      </c>
      <c r="CJ55" s="1393">
        <v>0.0</v>
      </c>
      <c r="CK55" s="1393">
        <v>1.7846746281162012E7</v>
      </c>
      <c r="CL55" s="1393">
        <v>5.3152685200891726E7</v>
      </c>
      <c r="CM55" s="1393">
        <v>0.0</v>
      </c>
      <c r="CN55" s="1393">
        <v>0.0</v>
      </c>
      <c r="CO55" s="1393">
        <v>2.950335634033416E8</v>
      </c>
      <c r="CP55" s="1393">
        <v>0.0</v>
      </c>
      <c r="CQ55" s="1393">
        <v>0.0</v>
      </c>
      <c r="CR55" s="1393">
        <v>0.0</v>
      </c>
      <c r="CS55" s="1393">
        <v>1.7264319278209068E7</v>
      </c>
      <c r="CT55" s="1393">
        <v>5.3034531571910724E7</v>
      </c>
      <c r="CU55" s="1393">
        <v>0.0</v>
      </c>
      <c r="CV55" s="1393">
        <v>0.0</v>
      </c>
      <c r="CW55" s="1393">
        <v>2.9438417651507676E8</v>
      </c>
      <c r="CX55" s="1393">
        <v>0.0</v>
      </c>
      <c r="CY55" s="1393">
        <v>0.0</v>
      </c>
      <c r="CZ55" s="1393">
        <v>0.0</v>
      </c>
      <c r="DA55" s="1393">
        <v>1.722594225234673E7</v>
      </c>
      <c r="DB55" s="1393">
        <v>5.216465216510401E7</v>
      </c>
      <c r="DC55" s="1393">
        <v>0.0</v>
      </c>
      <c r="DD55" s="1393">
        <v>0.0</v>
      </c>
      <c r="DE55" s="1393">
        <v>2.896020015217562E8</v>
      </c>
      <c r="DF55" s="1393">
        <v>0.0</v>
      </c>
      <c r="DG55" s="1393">
        <v>0.0</v>
      </c>
      <c r="DH55" s="1393">
        <v>0.0</v>
      </c>
      <c r="DI55" s="1393">
        <v>1.694340006739615E7</v>
      </c>
      <c r="DJ55" s="1393">
        <v>5.2980900470893E7</v>
      </c>
      <c r="DK55" s="1393">
        <v>0.0</v>
      </c>
      <c r="DL55" s="1393">
        <v>0.0</v>
      </c>
      <c r="DM55" s="1393">
        <v>2.940882026813812E8</v>
      </c>
      <c r="DN55" s="1393">
        <v>0.0</v>
      </c>
      <c r="DO55" s="1393">
        <v>0.0</v>
      </c>
      <c r="DP55" s="1393">
        <v>0.0</v>
      </c>
      <c r="DQ55" s="1393">
        <v>1.7208522540666834E7</v>
      </c>
      <c r="DR55" s="1379">
        <f t="shared" ref="DR55:DR57" si="18">SUM(Z55:DQ55)</f>
        <v>4355624940</v>
      </c>
    </row>
    <row r="56">
      <c r="A56" s="1387"/>
      <c r="B56" s="1394">
        <f t="shared" ref="B56:B57" si="19">B55+1</f>
        <v>2</v>
      </c>
      <c r="C56" s="1389" t="s">
        <v>509</v>
      </c>
      <c r="D56" s="185" t="s">
        <v>186</v>
      </c>
      <c r="E56" s="185" t="s">
        <v>503</v>
      </c>
      <c r="F56" s="185" t="s">
        <v>1888</v>
      </c>
      <c r="G56" s="185" t="s">
        <v>86</v>
      </c>
      <c r="H56" s="185" t="s">
        <v>86</v>
      </c>
      <c r="I56" s="185" t="s">
        <v>103</v>
      </c>
      <c r="J56" s="185" t="s">
        <v>366</v>
      </c>
      <c r="K56" s="185" t="e">
        <v>#N/A</v>
      </c>
      <c r="L56" s="1390">
        <v>4.4442177477477476E7</v>
      </c>
      <c r="M56" s="1390">
        <v>4.4442177477477476E7</v>
      </c>
      <c r="N56" s="1390">
        <v>4.4442177477477476E7</v>
      </c>
      <c r="O56" s="1390">
        <v>4.4442177477477476E7</v>
      </c>
      <c r="P56" s="1390">
        <v>4.4442177477477476E7</v>
      </c>
      <c r="Q56" s="1390">
        <v>4.4442177477477476E7</v>
      </c>
      <c r="R56" s="1390">
        <v>4.4442177477477476E7</v>
      </c>
      <c r="S56" s="1390">
        <v>4.4442177477477476E7</v>
      </c>
      <c r="T56" s="1390">
        <v>4.4442177477477476E7</v>
      </c>
      <c r="U56" s="1390">
        <v>4.4442177477477476E7</v>
      </c>
      <c r="V56" s="1390">
        <v>4.4442177477477476E7</v>
      </c>
      <c r="W56" s="1390">
        <v>4.4442177477477476E7</v>
      </c>
      <c r="X56" s="1391">
        <v>5.3330612972972983E8</v>
      </c>
      <c r="Y56" s="1392">
        <f t="shared" si="3"/>
        <v>0</v>
      </c>
      <c r="Z56" s="1393">
        <v>5492233.1099322615</v>
      </c>
      <c r="AA56" s="1393">
        <v>0.0</v>
      </c>
      <c r="AB56" s="1393">
        <v>0.0</v>
      </c>
      <c r="AC56" s="1393">
        <v>3.0602831892464973E7</v>
      </c>
      <c r="AD56" s="1393">
        <v>0.0</v>
      </c>
      <c r="AE56" s="1393">
        <v>0.0</v>
      </c>
      <c r="AF56" s="1393">
        <v>0.0</v>
      </c>
      <c r="AG56" s="1393">
        <v>1783911.115719717</v>
      </c>
      <c r="AH56" s="1393">
        <v>5602781.945754022</v>
      </c>
      <c r="AI56" s="1393">
        <v>0.0</v>
      </c>
      <c r="AJ56" s="1393">
        <v>0.0</v>
      </c>
      <c r="AK56" s="1393">
        <v>3.113967100075342E7</v>
      </c>
      <c r="AL56" s="1393">
        <v>0.0</v>
      </c>
      <c r="AM56" s="1393">
        <v>0.0</v>
      </c>
      <c r="AN56" s="1393">
        <v>0.0</v>
      </c>
      <c r="AO56" s="1393">
        <v>1819818.057960693</v>
      </c>
      <c r="AP56" s="1393">
        <v>6156786.169132973</v>
      </c>
      <c r="AQ56" s="1393">
        <v>0.0</v>
      </c>
      <c r="AR56" s="1393">
        <v>0.0</v>
      </c>
      <c r="AS56" s="1393">
        <v>3.416417727602155E7</v>
      </c>
      <c r="AT56" s="1393">
        <v>0.0</v>
      </c>
      <c r="AU56" s="1393">
        <v>0.0</v>
      </c>
      <c r="AV56" s="1393">
        <v>0.0</v>
      </c>
      <c r="AW56" s="1393">
        <v>1999762.0392993821</v>
      </c>
      <c r="AX56" s="1393">
        <v>5721773.897861907</v>
      </c>
      <c r="AY56" s="1393">
        <v>0.0</v>
      </c>
      <c r="AZ56" s="1393">
        <v>0.0</v>
      </c>
      <c r="BA56" s="1393">
        <v>3.177107325537122E7</v>
      </c>
      <c r="BB56" s="1393">
        <v>0.0</v>
      </c>
      <c r="BC56" s="1393">
        <v>0.0</v>
      </c>
      <c r="BD56" s="1393">
        <v>0.0</v>
      </c>
      <c r="BE56" s="1393">
        <v>1858467.3763340467</v>
      </c>
      <c r="BF56" s="1393">
        <v>5660994.504656709</v>
      </c>
      <c r="BG56" s="1393">
        <v>0.0</v>
      </c>
      <c r="BH56" s="1393">
        <v>0.0</v>
      </c>
      <c r="BI56" s="1393">
        <v>3.143655993697412E7</v>
      </c>
      <c r="BJ56" s="1393">
        <v>0.0</v>
      </c>
      <c r="BK56" s="1393">
        <v>0.0</v>
      </c>
      <c r="BL56" s="1393">
        <v>0.0</v>
      </c>
      <c r="BM56" s="1393">
        <v>1838725.8553579294</v>
      </c>
      <c r="BN56" s="1393">
        <v>5745789.415190071</v>
      </c>
      <c r="BO56" s="1393">
        <v>0.0</v>
      </c>
      <c r="BP56" s="1393">
        <v>0.0</v>
      </c>
      <c r="BQ56" s="1393">
        <v>3.190087613237927E7</v>
      </c>
      <c r="BR56" s="1393">
        <v>0.0</v>
      </c>
      <c r="BS56" s="1393">
        <v>0.0</v>
      </c>
      <c r="BT56" s="1393">
        <v>0.0</v>
      </c>
      <c r="BU56" s="1393">
        <v>1866267.7641642706</v>
      </c>
      <c r="BV56" s="1393">
        <v>6009950.955106809</v>
      </c>
      <c r="BW56" s="1393">
        <v>0.0</v>
      </c>
      <c r="BX56" s="1393">
        <v>0.0</v>
      </c>
      <c r="BY56" s="1393">
        <v>3.3352724162849505E7</v>
      </c>
      <c r="BZ56" s="1393">
        <v>0.0</v>
      </c>
      <c r="CA56" s="1393">
        <v>0.0</v>
      </c>
      <c r="CB56" s="1393">
        <v>0.0</v>
      </c>
      <c r="CC56" s="1393">
        <v>1952069.0580953138</v>
      </c>
      <c r="CD56" s="1393">
        <v>6047190.379349287</v>
      </c>
      <c r="CE56" s="1393">
        <v>0.0</v>
      </c>
      <c r="CF56" s="1393">
        <v>0.0</v>
      </c>
      <c r="CG56" s="1393">
        <v>3.355733100387531E7</v>
      </c>
      <c r="CH56" s="1393">
        <v>0.0</v>
      </c>
      <c r="CI56" s="1393">
        <v>0.0</v>
      </c>
      <c r="CJ56" s="1393">
        <v>0.0</v>
      </c>
      <c r="CK56" s="1393">
        <v>1964164.6522770363</v>
      </c>
      <c r="CL56" s="1393">
        <v>5849840.850564426</v>
      </c>
      <c r="CM56" s="1393">
        <v>0.0</v>
      </c>
      <c r="CN56" s="1393">
        <v>0.0</v>
      </c>
      <c r="CO56" s="1393">
        <v>3.2470596451738667E7</v>
      </c>
      <c r="CP56" s="1393">
        <v>0.0</v>
      </c>
      <c r="CQ56" s="1393">
        <v>0.0</v>
      </c>
      <c r="CR56" s="1393">
        <v>0.0</v>
      </c>
      <c r="CS56" s="1393">
        <v>1900064.3107520745</v>
      </c>
      <c r="CT56" s="1393">
        <v>5836837.18155235</v>
      </c>
      <c r="CU56" s="1393">
        <v>0.0</v>
      </c>
      <c r="CV56" s="1393">
        <v>0.0</v>
      </c>
      <c r="CW56" s="1393">
        <v>3.2399126686242625E7</v>
      </c>
      <c r="CX56" s="1393">
        <v>0.0</v>
      </c>
      <c r="CY56" s="1393">
        <v>0.0</v>
      </c>
      <c r="CZ56" s="1393">
        <v>0.0</v>
      </c>
      <c r="DA56" s="1393">
        <v>1895840.6390266642</v>
      </c>
      <c r="DB56" s="1393">
        <v>5741100.60550224</v>
      </c>
      <c r="DC56" s="1393">
        <v>0.0</v>
      </c>
      <c r="DD56" s="1393">
        <v>0.0</v>
      </c>
      <c r="DE56" s="1393">
        <v>3.1872813433680836E7</v>
      </c>
      <c r="DF56" s="1393">
        <v>0.0</v>
      </c>
      <c r="DG56" s="1393">
        <v>0.0</v>
      </c>
      <c r="DH56" s="1393">
        <v>0.0</v>
      </c>
      <c r="DI56" s="1393">
        <v>1864744.8099206698</v>
      </c>
      <c r="DJ56" s="1393">
        <v>5830934.687550239</v>
      </c>
      <c r="DK56" s="1393">
        <v>0.0</v>
      </c>
      <c r="DL56" s="1393">
        <v>0.0</v>
      </c>
      <c r="DM56" s="1393">
        <v>3.2366552606184274E7</v>
      </c>
      <c r="DN56" s="1393">
        <v>0.0</v>
      </c>
      <c r="DO56" s="1393">
        <v>0.0</v>
      </c>
      <c r="DP56" s="1393">
        <v>0.0</v>
      </c>
      <c r="DQ56" s="1393">
        <v>1893923.4726482395</v>
      </c>
      <c r="DR56" s="1379">
        <f t="shared" si="18"/>
        <v>479368306.7</v>
      </c>
    </row>
    <row r="57">
      <c r="A57" s="1387"/>
      <c r="B57" s="1394">
        <f t="shared" si="19"/>
        <v>3</v>
      </c>
      <c r="C57" s="1389" t="s">
        <v>1764</v>
      </c>
      <c r="D57" s="185" t="s">
        <v>186</v>
      </c>
      <c r="E57" s="185" t="s">
        <v>503</v>
      </c>
      <c r="F57" s="185" t="s">
        <v>1888</v>
      </c>
      <c r="G57" s="185" t="s">
        <v>218</v>
      </c>
      <c r="H57" s="185" t="s">
        <v>88</v>
      </c>
      <c r="I57" s="185" t="s">
        <v>88</v>
      </c>
      <c r="J57" s="185" t="s">
        <v>1889</v>
      </c>
      <c r="K57" s="185" t="s">
        <v>188</v>
      </c>
      <c r="L57" s="1390">
        <v>4.10667286E8</v>
      </c>
      <c r="M57" s="1390">
        <v>4.10667286E8</v>
      </c>
      <c r="N57" s="1390">
        <v>4.10667286E8</v>
      </c>
      <c r="O57" s="1390">
        <v>4.10667286E8</v>
      </c>
      <c r="P57" s="1390">
        <v>4.10667286E8</v>
      </c>
      <c r="Q57" s="1390">
        <v>4.10667286E8</v>
      </c>
      <c r="R57" s="1390">
        <v>4.10667286E8</v>
      </c>
      <c r="S57" s="1390">
        <v>4.10667286E8</v>
      </c>
      <c r="T57" s="1390">
        <v>4.10667286E8</v>
      </c>
      <c r="U57" s="1390">
        <v>4.10667286E8</v>
      </c>
      <c r="V57" s="1390">
        <v>4.10667286E8</v>
      </c>
      <c r="W57" s="1390">
        <v>4.10667286E8</v>
      </c>
      <c r="X57" s="1391">
        <v>4.928007432E9</v>
      </c>
      <c r="Y57" s="1392">
        <f t="shared" si="3"/>
        <v>0</v>
      </c>
      <c r="Z57" s="1393">
        <v>7388736.980753658</v>
      </c>
      <c r="AA57" s="1393">
        <v>0.0</v>
      </c>
      <c r="AB57" s="1393">
        <v>0.0</v>
      </c>
      <c r="AC57" s="1393">
        <v>3.2386478777550775E8</v>
      </c>
      <c r="AD57" s="1393">
        <v>0.0</v>
      </c>
      <c r="AE57" s="1393">
        <v>0.0</v>
      </c>
      <c r="AF57" s="1393">
        <v>0.0</v>
      </c>
      <c r="AG57" s="1393">
        <v>4.966260527859798E7</v>
      </c>
      <c r="AH57" s="1393">
        <v>7388736.980753658</v>
      </c>
      <c r="AI57" s="1393">
        <v>0.0</v>
      </c>
      <c r="AJ57" s="1393">
        <v>0.0</v>
      </c>
      <c r="AK57" s="1393">
        <v>3.2386478777550775E8</v>
      </c>
      <c r="AL57" s="1393">
        <v>0.0</v>
      </c>
      <c r="AM57" s="1393">
        <v>0.0</v>
      </c>
      <c r="AN57" s="1393">
        <v>0.0</v>
      </c>
      <c r="AO57" s="1393">
        <v>4.966260527859798E7</v>
      </c>
      <c r="AP57" s="1393">
        <v>7388736.980753658</v>
      </c>
      <c r="AQ57" s="1393">
        <v>0.0</v>
      </c>
      <c r="AR57" s="1393">
        <v>0.0</v>
      </c>
      <c r="AS57" s="1393">
        <v>3.2386478777550775E8</v>
      </c>
      <c r="AT57" s="1393">
        <v>0.0</v>
      </c>
      <c r="AU57" s="1393">
        <v>0.0</v>
      </c>
      <c r="AV57" s="1393">
        <v>0.0</v>
      </c>
      <c r="AW57" s="1393">
        <v>4.966260527859798E7</v>
      </c>
      <c r="AX57" s="1393">
        <v>7388736.980753658</v>
      </c>
      <c r="AY57" s="1393">
        <v>0.0</v>
      </c>
      <c r="AZ57" s="1393">
        <v>0.0</v>
      </c>
      <c r="BA57" s="1393">
        <v>3.2386478777550775E8</v>
      </c>
      <c r="BB57" s="1393">
        <v>0.0</v>
      </c>
      <c r="BC57" s="1393">
        <v>0.0</v>
      </c>
      <c r="BD57" s="1393">
        <v>0.0</v>
      </c>
      <c r="BE57" s="1393">
        <v>4.966260527859798E7</v>
      </c>
      <c r="BF57" s="1393">
        <v>7388736.980753658</v>
      </c>
      <c r="BG57" s="1393">
        <v>0.0</v>
      </c>
      <c r="BH57" s="1393">
        <v>0.0</v>
      </c>
      <c r="BI57" s="1393">
        <v>3.2386478777550775E8</v>
      </c>
      <c r="BJ57" s="1393">
        <v>0.0</v>
      </c>
      <c r="BK57" s="1393">
        <v>0.0</v>
      </c>
      <c r="BL57" s="1393">
        <v>0.0</v>
      </c>
      <c r="BM57" s="1393">
        <v>4.966260527859798E7</v>
      </c>
      <c r="BN57" s="1393">
        <v>7388736.980753658</v>
      </c>
      <c r="BO57" s="1393">
        <v>0.0</v>
      </c>
      <c r="BP57" s="1393">
        <v>0.0</v>
      </c>
      <c r="BQ57" s="1393">
        <v>3.2386478777550775E8</v>
      </c>
      <c r="BR57" s="1393">
        <v>0.0</v>
      </c>
      <c r="BS57" s="1393">
        <v>0.0</v>
      </c>
      <c r="BT57" s="1393">
        <v>0.0</v>
      </c>
      <c r="BU57" s="1393">
        <v>4.966260527859798E7</v>
      </c>
      <c r="BV57" s="1393">
        <v>7388736.980753658</v>
      </c>
      <c r="BW57" s="1393">
        <v>0.0</v>
      </c>
      <c r="BX57" s="1393">
        <v>0.0</v>
      </c>
      <c r="BY57" s="1393">
        <v>3.2386478777550775E8</v>
      </c>
      <c r="BZ57" s="1393">
        <v>0.0</v>
      </c>
      <c r="CA57" s="1393">
        <v>0.0</v>
      </c>
      <c r="CB57" s="1393">
        <v>0.0</v>
      </c>
      <c r="CC57" s="1393">
        <v>4.966260527859798E7</v>
      </c>
      <c r="CD57" s="1393">
        <v>7388736.980753658</v>
      </c>
      <c r="CE57" s="1393">
        <v>0.0</v>
      </c>
      <c r="CF57" s="1393">
        <v>0.0</v>
      </c>
      <c r="CG57" s="1393">
        <v>3.2386478777550775E8</v>
      </c>
      <c r="CH57" s="1393">
        <v>0.0</v>
      </c>
      <c r="CI57" s="1393">
        <v>0.0</v>
      </c>
      <c r="CJ57" s="1393">
        <v>0.0</v>
      </c>
      <c r="CK57" s="1393">
        <v>4.966260527859798E7</v>
      </c>
      <c r="CL57" s="1393">
        <v>7388736.980753658</v>
      </c>
      <c r="CM57" s="1393">
        <v>0.0</v>
      </c>
      <c r="CN57" s="1393">
        <v>0.0</v>
      </c>
      <c r="CO57" s="1393">
        <v>3.2386478777550775E8</v>
      </c>
      <c r="CP57" s="1393">
        <v>0.0</v>
      </c>
      <c r="CQ57" s="1393">
        <v>0.0</v>
      </c>
      <c r="CR57" s="1393">
        <v>0.0</v>
      </c>
      <c r="CS57" s="1393">
        <v>4.966260527859798E7</v>
      </c>
      <c r="CT57" s="1393">
        <v>7388736.980753658</v>
      </c>
      <c r="CU57" s="1393">
        <v>0.0</v>
      </c>
      <c r="CV57" s="1393">
        <v>0.0</v>
      </c>
      <c r="CW57" s="1393">
        <v>3.2386478777550775E8</v>
      </c>
      <c r="CX57" s="1393">
        <v>0.0</v>
      </c>
      <c r="CY57" s="1393">
        <v>0.0</v>
      </c>
      <c r="CZ57" s="1393">
        <v>0.0</v>
      </c>
      <c r="DA57" s="1393">
        <v>4.966260527859798E7</v>
      </c>
      <c r="DB57" s="1393">
        <v>7388736.980753658</v>
      </c>
      <c r="DC57" s="1393">
        <v>0.0</v>
      </c>
      <c r="DD57" s="1393">
        <v>0.0</v>
      </c>
      <c r="DE57" s="1393">
        <v>3.2386478777550775E8</v>
      </c>
      <c r="DF57" s="1393">
        <v>0.0</v>
      </c>
      <c r="DG57" s="1393">
        <v>0.0</v>
      </c>
      <c r="DH57" s="1393">
        <v>0.0</v>
      </c>
      <c r="DI57" s="1393">
        <v>4.966260527859798E7</v>
      </c>
      <c r="DJ57" s="1393">
        <v>7388736.980753658</v>
      </c>
      <c r="DK57" s="1393">
        <v>0.0</v>
      </c>
      <c r="DL57" s="1393">
        <v>0.0</v>
      </c>
      <c r="DM57" s="1393">
        <v>3.2386478777550775E8</v>
      </c>
      <c r="DN57" s="1393">
        <v>0.0</v>
      </c>
      <c r="DO57" s="1393">
        <v>0.0</v>
      </c>
      <c r="DP57" s="1393">
        <v>0.0</v>
      </c>
      <c r="DQ57" s="1393">
        <v>4.966260527859798E7</v>
      </c>
      <c r="DR57" s="1379">
        <f t="shared" si="18"/>
        <v>4570993560</v>
      </c>
    </row>
    <row r="58" hidden="1">
      <c r="A58" s="1387">
        <v>7.0</v>
      </c>
      <c r="B58" s="1395" t="s">
        <v>35</v>
      </c>
      <c r="C58" s="7"/>
      <c r="D58" s="1225"/>
      <c r="E58" s="1225"/>
      <c r="F58" s="1225"/>
      <c r="G58" s="1225"/>
      <c r="H58" s="1225"/>
      <c r="I58" s="1225"/>
      <c r="J58" s="1225"/>
      <c r="K58" s="1225"/>
      <c r="L58" s="1396">
        <f t="shared" ref="L58:X58" si="20">L59+L60</f>
        <v>476258029</v>
      </c>
      <c r="M58" s="1396">
        <f t="shared" si="20"/>
        <v>476258029</v>
      </c>
      <c r="N58" s="1396">
        <f t="shared" si="20"/>
        <v>476258029</v>
      </c>
      <c r="O58" s="1396">
        <f t="shared" si="20"/>
        <v>476258029</v>
      </c>
      <c r="P58" s="1396">
        <f t="shared" si="20"/>
        <v>476258029</v>
      </c>
      <c r="Q58" s="1396">
        <f t="shared" si="20"/>
        <v>476258029</v>
      </c>
      <c r="R58" s="1396">
        <f t="shared" si="20"/>
        <v>476258029</v>
      </c>
      <c r="S58" s="1396">
        <f t="shared" si="20"/>
        <v>476258029</v>
      </c>
      <c r="T58" s="1396">
        <f t="shared" si="20"/>
        <v>476258029</v>
      </c>
      <c r="U58" s="1396">
        <f t="shared" si="20"/>
        <v>476258029</v>
      </c>
      <c r="V58" s="1396">
        <f t="shared" si="20"/>
        <v>476258029</v>
      </c>
      <c r="W58" s="1396">
        <f t="shared" si="20"/>
        <v>476258029</v>
      </c>
      <c r="X58" s="1396">
        <f t="shared" si="20"/>
        <v>5715096348</v>
      </c>
      <c r="Y58" s="1392">
        <f t="shared" si="3"/>
        <v>0</v>
      </c>
    </row>
    <row r="59" hidden="1">
      <c r="A59" s="1387"/>
      <c r="B59" s="1388">
        <v>1.0</v>
      </c>
      <c r="C59" s="1389" t="s">
        <v>1765</v>
      </c>
      <c r="D59" s="185" t="s">
        <v>186</v>
      </c>
      <c r="E59" s="185" t="s">
        <v>529</v>
      </c>
      <c r="F59" s="185" t="s">
        <v>1888</v>
      </c>
      <c r="G59" s="185" t="s">
        <v>218</v>
      </c>
      <c r="H59" s="185" t="s">
        <v>88</v>
      </c>
      <c r="I59" s="185" t="s">
        <v>88</v>
      </c>
      <c r="J59" s="185" t="s">
        <v>253</v>
      </c>
      <c r="K59" s="185" t="s">
        <v>254</v>
      </c>
      <c r="L59" s="1390">
        <v>3.39241701E8</v>
      </c>
      <c r="M59" s="1390">
        <v>3.39241701E8</v>
      </c>
      <c r="N59" s="1390">
        <v>3.39241701E8</v>
      </c>
      <c r="O59" s="1390">
        <v>3.39241701E8</v>
      </c>
      <c r="P59" s="1390">
        <v>3.39241701E8</v>
      </c>
      <c r="Q59" s="1390">
        <v>3.39241701E8</v>
      </c>
      <c r="R59" s="1390">
        <v>3.39241701E8</v>
      </c>
      <c r="S59" s="1390">
        <v>3.39241701E8</v>
      </c>
      <c r="T59" s="1390">
        <v>3.39241701E8</v>
      </c>
      <c r="U59" s="1390">
        <v>3.39241701E8</v>
      </c>
      <c r="V59" s="1390">
        <v>3.39241701E8</v>
      </c>
      <c r="W59" s="1390">
        <v>3.39241701E8</v>
      </c>
      <c r="X59" s="1391">
        <v>4.070900412E9</v>
      </c>
      <c r="Y59" s="1392">
        <f t="shared" si="3"/>
        <v>0</v>
      </c>
      <c r="Z59" s="1393">
        <v>5769863.355811807</v>
      </c>
      <c r="AA59" s="1393">
        <v>0.0</v>
      </c>
      <c r="AB59" s="1393">
        <v>0.0</v>
      </c>
      <c r="AC59" s="1393">
        <v>2.4682166598419687E8</v>
      </c>
      <c r="AD59" s="1393">
        <v>0.0</v>
      </c>
      <c r="AE59" s="1393">
        <v>0.0</v>
      </c>
      <c r="AF59" s="1393">
        <v>0.0</v>
      </c>
      <c r="AG59" s="1393">
        <v>2.5487493907234028E7</v>
      </c>
      <c r="AH59" s="1393">
        <v>5701495.081398387</v>
      </c>
      <c r="AI59" s="1393">
        <v>0.0</v>
      </c>
      <c r="AJ59" s="1393">
        <v>0.0</v>
      </c>
      <c r="AK59" s="1393">
        <v>2.4384554056579193E8</v>
      </c>
      <c r="AL59" s="1393">
        <v>0.0</v>
      </c>
      <c r="AM59" s="1393">
        <v>0.0</v>
      </c>
      <c r="AN59" s="1393">
        <v>0.0</v>
      </c>
      <c r="AO59" s="1393">
        <v>2.5185487452296935E7</v>
      </c>
      <c r="AP59" s="1393">
        <v>7154476.077479273</v>
      </c>
      <c r="AQ59" s="1393">
        <v>0.0</v>
      </c>
      <c r="AR59" s="1393">
        <v>0.0</v>
      </c>
      <c r="AS59" s="1393">
        <v>3.055881290144266E8</v>
      </c>
      <c r="AT59" s="1393">
        <v>0.0</v>
      </c>
      <c r="AU59" s="1393">
        <v>0.0</v>
      </c>
      <c r="AV59" s="1393">
        <v>0.0</v>
      </c>
      <c r="AW59" s="1393">
        <v>3.1603810036598057E7</v>
      </c>
      <c r="AX59" s="1393">
        <v>5950492.278218018</v>
      </c>
      <c r="AY59" s="1393">
        <v>0.0</v>
      </c>
      <c r="AZ59" s="1393">
        <v>0.0</v>
      </c>
      <c r="BA59" s="1393">
        <v>2.5442563466868153E8</v>
      </c>
      <c r="BB59" s="1393">
        <v>0.0</v>
      </c>
      <c r="BC59" s="1393">
        <v>0.0</v>
      </c>
      <c r="BD59" s="1393">
        <v>0.0</v>
      </c>
      <c r="BE59" s="1393">
        <v>2.628539470234753E7</v>
      </c>
      <c r="BF59" s="1393">
        <v>5685933.579425082</v>
      </c>
      <c r="BG59" s="1393">
        <v>0.0</v>
      </c>
      <c r="BH59" s="1393">
        <v>0.0</v>
      </c>
      <c r="BI59" s="1393">
        <v>2.4315641860432747E8</v>
      </c>
      <c r="BJ59" s="1393">
        <v>0.0</v>
      </c>
      <c r="BK59" s="1393">
        <v>0.0</v>
      </c>
      <c r="BL59" s="1393">
        <v>0.0</v>
      </c>
      <c r="BM59" s="1393">
        <v>2.5116746883885987E7</v>
      </c>
      <c r="BN59" s="1393">
        <v>5945103.166887992</v>
      </c>
      <c r="BO59" s="1393">
        <v>0.0</v>
      </c>
      <c r="BP59" s="1393">
        <v>0.0</v>
      </c>
      <c r="BQ59" s="1393">
        <v>2.541798064214121E8</v>
      </c>
      <c r="BR59" s="1393">
        <v>0.0</v>
      </c>
      <c r="BS59" s="1393">
        <v>0.0</v>
      </c>
      <c r="BT59" s="1393">
        <v>0.0</v>
      </c>
      <c r="BU59" s="1393">
        <v>2.6261589122610353E7</v>
      </c>
      <c r="BV59" s="1393">
        <v>5450579.615204549</v>
      </c>
      <c r="BW59" s="1393">
        <v>0.0</v>
      </c>
      <c r="BX59" s="1393">
        <v>0.0</v>
      </c>
      <c r="BY59" s="1393">
        <v>2.3286969556264165E8</v>
      </c>
      <c r="BZ59" s="1393">
        <v>0.0</v>
      </c>
      <c r="CA59" s="1393">
        <v>0.0</v>
      </c>
      <c r="CB59" s="1393">
        <v>0.0</v>
      </c>
      <c r="CC59" s="1393">
        <v>2.407710653901161E7</v>
      </c>
      <c r="CD59" s="1393">
        <v>5332235.510812242</v>
      </c>
      <c r="CE59" s="1393">
        <v>0.0</v>
      </c>
      <c r="CF59" s="1393">
        <v>0.0</v>
      </c>
      <c r="CG59" s="1393">
        <v>2.277975939455848E8</v>
      </c>
      <c r="CH59" s="1393">
        <v>0.0</v>
      </c>
      <c r="CI59" s="1393">
        <v>0.0</v>
      </c>
      <c r="CJ59" s="1393">
        <v>0.0</v>
      </c>
      <c r="CK59" s="1393">
        <v>2.3554339455347873E7</v>
      </c>
      <c r="CL59" s="1393">
        <v>6459213.189346285</v>
      </c>
      <c r="CM59" s="1393">
        <v>0.0</v>
      </c>
      <c r="CN59" s="1393">
        <v>0.0</v>
      </c>
      <c r="CO59" s="1393">
        <v>2.760717947677679E8</v>
      </c>
      <c r="CP59" s="1393">
        <v>0.0</v>
      </c>
      <c r="CQ59" s="1393">
        <v>0.0</v>
      </c>
      <c r="CR59" s="1393">
        <v>0.0</v>
      </c>
      <c r="CS59" s="1393">
        <v>2.8532591962193206E7</v>
      </c>
      <c r="CT59" s="1393">
        <v>6529999.6723487545</v>
      </c>
      <c r="CU59" s="1393">
        <v>0.0</v>
      </c>
      <c r="CV59" s="1393">
        <v>0.0</v>
      </c>
      <c r="CW59" s="1393">
        <v>2.791108558842631E8</v>
      </c>
      <c r="CX59" s="1393">
        <v>0.0</v>
      </c>
      <c r="CY59" s="1393">
        <v>0.0</v>
      </c>
      <c r="CZ59" s="1393">
        <v>0.0</v>
      </c>
      <c r="DA59" s="1393">
        <v>2.8845280485817023E7</v>
      </c>
      <c r="DB59" s="1393">
        <v>6115892.51354664</v>
      </c>
      <c r="DC59" s="1393">
        <v>0.0</v>
      </c>
      <c r="DD59" s="1393">
        <v>0.0</v>
      </c>
      <c r="DE59" s="1393">
        <v>2.6147768209359536E8</v>
      </c>
      <c r="DF59" s="1393">
        <v>0.0</v>
      </c>
      <c r="DG59" s="1393">
        <v>0.0</v>
      </c>
      <c r="DH59" s="1393">
        <v>0.0</v>
      </c>
      <c r="DI59" s="1393">
        <v>2.7016025088238224E7</v>
      </c>
      <c r="DJ59" s="1393">
        <v>6041057.811533511</v>
      </c>
      <c r="DK59" s="1393">
        <v>0.0</v>
      </c>
      <c r="DL59" s="1393">
        <v>0.0</v>
      </c>
      <c r="DM59" s="1393">
        <v>2.5821635712999904E8</v>
      </c>
      <c r="DN59" s="1393">
        <v>0.0</v>
      </c>
      <c r="DO59" s="1393">
        <v>0.0</v>
      </c>
      <c r="DP59" s="1393">
        <v>0.0</v>
      </c>
      <c r="DQ59" s="1393">
        <v>2.6685454172778312E7</v>
      </c>
      <c r="DR59" s="1379">
        <f t="shared" ref="DR59:DR60" si="21">SUM(Z59:DQ59)</f>
        <v>3474348836</v>
      </c>
    </row>
    <row r="60" hidden="1">
      <c r="A60" s="1387"/>
      <c r="B60" s="1394">
        <f>B59+1</f>
        <v>2</v>
      </c>
      <c r="C60" s="1389" t="s">
        <v>1766</v>
      </c>
      <c r="D60" s="185" t="s">
        <v>186</v>
      </c>
      <c r="E60" s="185" t="s">
        <v>529</v>
      </c>
      <c r="F60" s="185" t="s">
        <v>1888</v>
      </c>
      <c r="G60" s="185" t="s">
        <v>218</v>
      </c>
      <c r="H60" s="185" t="s">
        <v>88</v>
      </c>
      <c r="I60" s="185" t="s">
        <v>88</v>
      </c>
      <c r="J60" s="185" t="s">
        <v>1889</v>
      </c>
      <c r="K60" s="185" t="s">
        <v>188</v>
      </c>
      <c r="L60" s="1390">
        <v>1.37016328E8</v>
      </c>
      <c r="M60" s="1390">
        <v>1.37016328E8</v>
      </c>
      <c r="N60" s="1390">
        <v>1.37016328E8</v>
      </c>
      <c r="O60" s="1390">
        <v>1.37016328E8</v>
      </c>
      <c r="P60" s="1390">
        <v>1.37016328E8</v>
      </c>
      <c r="Q60" s="1390">
        <v>1.37016328E8</v>
      </c>
      <c r="R60" s="1390">
        <v>1.37016328E8</v>
      </c>
      <c r="S60" s="1390">
        <v>1.37016328E8</v>
      </c>
      <c r="T60" s="1390">
        <v>1.37016328E8</v>
      </c>
      <c r="U60" s="1390">
        <v>1.37016328E8</v>
      </c>
      <c r="V60" s="1390">
        <v>1.37016328E8</v>
      </c>
      <c r="W60" s="1390">
        <v>1.37016328E8</v>
      </c>
      <c r="X60" s="1391">
        <v>1.644195936E9</v>
      </c>
      <c r="Y60" s="1392">
        <f t="shared" si="3"/>
        <v>0</v>
      </c>
      <c r="Z60" s="1393">
        <v>2465201.5005175574</v>
      </c>
      <c r="AA60" s="1393">
        <v>0.0</v>
      </c>
      <c r="AB60" s="1393">
        <v>0.0</v>
      </c>
      <c r="AC60" s="1393">
        <v>1.0805526883263683E8</v>
      </c>
      <c r="AD60" s="1393">
        <v>0.0</v>
      </c>
      <c r="AE60" s="1393">
        <v>0.0</v>
      </c>
      <c r="AF60" s="1393">
        <v>0.0</v>
      </c>
      <c r="AG60" s="1393">
        <v>1.6569588195020998E7</v>
      </c>
      <c r="AH60" s="1393">
        <v>2465201.5005175574</v>
      </c>
      <c r="AI60" s="1393">
        <v>0.0</v>
      </c>
      <c r="AJ60" s="1393">
        <v>0.0</v>
      </c>
      <c r="AK60" s="1393">
        <v>1.0805526883263683E8</v>
      </c>
      <c r="AL60" s="1393">
        <v>0.0</v>
      </c>
      <c r="AM60" s="1393">
        <v>0.0</v>
      </c>
      <c r="AN60" s="1393">
        <v>0.0</v>
      </c>
      <c r="AO60" s="1393">
        <v>1.6569588195020998E7</v>
      </c>
      <c r="AP60" s="1393">
        <v>2465201.5005175574</v>
      </c>
      <c r="AQ60" s="1393">
        <v>0.0</v>
      </c>
      <c r="AR60" s="1393">
        <v>0.0</v>
      </c>
      <c r="AS60" s="1393">
        <v>1.0805526883263683E8</v>
      </c>
      <c r="AT60" s="1393">
        <v>0.0</v>
      </c>
      <c r="AU60" s="1393">
        <v>0.0</v>
      </c>
      <c r="AV60" s="1393">
        <v>0.0</v>
      </c>
      <c r="AW60" s="1393">
        <v>1.6569588195020998E7</v>
      </c>
      <c r="AX60" s="1393">
        <v>2465201.5005175574</v>
      </c>
      <c r="AY60" s="1393">
        <v>0.0</v>
      </c>
      <c r="AZ60" s="1393">
        <v>0.0</v>
      </c>
      <c r="BA60" s="1393">
        <v>1.0805526883263683E8</v>
      </c>
      <c r="BB60" s="1393">
        <v>0.0</v>
      </c>
      <c r="BC60" s="1393">
        <v>0.0</v>
      </c>
      <c r="BD60" s="1393">
        <v>0.0</v>
      </c>
      <c r="BE60" s="1393">
        <v>1.6569588195020998E7</v>
      </c>
      <c r="BF60" s="1393">
        <v>2465201.5005175574</v>
      </c>
      <c r="BG60" s="1393">
        <v>0.0</v>
      </c>
      <c r="BH60" s="1393">
        <v>0.0</v>
      </c>
      <c r="BI60" s="1393">
        <v>1.0805526883263683E8</v>
      </c>
      <c r="BJ60" s="1393">
        <v>0.0</v>
      </c>
      <c r="BK60" s="1393">
        <v>0.0</v>
      </c>
      <c r="BL60" s="1393">
        <v>0.0</v>
      </c>
      <c r="BM60" s="1393">
        <v>1.6569588195020998E7</v>
      </c>
      <c r="BN60" s="1393">
        <v>2465201.5005175574</v>
      </c>
      <c r="BO60" s="1393">
        <v>0.0</v>
      </c>
      <c r="BP60" s="1393">
        <v>0.0</v>
      </c>
      <c r="BQ60" s="1393">
        <v>1.0805526883263683E8</v>
      </c>
      <c r="BR60" s="1393">
        <v>0.0</v>
      </c>
      <c r="BS60" s="1393">
        <v>0.0</v>
      </c>
      <c r="BT60" s="1393">
        <v>0.0</v>
      </c>
      <c r="BU60" s="1393">
        <v>1.6569588195020998E7</v>
      </c>
      <c r="BV60" s="1393">
        <v>2465201.5005175574</v>
      </c>
      <c r="BW60" s="1393">
        <v>0.0</v>
      </c>
      <c r="BX60" s="1393">
        <v>0.0</v>
      </c>
      <c r="BY60" s="1393">
        <v>1.0805526883263683E8</v>
      </c>
      <c r="BZ60" s="1393">
        <v>0.0</v>
      </c>
      <c r="CA60" s="1393">
        <v>0.0</v>
      </c>
      <c r="CB60" s="1393">
        <v>0.0</v>
      </c>
      <c r="CC60" s="1393">
        <v>1.6569588195020998E7</v>
      </c>
      <c r="CD60" s="1393">
        <v>2465201.5005175574</v>
      </c>
      <c r="CE60" s="1393">
        <v>0.0</v>
      </c>
      <c r="CF60" s="1393">
        <v>0.0</v>
      </c>
      <c r="CG60" s="1393">
        <v>1.0805526883263683E8</v>
      </c>
      <c r="CH60" s="1393">
        <v>0.0</v>
      </c>
      <c r="CI60" s="1393">
        <v>0.0</v>
      </c>
      <c r="CJ60" s="1393">
        <v>0.0</v>
      </c>
      <c r="CK60" s="1393">
        <v>1.6569588195020998E7</v>
      </c>
      <c r="CL60" s="1393">
        <v>2465201.5005175574</v>
      </c>
      <c r="CM60" s="1393">
        <v>0.0</v>
      </c>
      <c r="CN60" s="1393">
        <v>0.0</v>
      </c>
      <c r="CO60" s="1393">
        <v>1.0805526883263683E8</v>
      </c>
      <c r="CP60" s="1393">
        <v>0.0</v>
      </c>
      <c r="CQ60" s="1393">
        <v>0.0</v>
      </c>
      <c r="CR60" s="1393">
        <v>0.0</v>
      </c>
      <c r="CS60" s="1393">
        <v>1.6569588195020998E7</v>
      </c>
      <c r="CT60" s="1393">
        <v>2465201.5005175574</v>
      </c>
      <c r="CU60" s="1393">
        <v>0.0</v>
      </c>
      <c r="CV60" s="1393">
        <v>0.0</v>
      </c>
      <c r="CW60" s="1393">
        <v>1.0805526883263683E8</v>
      </c>
      <c r="CX60" s="1393">
        <v>0.0</v>
      </c>
      <c r="CY60" s="1393">
        <v>0.0</v>
      </c>
      <c r="CZ60" s="1393">
        <v>0.0</v>
      </c>
      <c r="DA60" s="1393">
        <v>1.6569588195020998E7</v>
      </c>
      <c r="DB60" s="1393">
        <v>2465201.5005175574</v>
      </c>
      <c r="DC60" s="1393">
        <v>0.0</v>
      </c>
      <c r="DD60" s="1393">
        <v>0.0</v>
      </c>
      <c r="DE60" s="1393">
        <v>1.0805526883263683E8</v>
      </c>
      <c r="DF60" s="1393">
        <v>0.0</v>
      </c>
      <c r="DG60" s="1393">
        <v>0.0</v>
      </c>
      <c r="DH60" s="1393">
        <v>0.0</v>
      </c>
      <c r="DI60" s="1393">
        <v>1.6569588195020998E7</v>
      </c>
      <c r="DJ60" s="1393">
        <v>2465201.5005175574</v>
      </c>
      <c r="DK60" s="1393">
        <v>0.0</v>
      </c>
      <c r="DL60" s="1393">
        <v>0.0</v>
      </c>
      <c r="DM60" s="1393">
        <v>1.0805526883263683E8</v>
      </c>
      <c r="DN60" s="1393">
        <v>0.0</v>
      </c>
      <c r="DO60" s="1393">
        <v>0.0</v>
      </c>
      <c r="DP60" s="1393">
        <v>0.0</v>
      </c>
      <c r="DQ60" s="1393">
        <v>1.6569588195020998E7</v>
      </c>
      <c r="DR60" s="1379">
        <f t="shared" si="21"/>
        <v>1525080702</v>
      </c>
    </row>
    <row r="61" hidden="1">
      <c r="A61" s="1387">
        <v>8.0</v>
      </c>
      <c r="B61" s="1395" t="s">
        <v>36</v>
      </c>
      <c r="C61" s="7"/>
      <c r="D61" s="1225"/>
      <c r="E61" s="1225"/>
      <c r="F61" s="1225"/>
      <c r="G61" s="1225"/>
      <c r="H61" s="1225"/>
      <c r="I61" s="1225"/>
      <c r="J61" s="1225"/>
      <c r="K61" s="1225"/>
      <c r="L61" s="1396">
        <f t="shared" ref="L61:X61" si="22">L62+L63</f>
        <v>148403230.7</v>
      </c>
      <c r="M61" s="1396">
        <f t="shared" si="22"/>
        <v>148403230.7</v>
      </c>
      <c r="N61" s="1396">
        <f t="shared" si="22"/>
        <v>148403230.7</v>
      </c>
      <c r="O61" s="1396">
        <f t="shared" si="22"/>
        <v>148403230.7</v>
      </c>
      <c r="P61" s="1396">
        <f t="shared" si="22"/>
        <v>148403230.7</v>
      </c>
      <c r="Q61" s="1396">
        <f t="shared" si="22"/>
        <v>148403230.7</v>
      </c>
      <c r="R61" s="1396">
        <f t="shared" si="22"/>
        <v>148403230.7</v>
      </c>
      <c r="S61" s="1396">
        <f t="shared" si="22"/>
        <v>148403230.7</v>
      </c>
      <c r="T61" s="1396">
        <f t="shared" si="22"/>
        <v>148403230.7</v>
      </c>
      <c r="U61" s="1396">
        <f t="shared" si="22"/>
        <v>148403230.7</v>
      </c>
      <c r="V61" s="1396">
        <f t="shared" si="22"/>
        <v>148403230.7</v>
      </c>
      <c r="W61" s="1396">
        <f t="shared" si="22"/>
        <v>148403230.7</v>
      </c>
      <c r="X61" s="1396">
        <f t="shared" si="22"/>
        <v>1780838768</v>
      </c>
      <c r="Y61" s="1392">
        <f t="shared" si="3"/>
        <v>-0.0000009536743164</v>
      </c>
    </row>
    <row r="62" hidden="1">
      <c r="A62" s="1387"/>
      <c r="B62" s="1388">
        <v>1.0</v>
      </c>
      <c r="C62" s="1389" t="s">
        <v>1767</v>
      </c>
      <c r="D62" s="185" t="s">
        <v>186</v>
      </c>
      <c r="E62" s="185" t="s">
        <v>559</v>
      </c>
      <c r="F62" s="185" t="s">
        <v>1888</v>
      </c>
      <c r="G62" s="185" t="s">
        <v>86</v>
      </c>
      <c r="H62" s="185" t="s">
        <v>86</v>
      </c>
      <c r="I62" s="185" t="s">
        <v>103</v>
      </c>
      <c r="J62" s="185" t="s">
        <v>1889</v>
      </c>
      <c r="K62" s="185" t="s">
        <v>188</v>
      </c>
      <c r="L62" s="1390">
        <v>9.04003756756757E7</v>
      </c>
      <c r="M62" s="1390">
        <v>9.04003756756757E7</v>
      </c>
      <c r="N62" s="1390">
        <v>9.04003756756757E7</v>
      </c>
      <c r="O62" s="1390">
        <v>9.04003756756757E7</v>
      </c>
      <c r="P62" s="1390">
        <v>9.04003756756757E7</v>
      </c>
      <c r="Q62" s="1390">
        <v>9.04003756756757E7</v>
      </c>
      <c r="R62" s="1390">
        <v>9.04003756756757E7</v>
      </c>
      <c r="S62" s="1390">
        <v>9.04003756756757E7</v>
      </c>
      <c r="T62" s="1390">
        <v>9.04003756756757E7</v>
      </c>
      <c r="U62" s="1390">
        <v>9.04003756756757E7</v>
      </c>
      <c r="V62" s="1390">
        <v>9.04003756756757E7</v>
      </c>
      <c r="W62" s="1390">
        <v>9.04003756756757E7</v>
      </c>
      <c r="X62" s="1391">
        <v>1.0848045081081088E9</v>
      </c>
      <c r="Y62" s="1392">
        <f t="shared" si="3"/>
        <v>0</v>
      </c>
      <c r="Z62" s="1393">
        <v>1.1171818408039946E7</v>
      </c>
      <c r="AA62" s="1393">
        <v>0.0</v>
      </c>
      <c r="AB62" s="1393">
        <v>0.0</v>
      </c>
      <c r="AC62" s="1393">
        <v>6.2249593895807676E7</v>
      </c>
      <c r="AD62" s="1393">
        <v>0.0</v>
      </c>
      <c r="AE62" s="1393">
        <v>0.0</v>
      </c>
      <c r="AF62" s="1393">
        <v>0.0</v>
      </c>
      <c r="AG62" s="1393">
        <v>3628675.3752064276</v>
      </c>
      <c r="AH62" s="1393">
        <v>1.1396687144362785E7</v>
      </c>
      <c r="AI62" s="1393">
        <v>0.0</v>
      </c>
      <c r="AJ62" s="1393">
        <v>0.0</v>
      </c>
      <c r="AK62" s="1393">
        <v>6.3341584878726214E7</v>
      </c>
      <c r="AL62" s="1393">
        <v>0.0</v>
      </c>
      <c r="AM62" s="1393">
        <v>0.0</v>
      </c>
      <c r="AN62" s="1393">
        <v>0.0</v>
      </c>
      <c r="AO62" s="1393">
        <v>3701714.1247050096</v>
      </c>
      <c r="AP62" s="1393">
        <v>1.2523593897407211E7</v>
      </c>
      <c r="AQ62" s="1393">
        <v>0.0</v>
      </c>
      <c r="AR62" s="1393">
        <v>0.0</v>
      </c>
      <c r="AS62" s="1393">
        <v>6.949377001088451E7</v>
      </c>
      <c r="AT62" s="1393">
        <v>0.0</v>
      </c>
      <c r="AU62" s="1393">
        <v>0.0</v>
      </c>
      <c r="AV62" s="1393">
        <v>0.0</v>
      </c>
      <c r="AW62" s="1393">
        <v>4067740.373572723</v>
      </c>
      <c r="AX62" s="1393">
        <v>1.163873012658134E7</v>
      </c>
      <c r="AY62" s="1393">
        <v>0.0</v>
      </c>
      <c r="AZ62" s="1393">
        <v>0.0</v>
      </c>
      <c r="BA62" s="1393">
        <v>6.462592791184704E7</v>
      </c>
      <c r="BB62" s="1393">
        <v>0.0</v>
      </c>
      <c r="BC62" s="1393">
        <v>0.0</v>
      </c>
      <c r="BD62" s="1393">
        <v>0.0</v>
      </c>
      <c r="BE62" s="1393">
        <v>3780331.174968369</v>
      </c>
      <c r="BF62" s="1393">
        <v>1.1515098020979086E7</v>
      </c>
      <c r="BG62" s="1393">
        <v>0.0</v>
      </c>
      <c r="BH62" s="1393">
        <v>0.0</v>
      </c>
      <c r="BI62" s="1393">
        <v>6.3945490287769325E7</v>
      </c>
      <c r="BJ62" s="1393">
        <v>0.0</v>
      </c>
      <c r="BK62" s="1393">
        <v>0.0</v>
      </c>
      <c r="BL62" s="1393">
        <v>0.0</v>
      </c>
      <c r="BM62" s="1393">
        <v>3740174.706182503</v>
      </c>
      <c r="BN62" s="1393">
        <v>1.1687580383516023E7</v>
      </c>
      <c r="BO62" s="1393">
        <v>0.0</v>
      </c>
      <c r="BP62" s="1393">
        <v>0.0</v>
      </c>
      <c r="BQ62" s="1393">
        <v>6.4889961528365E7</v>
      </c>
      <c r="BR62" s="1393">
        <v>0.0</v>
      </c>
      <c r="BS62" s="1393">
        <v>0.0</v>
      </c>
      <c r="BT62" s="1393">
        <v>0.0</v>
      </c>
      <c r="BU62" s="1393">
        <v>3796198.039066681</v>
      </c>
      <c r="BV62" s="1393">
        <v>1.222491459626112E7</v>
      </c>
      <c r="BW62" s="1393">
        <v>0.0</v>
      </c>
      <c r="BX62" s="1393">
        <v>0.0</v>
      </c>
      <c r="BY62" s="1393">
        <v>6.784318332864724E7</v>
      </c>
      <c r="BZ62" s="1393">
        <v>0.0</v>
      </c>
      <c r="CA62" s="1393">
        <v>0.0</v>
      </c>
      <c r="CB62" s="1393">
        <v>0.0</v>
      </c>
      <c r="CC62" s="1393">
        <v>3970727.4983569295</v>
      </c>
      <c r="CD62" s="1393">
        <v>1.2300663763663458E7</v>
      </c>
      <c r="CE62" s="1393">
        <v>0.0</v>
      </c>
      <c r="CF62" s="1393">
        <v>0.0</v>
      </c>
      <c r="CG62" s="1393">
        <v>6.825937660144356E7</v>
      </c>
      <c r="CH62" s="1393">
        <v>0.0</v>
      </c>
      <c r="CI62" s="1393">
        <v>0.0</v>
      </c>
      <c r="CJ62" s="1393">
        <v>0.0</v>
      </c>
      <c r="CK62" s="1393">
        <v>3995331.2941228403</v>
      </c>
      <c r="CL62" s="1393">
        <v>1.1899232678280428E7</v>
      </c>
      <c r="CM62" s="1393">
        <v>0.0</v>
      </c>
      <c r="CN62" s="1393">
        <v>0.0</v>
      </c>
      <c r="CO62" s="1393">
        <v>6.604883658407657E7</v>
      </c>
      <c r="CP62" s="1393">
        <v>0.0</v>
      </c>
      <c r="CQ62" s="1393">
        <v>0.0</v>
      </c>
      <c r="CR62" s="1393">
        <v>0.0</v>
      </c>
      <c r="CS62" s="1393">
        <v>3864944.0070073</v>
      </c>
      <c r="CT62" s="1393">
        <v>1.187278175641798E7</v>
      </c>
      <c r="CU62" s="1393">
        <v>0.0</v>
      </c>
      <c r="CV62" s="1393">
        <v>0.0</v>
      </c>
      <c r="CW62" s="1393">
        <v>6.590345906170902E7</v>
      </c>
      <c r="CX62" s="1393">
        <v>0.0</v>
      </c>
      <c r="CY62" s="1393">
        <v>0.0</v>
      </c>
      <c r="CZ62" s="1393">
        <v>0.0</v>
      </c>
      <c r="DA62" s="1393">
        <v>3856352.5847957903</v>
      </c>
      <c r="DB62" s="1393">
        <v>1.1678042818497604E7</v>
      </c>
      <c r="DC62" s="1393">
        <v>0.0</v>
      </c>
      <c r="DD62" s="1393">
        <v>0.0</v>
      </c>
      <c r="DE62" s="1393">
        <v>6.4832878850404456E7</v>
      </c>
      <c r="DF62" s="1393">
        <v>0.0</v>
      </c>
      <c r="DG62" s="1393">
        <v>0.0</v>
      </c>
      <c r="DH62" s="1393">
        <v>0.0</v>
      </c>
      <c r="DI62" s="1393">
        <v>3793100.1792503353</v>
      </c>
      <c r="DJ62" s="1393">
        <v>1.1860775421321448E7</v>
      </c>
      <c r="DK62" s="1393">
        <v>0.0</v>
      </c>
      <c r="DL62" s="1393">
        <v>0.0</v>
      </c>
      <c r="DM62" s="1393">
        <v>6.58371997278576E7</v>
      </c>
      <c r="DN62" s="1393">
        <v>0.0</v>
      </c>
      <c r="DO62" s="1393">
        <v>0.0</v>
      </c>
      <c r="DP62" s="1393">
        <v>0.0</v>
      </c>
      <c r="DQ62" s="1393">
        <v>3852452.85326418</v>
      </c>
      <c r="DR62" s="1379">
        <f t="shared" ref="DR62:DR63" si="23">SUM(Z62:DQ62)</f>
        <v>975088923.9</v>
      </c>
    </row>
    <row r="63" hidden="1">
      <c r="A63" s="1387"/>
      <c r="B63" s="1394">
        <f>B62+1</f>
        <v>2</v>
      </c>
      <c r="C63" s="1389" t="s">
        <v>1768</v>
      </c>
      <c r="D63" s="185" t="s">
        <v>186</v>
      </c>
      <c r="E63" s="185" t="s">
        <v>559</v>
      </c>
      <c r="F63" s="185" t="s">
        <v>1888</v>
      </c>
      <c r="G63" s="185" t="s">
        <v>218</v>
      </c>
      <c r="H63" s="185" t="s">
        <v>88</v>
      </c>
      <c r="I63" s="185" t="s">
        <v>88</v>
      </c>
      <c r="J63" s="185" t="s">
        <v>1889</v>
      </c>
      <c r="K63" s="185" t="s">
        <v>188</v>
      </c>
      <c r="L63" s="1390">
        <v>5.8002855E7</v>
      </c>
      <c r="M63" s="1390">
        <v>5.8002855E7</v>
      </c>
      <c r="N63" s="1390">
        <v>5.8002855E7</v>
      </c>
      <c r="O63" s="1390">
        <v>5.8002855E7</v>
      </c>
      <c r="P63" s="1390">
        <v>5.8002855E7</v>
      </c>
      <c r="Q63" s="1390">
        <v>5.8002855E7</v>
      </c>
      <c r="R63" s="1390">
        <v>5.8002855E7</v>
      </c>
      <c r="S63" s="1390">
        <v>5.8002855E7</v>
      </c>
      <c r="T63" s="1390">
        <v>5.8002855E7</v>
      </c>
      <c r="U63" s="1390">
        <v>5.8002855E7</v>
      </c>
      <c r="V63" s="1390">
        <v>5.8002855E7</v>
      </c>
      <c r="W63" s="1390">
        <v>5.8002855E7</v>
      </c>
      <c r="X63" s="1391">
        <v>6.9603426E8</v>
      </c>
      <c r="Y63" s="1392">
        <f t="shared" si="3"/>
        <v>0</v>
      </c>
      <c r="Z63" s="1393">
        <v>1043588.944963569</v>
      </c>
      <c r="AA63" s="1393">
        <v>0.0</v>
      </c>
      <c r="AB63" s="1393">
        <v>0.0</v>
      </c>
      <c r="AC63" s="1393">
        <v>4.574282628626169E7</v>
      </c>
      <c r="AD63" s="1393">
        <v>0.0</v>
      </c>
      <c r="AE63" s="1393">
        <v>0.0</v>
      </c>
      <c r="AF63" s="1393">
        <v>0.0</v>
      </c>
      <c r="AG63" s="1393">
        <v>7014371.4658994125</v>
      </c>
      <c r="AH63" s="1393">
        <v>1043588.944963569</v>
      </c>
      <c r="AI63" s="1393">
        <v>0.0</v>
      </c>
      <c r="AJ63" s="1393">
        <v>0.0</v>
      </c>
      <c r="AK63" s="1393">
        <v>4.574282628626169E7</v>
      </c>
      <c r="AL63" s="1393">
        <v>0.0</v>
      </c>
      <c r="AM63" s="1393">
        <v>0.0</v>
      </c>
      <c r="AN63" s="1393">
        <v>0.0</v>
      </c>
      <c r="AO63" s="1393">
        <v>7014371.4658994125</v>
      </c>
      <c r="AP63" s="1393">
        <v>1043588.944963569</v>
      </c>
      <c r="AQ63" s="1393">
        <v>0.0</v>
      </c>
      <c r="AR63" s="1393">
        <v>0.0</v>
      </c>
      <c r="AS63" s="1393">
        <v>4.574282628626169E7</v>
      </c>
      <c r="AT63" s="1393">
        <v>0.0</v>
      </c>
      <c r="AU63" s="1393">
        <v>0.0</v>
      </c>
      <c r="AV63" s="1393">
        <v>0.0</v>
      </c>
      <c r="AW63" s="1393">
        <v>7014371.4658994125</v>
      </c>
      <c r="AX63" s="1393">
        <v>1043588.944963569</v>
      </c>
      <c r="AY63" s="1393">
        <v>0.0</v>
      </c>
      <c r="AZ63" s="1393">
        <v>0.0</v>
      </c>
      <c r="BA63" s="1393">
        <v>4.574282628626169E7</v>
      </c>
      <c r="BB63" s="1393">
        <v>0.0</v>
      </c>
      <c r="BC63" s="1393">
        <v>0.0</v>
      </c>
      <c r="BD63" s="1393">
        <v>0.0</v>
      </c>
      <c r="BE63" s="1393">
        <v>7014371.4658994125</v>
      </c>
      <c r="BF63" s="1393">
        <v>1043588.944963569</v>
      </c>
      <c r="BG63" s="1393">
        <v>0.0</v>
      </c>
      <c r="BH63" s="1393">
        <v>0.0</v>
      </c>
      <c r="BI63" s="1393">
        <v>4.574282628626169E7</v>
      </c>
      <c r="BJ63" s="1393">
        <v>0.0</v>
      </c>
      <c r="BK63" s="1393">
        <v>0.0</v>
      </c>
      <c r="BL63" s="1393">
        <v>0.0</v>
      </c>
      <c r="BM63" s="1393">
        <v>7014371.4658994125</v>
      </c>
      <c r="BN63" s="1393">
        <v>1043588.944963569</v>
      </c>
      <c r="BO63" s="1393">
        <v>0.0</v>
      </c>
      <c r="BP63" s="1393">
        <v>0.0</v>
      </c>
      <c r="BQ63" s="1393">
        <v>4.574282628626169E7</v>
      </c>
      <c r="BR63" s="1393">
        <v>0.0</v>
      </c>
      <c r="BS63" s="1393">
        <v>0.0</v>
      </c>
      <c r="BT63" s="1393">
        <v>0.0</v>
      </c>
      <c r="BU63" s="1393">
        <v>7014371.4658994125</v>
      </c>
      <c r="BV63" s="1393">
        <v>1043588.944963569</v>
      </c>
      <c r="BW63" s="1393">
        <v>0.0</v>
      </c>
      <c r="BX63" s="1393">
        <v>0.0</v>
      </c>
      <c r="BY63" s="1393">
        <v>4.574282628626169E7</v>
      </c>
      <c r="BZ63" s="1393">
        <v>0.0</v>
      </c>
      <c r="CA63" s="1393">
        <v>0.0</v>
      </c>
      <c r="CB63" s="1393">
        <v>0.0</v>
      </c>
      <c r="CC63" s="1393">
        <v>7014371.4658994125</v>
      </c>
      <c r="CD63" s="1393">
        <v>1043588.944963569</v>
      </c>
      <c r="CE63" s="1393">
        <v>0.0</v>
      </c>
      <c r="CF63" s="1393">
        <v>0.0</v>
      </c>
      <c r="CG63" s="1393">
        <v>4.574282628626169E7</v>
      </c>
      <c r="CH63" s="1393">
        <v>0.0</v>
      </c>
      <c r="CI63" s="1393">
        <v>0.0</v>
      </c>
      <c r="CJ63" s="1393">
        <v>0.0</v>
      </c>
      <c r="CK63" s="1393">
        <v>7014371.4658994125</v>
      </c>
      <c r="CL63" s="1393">
        <v>1043588.944963569</v>
      </c>
      <c r="CM63" s="1393">
        <v>0.0</v>
      </c>
      <c r="CN63" s="1393">
        <v>0.0</v>
      </c>
      <c r="CO63" s="1393">
        <v>4.574282628626169E7</v>
      </c>
      <c r="CP63" s="1393">
        <v>0.0</v>
      </c>
      <c r="CQ63" s="1393">
        <v>0.0</v>
      </c>
      <c r="CR63" s="1393">
        <v>0.0</v>
      </c>
      <c r="CS63" s="1393">
        <v>7014371.4658994125</v>
      </c>
      <c r="CT63" s="1393">
        <v>1043588.944963569</v>
      </c>
      <c r="CU63" s="1393">
        <v>0.0</v>
      </c>
      <c r="CV63" s="1393">
        <v>0.0</v>
      </c>
      <c r="CW63" s="1393">
        <v>4.574282628626169E7</v>
      </c>
      <c r="CX63" s="1393">
        <v>0.0</v>
      </c>
      <c r="CY63" s="1393">
        <v>0.0</v>
      </c>
      <c r="CZ63" s="1393">
        <v>0.0</v>
      </c>
      <c r="DA63" s="1393">
        <v>7014371.4658994125</v>
      </c>
      <c r="DB63" s="1393">
        <v>1043588.944963569</v>
      </c>
      <c r="DC63" s="1393">
        <v>0.0</v>
      </c>
      <c r="DD63" s="1393">
        <v>0.0</v>
      </c>
      <c r="DE63" s="1393">
        <v>4.574282628626169E7</v>
      </c>
      <c r="DF63" s="1393">
        <v>0.0</v>
      </c>
      <c r="DG63" s="1393">
        <v>0.0</v>
      </c>
      <c r="DH63" s="1393">
        <v>0.0</v>
      </c>
      <c r="DI63" s="1393">
        <v>7014371.4658994125</v>
      </c>
      <c r="DJ63" s="1393">
        <v>1043588.944963569</v>
      </c>
      <c r="DK63" s="1393">
        <v>0.0</v>
      </c>
      <c r="DL63" s="1393">
        <v>0.0</v>
      </c>
      <c r="DM63" s="1393">
        <v>4.574282628626169E7</v>
      </c>
      <c r="DN63" s="1393">
        <v>0.0</v>
      </c>
      <c r="DO63" s="1393">
        <v>0.0</v>
      </c>
      <c r="DP63" s="1393">
        <v>0.0</v>
      </c>
      <c r="DQ63" s="1393">
        <v>7014371.4658994125</v>
      </c>
      <c r="DR63" s="1379">
        <f t="shared" si="23"/>
        <v>645609440.4</v>
      </c>
    </row>
    <row r="64" hidden="1">
      <c r="A64" s="1387">
        <v>9.0</v>
      </c>
      <c r="B64" s="1395" t="s">
        <v>37</v>
      </c>
      <c r="C64" s="7"/>
      <c r="D64" s="1225"/>
      <c r="E64" s="1225"/>
      <c r="F64" s="1225"/>
      <c r="G64" s="1225"/>
      <c r="H64" s="1225"/>
      <c r="I64" s="1225"/>
      <c r="J64" s="1225"/>
      <c r="K64" s="1225"/>
      <c r="L64" s="1396">
        <f t="shared" ref="L64:X64" si="24">L65+L66</f>
        <v>680137088.7</v>
      </c>
      <c r="M64" s="1396">
        <f t="shared" si="24"/>
        <v>680137088.7</v>
      </c>
      <c r="N64" s="1396">
        <f t="shared" si="24"/>
        <v>680137088.7</v>
      </c>
      <c r="O64" s="1396">
        <f t="shared" si="24"/>
        <v>680137088.7</v>
      </c>
      <c r="P64" s="1396">
        <f t="shared" si="24"/>
        <v>680137088.7</v>
      </c>
      <c r="Q64" s="1396">
        <f t="shared" si="24"/>
        <v>680137088.7</v>
      </c>
      <c r="R64" s="1396">
        <f t="shared" si="24"/>
        <v>680137088.7</v>
      </c>
      <c r="S64" s="1396">
        <f t="shared" si="24"/>
        <v>680137088.7</v>
      </c>
      <c r="T64" s="1396">
        <f t="shared" si="24"/>
        <v>680137088.7</v>
      </c>
      <c r="U64" s="1396">
        <f t="shared" si="24"/>
        <v>680137088.7</v>
      </c>
      <c r="V64" s="1396">
        <f t="shared" si="24"/>
        <v>680137088.7</v>
      </c>
      <c r="W64" s="1396">
        <f t="shared" si="24"/>
        <v>680137088.7</v>
      </c>
      <c r="X64" s="1396">
        <f t="shared" si="24"/>
        <v>8161645064</v>
      </c>
      <c r="Y64" s="1392">
        <f t="shared" si="3"/>
        <v>0</v>
      </c>
    </row>
    <row r="65" hidden="1">
      <c r="A65" s="1387"/>
      <c r="B65" s="1388">
        <v>1.0</v>
      </c>
      <c r="C65" s="1389" t="s">
        <v>1769</v>
      </c>
      <c r="D65" s="185" t="s">
        <v>186</v>
      </c>
      <c r="E65" s="185" t="s">
        <v>582</v>
      </c>
      <c r="F65" s="185" t="s">
        <v>1888</v>
      </c>
      <c r="G65" s="185" t="s">
        <v>86</v>
      </c>
      <c r="H65" s="185" t="s">
        <v>86</v>
      </c>
      <c r="I65" s="185" t="s">
        <v>103</v>
      </c>
      <c r="J65" s="185" t="s">
        <v>1889</v>
      </c>
      <c r="K65" s="185" t="s">
        <v>188</v>
      </c>
      <c r="L65" s="1390">
        <v>1.66416666666667E8</v>
      </c>
      <c r="M65" s="1390">
        <v>1.66416666666667E8</v>
      </c>
      <c r="N65" s="1390">
        <v>1.66416666666667E8</v>
      </c>
      <c r="O65" s="1390">
        <v>1.66416666666667E8</v>
      </c>
      <c r="P65" s="1390">
        <v>1.66416666666667E8</v>
      </c>
      <c r="Q65" s="1390">
        <v>1.66416666666667E8</v>
      </c>
      <c r="R65" s="1390">
        <v>1.66416666666667E8</v>
      </c>
      <c r="S65" s="1390">
        <v>1.66416666666667E8</v>
      </c>
      <c r="T65" s="1390">
        <v>1.66416666666667E8</v>
      </c>
      <c r="U65" s="1390">
        <v>1.66416666666667E8</v>
      </c>
      <c r="V65" s="1390">
        <v>1.66416666666667E8</v>
      </c>
      <c r="W65" s="1390">
        <v>1.66416666666667E8</v>
      </c>
      <c r="X65" s="1391">
        <v>1.997000000000004E9</v>
      </c>
      <c r="Y65" s="1392">
        <f t="shared" si="3"/>
        <v>0</v>
      </c>
      <c r="Z65" s="1393">
        <v>2.056602935745954E7</v>
      </c>
      <c r="AA65" s="1393">
        <v>0.0</v>
      </c>
      <c r="AB65" s="1393">
        <v>0.0</v>
      </c>
      <c r="AC65" s="1393">
        <v>1.1459432375214611E8</v>
      </c>
      <c r="AD65" s="1393">
        <v>0.0</v>
      </c>
      <c r="AE65" s="1393">
        <v>0.0</v>
      </c>
      <c r="AF65" s="1393">
        <v>0.0</v>
      </c>
      <c r="AG65" s="1393">
        <v>6679972.907676273</v>
      </c>
      <c r="AH65" s="1393">
        <v>2.0979986769214656E7</v>
      </c>
      <c r="AI65" s="1393">
        <v>0.0</v>
      </c>
      <c r="AJ65" s="1393">
        <v>0.0</v>
      </c>
      <c r="AK65" s="1393">
        <v>1.1660455322352935E8</v>
      </c>
      <c r="AL65" s="1393">
        <v>0.0</v>
      </c>
      <c r="AM65" s="1393">
        <v>0.0</v>
      </c>
      <c r="AN65" s="1393">
        <v>0.0</v>
      </c>
      <c r="AO65" s="1393">
        <v>6814428.822689979</v>
      </c>
      <c r="AP65" s="1393">
        <v>2.3054492146920417E7</v>
      </c>
      <c r="AQ65" s="1393">
        <v>0.0</v>
      </c>
      <c r="AR65" s="1393">
        <v>0.0</v>
      </c>
      <c r="AS65" s="1393">
        <v>1.2793001658314121E8</v>
      </c>
      <c r="AT65" s="1393">
        <v>0.0</v>
      </c>
      <c r="AU65" s="1393">
        <v>0.0</v>
      </c>
      <c r="AV65" s="1393">
        <v>0.0</v>
      </c>
      <c r="AW65" s="1393">
        <v>7488240.936785638</v>
      </c>
      <c r="AX65" s="1393">
        <v>2.142555998713337E7</v>
      </c>
      <c r="AY65" s="1393">
        <v>0.0</v>
      </c>
      <c r="AZ65" s="1393">
        <v>0.0</v>
      </c>
      <c r="BA65" s="1393">
        <v>1.1896888063733716E8</v>
      </c>
      <c r="BB65" s="1393">
        <v>0.0</v>
      </c>
      <c r="BC65" s="1393">
        <v>0.0</v>
      </c>
      <c r="BD65" s="1393">
        <v>0.0</v>
      </c>
      <c r="BE65" s="1393">
        <v>6959153.746123173</v>
      </c>
      <c r="BF65" s="1393">
        <v>2.1197967537947953E7</v>
      </c>
      <c r="BG65" s="1393">
        <v>0.0</v>
      </c>
      <c r="BH65" s="1393">
        <v>0.0</v>
      </c>
      <c r="BI65" s="1393">
        <v>1.1771627343933335E8</v>
      </c>
      <c r="BJ65" s="1393">
        <v>0.0</v>
      </c>
      <c r="BK65" s="1393">
        <v>0.0</v>
      </c>
      <c r="BL65" s="1393">
        <v>0.0</v>
      </c>
      <c r="BM65" s="1393">
        <v>6885230.317923902</v>
      </c>
      <c r="BN65" s="1393">
        <v>2.1515487676748797E7</v>
      </c>
      <c r="BO65" s="1393">
        <v>0.0</v>
      </c>
      <c r="BP65" s="1393">
        <v>0.0</v>
      </c>
      <c r="BQ65" s="1393">
        <v>1.1945493607704577E8</v>
      </c>
      <c r="BR65" s="1393">
        <v>0.0</v>
      </c>
      <c r="BS65" s="1393">
        <v>0.0</v>
      </c>
      <c r="BT65" s="1393">
        <v>0.0</v>
      </c>
      <c r="BU65" s="1393">
        <v>6988362.8131647445</v>
      </c>
      <c r="BV65" s="1393">
        <v>2.250465799714446E7</v>
      </c>
      <c r="BW65" s="1393">
        <v>0.0</v>
      </c>
      <c r="BX65" s="1393">
        <v>0.0</v>
      </c>
      <c r="BY65" s="1393">
        <v>1.2489147684645037E8</v>
      </c>
      <c r="BZ65" s="1393">
        <v>0.0</v>
      </c>
      <c r="CA65" s="1393">
        <v>0.0</v>
      </c>
      <c r="CB65" s="1393">
        <v>0.0</v>
      </c>
      <c r="CC65" s="1393">
        <v>7309651.421017665</v>
      </c>
      <c r="CD65" s="1393">
        <v>2.2644103478954162E7</v>
      </c>
      <c r="CE65" s="1393">
        <v>0.0</v>
      </c>
      <c r="CF65" s="1393">
        <v>0.0</v>
      </c>
      <c r="CG65" s="1393">
        <v>1.2565764066634798E8</v>
      </c>
      <c r="CH65" s="1393">
        <v>0.0</v>
      </c>
      <c r="CI65" s="1393">
        <v>0.0</v>
      </c>
      <c r="CJ65" s="1393">
        <v>0.0</v>
      </c>
      <c r="CK65" s="1393">
        <v>7354944.17171817</v>
      </c>
      <c r="CL65" s="1393">
        <v>2.1905115143712085E7</v>
      </c>
      <c r="CM65" s="1393">
        <v>0.0</v>
      </c>
      <c r="CN65" s="1393">
        <v>0.0</v>
      </c>
      <c r="CO65" s="1393">
        <v>1.2158829141338383E8</v>
      </c>
      <c r="CP65" s="1393">
        <v>0.0</v>
      </c>
      <c r="CQ65" s="1393">
        <v>0.0</v>
      </c>
      <c r="CR65" s="1393">
        <v>0.0</v>
      </c>
      <c r="CS65" s="1393">
        <v>7114916.212372904</v>
      </c>
      <c r="CT65" s="1393">
        <v>2.1856422046878044E7</v>
      </c>
      <c r="CU65" s="1393">
        <v>0.0</v>
      </c>
      <c r="CV65" s="1393">
        <v>0.0</v>
      </c>
      <c r="CW65" s="1393">
        <v>1.2132066815961036E8</v>
      </c>
      <c r="CX65" s="1393">
        <v>0.0</v>
      </c>
      <c r="CY65" s="1393">
        <v>0.0</v>
      </c>
      <c r="CZ65" s="1393">
        <v>0.0</v>
      </c>
      <c r="DA65" s="1393">
        <v>7099100.394842512</v>
      </c>
      <c r="DB65" s="1393">
        <v>2.1497930119419873E7</v>
      </c>
      <c r="DC65" s="1393">
        <v>0.0</v>
      </c>
      <c r="DD65" s="1393">
        <v>0.0</v>
      </c>
      <c r="DE65" s="1393">
        <v>1.193498534496828E8</v>
      </c>
      <c r="DF65" s="1393">
        <v>0.0</v>
      </c>
      <c r="DG65" s="1393">
        <v>0.0</v>
      </c>
      <c r="DH65" s="1393">
        <v>0.0</v>
      </c>
      <c r="DI65" s="1393">
        <v>6982660.0104873935</v>
      </c>
      <c r="DJ65" s="1393">
        <v>2.183431976853336E7</v>
      </c>
      <c r="DK65" s="1393">
        <v>0.0</v>
      </c>
      <c r="DL65" s="1393">
        <v>0.0</v>
      </c>
      <c r="DM65" s="1393">
        <v>1.211986923670023E8</v>
      </c>
      <c r="DN65" s="1393">
        <v>0.0</v>
      </c>
      <c r="DO65" s="1393">
        <v>0.0</v>
      </c>
      <c r="DP65" s="1393">
        <v>0.0</v>
      </c>
      <c r="DQ65" s="1393">
        <v>7091921.438809034</v>
      </c>
      <c r="DR65" s="1379">
        <f t="shared" ref="DR65:DR66" si="25">SUM(Z65:DQ65)</f>
        <v>1795026262</v>
      </c>
    </row>
    <row r="66" hidden="1">
      <c r="A66" s="1387"/>
      <c r="B66" s="1394">
        <f>B65+1</f>
        <v>2</v>
      </c>
      <c r="C66" s="1389" t="s">
        <v>590</v>
      </c>
      <c r="D66" s="185" t="s">
        <v>186</v>
      </c>
      <c r="E66" s="185" t="s">
        <v>582</v>
      </c>
      <c r="F66" s="185" t="s">
        <v>1888</v>
      </c>
      <c r="G66" s="185" t="s">
        <v>218</v>
      </c>
      <c r="H66" s="185" t="s">
        <v>88</v>
      </c>
      <c r="I66" s="185" t="s">
        <v>88</v>
      </c>
      <c r="J66" s="185" t="s">
        <v>1889</v>
      </c>
      <c r="K66" s="185" t="s">
        <v>188</v>
      </c>
      <c r="L66" s="1390">
        <v>5.13720422E8</v>
      </c>
      <c r="M66" s="1390">
        <v>5.13720422E8</v>
      </c>
      <c r="N66" s="1390">
        <v>5.13720422E8</v>
      </c>
      <c r="O66" s="1390">
        <v>5.13720422E8</v>
      </c>
      <c r="P66" s="1390">
        <v>5.13720422E8</v>
      </c>
      <c r="Q66" s="1390">
        <v>5.13720422E8</v>
      </c>
      <c r="R66" s="1390">
        <v>5.13720422E8</v>
      </c>
      <c r="S66" s="1390">
        <v>5.13720422E8</v>
      </c>
      <c r="T66" s="1390">
        <v>5.13720422E8</v>
      </c>
      <c r="U66" s="1390">
        <v>5.13720422E8</v>
      </c>
      <c r="V66" s="1390">
        <v>5.13720422E8</v>
      </c>
      <c r="W66" s="1390">
        <v>5.13720422E8</v>
      </c>
      <c r="X66" s="1391">
        <v>6.164645064E9</v>
      </c>
      <c r="Y66" s="1392">
        <f t="shared" si="3"/>
        <v>0</v>
      </c>
      <c r="Z66" s="1393">
        <v>9242871.806934666</v>
      </c>
      <c r="AA66" s="1393">
        <v>0.0</v>
      </c>
      <c r="AB66" s="1393">
        <v>0.0</v>
      </c>
      <c r="AC66" s="1393">
        <v>4.0513564415494806E8</v>
      </c>
      <c r="AD66" s="1393">
        <v>0.0</v>
      </c>
      <c r="AE66" s="1393">
        <v>0.0</v>
      </c>
      <c r="AF66" s="1393">
        <v>0.0</v>
      </c>
      <c r="AG66" s="1393">
        <v>6.212497418491909E7</v>
      </c>
      <c r="AH66" s="1393">
        <v>9242871.806934666</v>
      </c>
      <c r="AI66" s="1393">
        <v>0.0</v>
      </c>
      <c r="AJ66" s="1393">
        <v>0.0</v>
      </c>
      <c r="AK66" s="1393">
        <v>4.0513564415494806E8</v>
      </c>
      <c r="AL66" s="1393">
        <v>0.0</v>
      </c>
      <c r="AM66" s="1393">
        <v>0.0</v>
      </c>
      <c r="AN66" s="1393">
        <v>0.0</v>
      </c>
      <c r="AO66" s="1393">
        <v>6.212497418491909E7</v>
      </c>
      <c r="AP66" s="1393">
        <v>9242871.806934666</v>
      </c>
      <c r="AQ66" s="1393">
        <v>0.0</v>
      </c>
      <c r="AR66" s="1393">
        <v>0.0</v>
      </c>
      <c r="AS66" s="1393">
        <v>4.0513564415494806E8</v>
      </c>
      <c r="AT66" s="1393">
        <v>0.0</v>
      </c>
      <c r="AU66" s="1393">
        <v>0.0</v>
      </c>
      <c r="AV66" s="1393">
        <v>0.0</v>
      </c>
      <c r="AW66" s="1393">
        <v>6.212497418491909E7</v>
      </c>
      <c r="AX66" s="1393">
        <v>9242871.806934666</v>
      </c>
      <c r="AY66" s="1393">
        <v>0.0</v>
      </c>
      <c r="AZ66" s="1393">
        <v>0.0</v>
      </c>
      <c r="BA66" s="1393">
        <v>4.0513564415494806E8</v>
      </c>
      <c r="BB66" s="1393">
        <v>0.0</v>
      </c>
      <c r="BC66" s="1393">
        <v>0.0</v>
      </c>
      <c r="BD66" s="1393">
        <v>0.0</v>
      </c>
      <c r="BE66" s="1393">
        <v>6.212497418491909E7</v>
      </c>
      <c r="BF66" s="1393">
        <v>9242871.806934666</v>
      </c>
      <c r="BG66" s="1393">
        <v>0.0</v>
      </c>
      <c r="BH66" s="1393">
        <v>0.0</v>
      </c>
      <c r="BI66" s="1393">
        <v>4.0513564415494806E8</v>
      </c>
      <c r="BJ66" s="1393">
        <v>0.0</v>
      </c>
      <c r="BK66" s="1393">
        <v>0.0</v>
      </c>
      <c r="BL66" s="1393">
        <v>0.0</v>
      </c>
      <c r="BM66" s="1393">
        <v>6.212497418491909E7</v>
      </c>
      <c r="BN66" s="1393">
        <v>9242871.806934666</v>
      </c>
      <c r="BO66" s="1393">
        <v>0.0</v>
      </c>
      <c r="BP66" s="1393">
        <v>0.0</v>
      </c>
      <c r="BQ66" s="1393">
        <v>4.0513564415494806E8</v>
      </c>
      <c r="BR66" s="1393">
        <v>0.0</v>
      </c>
      <c r="BS66" s="1393">
        <v>0.0</v>
      </c>
      <c r="BT66" s="1393">
        <v>0.0</v>
      </c>
      <c r="BU66" s="1393">
        <v>6.212497418491909E7</v>
      </c>
      <c r="BV66" s="1393">
        <v>9242871.806934666</v>
      </c>
      <c r="BW66" s="1393">
        <v>0.0</v>
      </c>
      <c r="BX66" s="1393">
        <v>0.0</v>
      </c>
      <c r="BY66" s="1393">
        <v>4.0513564415494806E8</v>
      </c>
      <c r="BZ66" s="1393">
        <v>0.0</v>
      </c>
      <c r="CA66" s="1393">
        <v>0.0</v>
      </c>
      <c r="CB66" s="1393">
        <v>0.0</v>
      </c>
      <c r="CC66" s="1393">
        <v>6.212497418491909E7</v>
      </c>
      <c r="CD66" s="1393">
        <v>9242871.806934666</v>
      </c>
      <c r="CE66" s="1393">
        <v>0.0</v>
      </c>
      <c r="CF66" s="1393">
        <v>0.0</v>
      </c>
      <c r="CG66" s="1393">
        <v>4.0513564415494806E8</v>
      </c>
      <c r="CH66" s="1393">
        <v>0.0</v>
      </c>
      <c r="CI66" s="1393">
        <v>0.0</v>
      </c>
      <c r="CJ66" s="1393">
        <v>0.0</v>
      </c>
      <c r="CK66" s="1393">
        <v>6.212497418491909E7</v>
      </c>
      <c r="CL66" s="1393">
        <v>9242871.806934666</v>
      </c>
      <c r="CM66" s="1393">
        <v>0.0</v>
      </c>
      <c r="CN66" s="1393">
        <v>0.0</v>
      </c>
      <c r="CO66" s="1393">
        <v>4.0513564415494806E8</v>
      </c>
      <c r="CP66" s="1393">
        <v>0.0</v>
      </c>
      <c r="CQ66" s="1393">
        <v>0.0</v>
      </c>
      <c r="CR66" s="1393">
        <v>0.0</v>
      </c>
      <c r="CS66" s="1393">
        <v>6.212497418491909E7</v>
      </c>
      <c r="CT66" s="1393">
        <v>9242871.806934666</v>
      </c>
      <c r="CU66" s="1393">
        <v>0.0</v>
      </c>
      <c r="CV66" s="1393">
        <v>0.0</v>
      </c>
      <c r="CW66" s="1393">
        <v>4.0513564415494806E8</v>
      </c>
      <c r="CX66" s="1393">
        <v>0.0</v>
      </c>
      <c r="CY66" s="1393">
        <v>0.0</v>
      </c>
      <c r="CZ66" s="1393">
        <v>0.0</v>
      </c>
      <c r="DA66" s="1393">
        <v>6.212497418491909E7</v>
      </c>
      <c r="DB66" s="1393">
        <v>9242871.806934666</v>
      </c>
      <c r="DC66" s="1393">
        <v>0.0</v>
      </c>
      <c r="DD66" s="1393">
        <v>0.0</v>
      </c>
      <c r="DE66" s="1393">
        <v>4.0513564415494806E8</v>
      </c>
      <c r="DF66" s="1393">
        <v>0.0</v>
      </c>
      <c r="DG66" s="1393">
        <v>0.0</v>
      </c>
      <c r="DH66" s="1393">
        <v>0.0</v>
      </c>
      <c r="DI66" s="1393">
        <v>6.212497418491909E7</v>
      </c>
      <c r="DJ66" s="1393">
        <v>9242871.806934666</v>
      </c>
      <c r="DK66" s="1393">
        <v>0.0</v>
      </c>
      <c r="DL66" s="1393">
        <v>0.0</v>
      </c>
      <c r="DM66" s="1393">
        <v>4.0513564415494806E8</v>
      </c>
      <c r="DN66" s="1393">
        <v>0.0</v>
      </c>
      <c r="DO66" s="1393">
        <v>0.0</v>
      </c>
      <c r="DP66" s="1393">
        <v>0.0</v>
      </c>
      <c r="DQ66" s="1393">
        <v>6.212497418491909E7</v>
      </c>
      <c r="DR66" s="1379">
        <f t="shared" si="25"/>
        <v>5718041882</v>
      </c>
    </row>
    <row r="67" hidden="1">
      <c r="A67" s="1387">
        <v>10.0</v>
      </c>
      <c r="B67" s="1395" t="s">
        <v>38</v>
      </c>
      <c r="C67" s="7"/>
      <c r="D67" s="1225"/>
      <c r="E67" s="1225"/>
      <c r="F67" s="1225"/>
      <c r="G67" s="1225"/>
      <c r="H67" s="1225"/>
      <c r="I67" s="1225"/>
      <c r="J67" s="1225"/>
      <c r="K67" s="1225"/>
      <c r="L67" s="1396">
        <f t="shared" ref="L67:X67" si="26">L68+L69+L70+L71+L72+L73</f>
        <v>2105213385</v>
      </c>
      <c r="M67" s="1396">
        <f t="shared" si="26"/>
        <v>2105213385</v>
      </c>
      <c r="N67" s="1396">
        <f t="shared" si="26"/>
        <v>2105213385</v>
      </c>
      <c r="O67" s="1396">
        <f t="shared" si="26"/>
        <v>2105213385</v>
      </c>
      <c r="P67" s="1396">
        <f t="shared" si="26"/>
        <v>2105213385</v>
      </c>
      <c r="Q67" s="1396">
        <f t="shared" si="26"/>
        <v>2105213385</v>
      </c>
      <c r="R67" s="1396">
        <f t="shared" si="26"/>
        <v>2105213385</v>
      </c>
      <c r="S67" s="1396">
        <f t="shared" si="26"/>
        <v>2105213385</v>
      </c>
      <c r="T67" s="1396">
        <f t="shared" si="26"/>
        <v>2105213385</v>
      </c>
      <c r="U67" s="1396">
        <f t="shared" si="26"/>
        <v>2105213385</v>
      </c>
      <c r="V67" s="1396">
        <f t="shared" si="26"/>
        <v>2105213385</v>
      </c>
      <c r="W67" s="1396">
        <f t="shared" si="26"/>
        <v>2105213385</v>
      </c>
      <c r="X67" s="1396">
        <f t="shared" si="26"/>
        <v>25262560620</v>
      </c>
      <c r="Y67" s="1392">
        <f t="shared" si="3"/>
        <v>0</v>
      </c>
    </row>
    <row r="68" hidden="1">
      <c r="A68" s="1398"/>
      <c r="B68" s="1388">
        <v>1.0</v>
      </c>
      <c r="C68" s="1389" t="s">
        <v>1770</v>
      </c>
      <c r="D68" s="185" t="s">
        <v>186</v>
      </c>
      <c r="E68" s="185" t="s">
        <v>606</v>
      </c>
      <c r="F68" s="185" t="s">
        <v>1888</v>
      </c>
      <c r="G68" s="185" t="s">
        <v>86</v>
      </c>
      <c r="H68" s="185" t="s">
        <v>86</v>
      </c>
      <c r="I68" s="185" t="s">
        <v>103</v>
      </c>
      <c r="J68" s="185" t="s">
        <v>1889</v>
      </c>
      <c r="K68" s="185" t="s">
        <v>188</v>
      </c>
      <c r="L68" s="1390">
        <v>1.61850664E8</v>
      </c>
      <c r="M68" s="1390">
        <v>1.61850664E8</v>
      </c>
      <c r="N68" s="1390">
        <v>1.61850664E8</v>
      </c>
      <c r="O68" s="1390">
        <v>1.61850664E8</v>
      </c>
      <c r="P68" s="1390">
        <v>1.61850664E8</v>
      </c>
      <c r="Q68" s="1390">
        <v>1.61850664E8</v>
      </c>
      <c r="R68" s="1390">
        <v>1.61850664E8</v>
      </c>
      <c r="S68" s="1390">
        <v>1.61850664E8</v>
      </c>
      <c r="T68" s="1390">
        <v>1.61850664E8</v>
      </c>
      <c r="U68" s="1390">
        <v>1.61850664E8</v>
      </c>
      <c r="V68" s="1390">
        <v>1.61850664E8</v>
      </c>
      <c r="W68" s="1390">
        <v>1.61850664E8</v>
      </c>
      <c r="X68" s="1391">
        <v>1.942207968E9</v>
      </c>
      <c r="Y68" s="1392">
        <f t="shared" si="3"/>
        <v>0</v>
      </c>
      <c r="Z68" s="1393">
        <v>2.0001755677606292E7</v>
      </c>
      <c r="AA68" s="1393">
        <v>0.0</v>
      </c>
      <c r="AB68" s="1393">
        <v>0.0</v>
      </c>
      <c r="AC68" s="1393">
        <v>1.1145017960890804E8</v>
      </c>
      <c r="AD68" s="1393">
        <v>0.0</v>
      </c>
      <c r="AE68" s="1393">
        <v>0.0</v>
      </c>
      <c r="AF68" s="1393">
        <v>0.0</v>
      </c>
      <c r="AG68" s="1393">
        <v>6496693.343671988</v>
      </c>
      <c r="AH68" s="1393">
        <v>2.0404355268754732E7</v>
      </c>
      <c r="AI68" s="1393">
        <v>0.0</v>
      </c>
      <c r="AJ68" s="1393">
        <v>0.0</v>
      </c>
      <c r="AK68" s="1393">
        <v>1.1340525406901269E8</v>
      </c>
      <c r="AL68" s="1393">
        <v>0.0</v>
      </c>
      <c r="AM68" s="1393">
        <v>0.0</v>
      </c>
      <c r="AN68" s="1393">
        <v>0.0</v>
      </c>
      <c r="AO68" s="1393">
        <v>6627460.168651632</v>
      </c>
      <c r="AP68" s="1393">
        <v>2.242194208610023E7</v>
      </c>
      <c r="AQ68" s="1393">
        <v>0.0</v>
      </c>
      <c r="AR68" s="1393">
        <v>0.0</v>
      </c>
      <c r="AS68" s="1393">
        <v>1.2441997874519202E8</v>
      </c>
      <c r="AT68" s="1393">
        <v>0.0</v>
      </c>
      <c r="AU68" s="1393">
        <v>0.0</v>
      </c>
      <c r="AV68" s="1393">
        <v>0.0</v>
      </c>
      <c r="AW68" s="1393">
        <v>7282784.784040471</v>
      </c>
      <c r="AX68" s="1393">
        <v>2.08377032177628E7</v>
      </c>
      <c r="AY68" s="1393">
        <v>0.0</v>
      </c>
      <c r="AZ68" s="1393">
        <v>0.0</v>
      </c>
      <c r="BA68" s="1393">
        <v>1.1570471102547655E8</v>
      </c>
      <c r="BB68" s="1393">
        <v>0.0</v>
      </c>
      <c r="BC68" s="1393">
        <v>0.0</v>
      </c>
      <c r="BD68" s="1393">
        <v>0.0</v>
      </c>
      <c r="BE68" s="1393">
        <v>6768214.249502978</v>
      </c>
      <c r="BF68" s="1393">
        <v>2.061635526169643E7</v>
      </c>
      <c r="BG68" s="1393">
        <v>0.0</v>
      </c>
      <c r="BH68" s="1393">
        <v>0.0</v>
      </c>
      <c r="BI68" s="1393">
        <v>1.1448647182630923E8</v>
      </c>
      <c r="BJ68" s="1393">
        <v>0.0</v>
      </c>
      <c r="BK68" s="1393">
        <v>0.0</v>
      </c>
      <c r="BL68" s="1393">
        <v>0.0</v>
      </c>
      <c r="BM68" s="1393">
        <v>6696319.071100124</v>
      </c>
      <c r="BN68" s="1393">
        <v>2.0925163545912486E7</v>
      </c>
      <c r="BO68" s="1393">
        <v>0.0</v>
      </c>
      <c r="BP68" s="1393">
        <v>0.0</v>
      </c>
      <c r="BQ68" s="1393">
        <v>1.1617743047860213E8</v>
      </c>
      <c r="BR68" s="1393">
        <v>0.0</v>
      </c>
      <c r="BS68" s="1393">
        <v>0.0</v>
      </c>
      <c r="BT68" s="1393">
        <v>0.0</v>
      </c>
      <c r="BU68" s="1393">
        <v>6796621.902355249</v>
      </c>
      <c r="BV68" s="1393">
        <v>2.188719383032989E7</v>
      </c>
      <c r="BW68" s="1393">
        <v>0.0</v>
      </c>
      <c r="BX68" s="1393">
        <v>0.0</v>
      </c>
      <c r="BY68" s="1393">
        <v>1.214648079451492E8</v>
      </c>
      <c r="BZ68" s="1393">
        <v>0.0</v>
      </c>
      <c r="CA68" s="1393">
        <v>0.0</v>
      </c>
      <c r="CB68" s="1393">
        <v>0.0</v>
      </c>
      <c r="CC68" s="1393">
        <v>7109095.259490738</v>
      </c>
      <c r="CD68" s="1393">
        <v>2.2022813322504357E7</v>
      </c>
      <c r="CE68" s="1393">
        <v>0.0</v>
      </c>
      <c r="CF68" s="1393">
        <v>0.0</v>
      </c>
      <c r="CG68" s="1393">
        <v>1.2220995039672576E8</v>
      </c>
      <c r="CH68" s="1393">
        <v>0.0</v>
      </c>
      <c r="CI68" s="1393">
        <v>0.0</v>
      </c>
      <c r="CJ68" s="1393">
        <v>0.0</v>
      </c>
      <c r="CK68" s="1393">
        <v>7153145.305210897</v>
      </c>
      <c r="CL68" s="1393">
        <v>2.1304100737143207E7</v>
      </c>
      <c r="CM68" s="1393">
        <v>0.0</v>
      </c>
      <c r="CN68" s="1393">
        <v>0.0</v>
      </c>
      <c r="CO68" s="1393">
        <v>1.1825225257815702E8</v>
      </c>
      <c r="CP68" s="1393">
        <v>0.0</v>
      </c>
      <c r="CQ68" s="1393">
        <v>0.0</v>
      </c>
      <c r="CR68" s="1393">
        <v>0.0</v>
      </c>
      <c r="CS68" s="1393">
        <v>6919703.034212822</v>
      </c>
      <c r="CT68" s="1393">
        <v>2.1256743641170416E7</v>
      </c>
      <c r="CU68" s="1393">
        <v>0.0</v>
      </c>
      <c r="CV68" s="1393">
        <v>0.0</v>
      </c>
      <c r="CW68" s="1393">
        <v>1.1799197214956367E8</v>
      </c>
      <c r="CX68" s="1393">
        <v>0.0</v>
      </c>
      <c r="CY68" s="1393">
        <v>0.0</v>
      </c>
      <c r="CZ68" s="1393">
        <v>0.0</v>
      </c>
      <c r="DA68" s="1393">
        <v>6904321.1579845</v>
      </c>
      <c r="DB68" s="1393">
        <v>2.090808771829964E7</v>
      </c>
      <c r="DC68" s="1393">
        <v>0.0</v>
      </c>
      <c r="DD68" s="1393">
        <v>0.0</v>
      </c>
      <c r="DE68" s="1393">
        <v>1.1607523102133487E8</v>
      </c>
      <c r="DF68" s="1393">
        <v>0.0</v>
      </c>
      <c r="DG68" s="1393">
        <v>0.0</v>
      </c>
      <c r="DH68" s="1393">
        <v>0.0</v>
      </c>
      <c r="DI68" s="1393">
        <v>6791075.568454456</v>
      </c>
      <c r="DJ68" s="1393">
        <v>2.123524778683291E7</v>
      </c>
      <c r="DK68" s="1393">
        <v>0.0</v>
      </c>
      <c r="DL68" s="1393">
        <v>0.0</v>
      </c>
      <c r="DM68" s="1393">
        <v>1.1787334302772766E8</v>
      </c>
      <c r="DN68" s="1393">
        <v>0.0</v>
      </c>
      <c r="DO68" s="1393">
        <v>0.0</v>
      </c>
      <c r="DP68" s="1393">
        <v>0.0</v>
      </c>
      <c r="DQ68" s="1393">
        <v>6897339.1722007515</v>
      </c>
      <c r="DR68" s="1379">
        <f t="shared" ref="DR68:DR71" si="27">SUM(Z68:DQ68)</f>
        <v>1745775818</v>
      </c>
    </row>
    <row r="69" hidden="1">
      <c r="A69" s="1398"/>
      <c r="B69" s="1394">
        <f t="shared" ref="B69:B73" si="28">B68+1</f>
        <v>2</v>
      </c>
      <c r="C69" s="1389" t="s">
        <v>1771</v>
      </c>
      <c r="D69" s="185" t="s">
        <v>186</v>
      </c>
      <c r="E69" s="185" t="s">
        <v>606</v>
      </c>
      <c r="F69" s="185" t="s">
        <v>1888</v>
      </c>
      <c r="G69" s="185" t="s">
        <v>218</v>
      </c>
      <c r="H69" s="185" t="s">
        <v>88</v>
      </c>
      <c r="I69" s="185" t="s">
        <v>88</v>
      </c>
      <c r="J69" s="185" t="s">
        <v>1889</v>
      </c>
      <c r="K69" s="185" t="s">
        <v>188</v>
      </c>
      <c r="L69" s="1390">
        <v>1.216904285E9</v>
      </c>
      <c r="M69" s="1390">
        <v>1.216904285E9</v>
      </c>
      <c r="N69" s="1390">
        <v>1.216904285E9</v>
      </c>
      <c r="O69" s="1390">
        <v>1.216904285E9</v>
      </c>
      <c r="P69" s="1390">
        <v>1.216904285E9</v>
      </c>
      <c r="Q69" s="1390">
        <v>1.216904285E9</v>
      </c>
      <c r="R69" s="1390">
        <v>1.216904285E9</v>
      </c>
      <c r="S69" s="1390">
        <v>1.216904285E9</v>
      </c>
      <c r="T69" s="1390">
        <v>1.216904285E9</v>
      </c>
      <c r="U69" s="1390">
        <v>1.216904285E9</v>
      </c>
      <c r="V69" s="1390">
        <v>1.216904285E9</v>
      </c>
      <c r="W69" s="1390">
        <v>1.216904285E9</v>
      </c>
      <c r="X69" s="1391">
        <v>1.460285142E10</v>
      </c>
      <c r="Y69" s="1392">
        <f t="shared" si="3"/>
        <v>0</v>
      </c>
      <c r="Z69" s="1393">
        <v>2.1894574998158216E7</v>
      </c>
      <c r="AA69" s="1393">
        <v>0.0</v>
      </c>
      <c r="AB69" s="1393">
        <v>0.0</v>
      </c>
      <c r="AC69" s="1393">
        <v>9.596879552870715E8</v>
      </c>
      <c r="AD69" s="1393">
        <v>0.0</v>
      </c>
      <c r="AE69" s="1393">
        <v>0.0</v>
      </c>
      <c r="AF69" s="1393">
        <v>0.0</v>
      </c>
      <c r="AG69" s="1393">
        <v>1.4716204389309332E8</v>
      </c>
      <c r="AH69" s="1393">
        <v>2.1894574998158216E7</v>
      </c>
      <c r="AI69" s="1393">
        <v>0.0</v>
      </c>
      <c r="AJ69" s="1393">
        <v>0.0</v>
      </c>
      <c r="AK69" s="1393">
        <v>9.596879552870715E8</v>
      </c>
      <c r="AL69" s="1393">
        <v>0.0</v>
      </c>
      <c r="AM69" s="1393">
        <v>0.0</v>
      </c>
      <c r="AN69" s="1393">
        <v>0.0</v>
      </c>
      <c r="AO69" s="1393">
        <v>1.4716204389309332E8</v>
      </c>
      <c r="AP69" s="1393">
        <v>2.1894574998158216E7</v>
      </c>
      <c r="AQ69" s="1393">
        <v>0.0</v>
      </c>
      <c r="AR69" s="1393">
        <v>0.0</v>
      </c>
      <c r="AS69" s="1393">
        <v>9.596879552870715E8</v>
      </c>
      <c r="AT69" s="1393">
        <v>0.0</v>
      </c>
      <c r="AU69" s="1393">
        <v>0.0</v>
      </c>
      <c r="AV69" s="1393">
        <v>0.0</v>
      </c>
      <c r="AW69" s="1393">
        <v>1.4716204389309332E8</v>
      </c>
      <c r="AX69" s="1393">
        <v>2.1894574998158216E7</v>
      </c>
      <c r="AY69" s="1393">
        <v>0.0</v>
      </c>
      <c r="AZ69" s="1393">
        <v>0.0</v>
      </c>
      <c r="BA69" s="1393">
        <v>9.596879552870715E8</v>
      </c>
      <c r="BB69" s="1393">
        <v>0.0</v>
      </c>
      <c r="BC69" s="1393">
        <v>0.0</v>
      </c>
      <c r="BD69" s="1393">
        <v>0.0</v>
      </c>
      <c r="BE69" s="1393">
        <v>1.4716204389309332E8</v>
      </c>
      <c r="BF69" s="1393">
        <v>2.1894574998158216E7</v>
      </c>
      <c r="BG69" s="1393">
        <v>0.0</v>
      </c>
      <c r="BH69" s="1393">
        <v>0.0</v>
      </c>
      <c r="BI69" s="1393">
        <v>9.596879552870715E8</v>
      </c>
      <c r="BJ69" s="1393">
        <v>0.0</v>
      </c>
      <c r="BK69" s="1393">
        <v>0.0</v>
      </c>
      <c r="BL69" s="1393">
        <v>0.0</v>
      </c>
      <c r="BM69" s="1393">
        <v>1.4716204389309332E8</v>
      </c>
      <c r="BN69" s="1393">
        <v>2.1894574998158216E7</v>
      </c>
      <c r="BO69" s="1393">
        <v>0.0</v>
      </c>
      <c r="BP69" s="1393">
        <v>0.0</v>
      </c>
      <c r="BQ69" s="1393">
        <v>9.596879552870715E8</v>
      </c>
      <c r="BR69" s="1393">
        <v>0.0</v>
      </c>
      <c r="BS69" s="1393">
        <v>0.0</v>
      </c>
      <c r="BT69" s="1393">
        <v>0.0</v>
      </c>
      <c r="BU69" s="1393">
        <v>1.4716204389309332E8</v>
      </c>
      <c r="BV69" s="1393">
        <v>2.1894574998158216E7</v>
      </c>
      <c r="BW69" s="1393">
        <v>0.0</v>
      </c>
      <c r="BX69" s="1393">
        <v>0.0</v>
      </c>
      <c r="BY69" s="1393">
        <v>9.596879552870715E8</v>
      </c>
      <c r="BZ69" s="1393">
        <v>0.0</v>
      </c>
      <c r="CA69" s="1393">
        <v>0.0</v>
      </c>
      <c r="CB69" s="1393">
        <v>0.0</v>
      </c>
      <c r="CC69" s="1393">
        <v>1.4716204389309332E8</v>
      </c>
      <c r="CD69" s="1393">
        <v>2.1894574998158216E7</v>
      </c>
      <c r="CE69" s="1393">
        <v>0.0</v>
      </c>
      <c r="CF69" s="1393">
        <v>0.0</v>
      </c>
      <c r="CG69" s="1393">
        <v>9.596879552870715E8</v>
      </c>
      <c r="CH69" s="1393">
        <v>0.0</v>
      </c>
      <c r="CI69" s="1393">
        <v>0.0</v>
      </c>
      <c r="CJ69" s="1393">
        <v>0.0</v>
      </c>
      <c r="CK69" s="1393">
        <v>1.4716204389309332E8</v>
      </c>
      <c r="CL69" s="1393">
        <v>2.1894574998158216E7</v>
      </c>
      <c r="CM69" s="1393">
        <v>0.0</v>
      </c>
      <c r="CN69" s="1393">
        <v>0.0</v>
      </c>
      <c r="CO69" s="1393">
        <v>9.596879552870715E8</v>
      </c>
      <c r="CP69" s="1393">
        <v>0.0</v>
      </c>
      <c r="CQ69" s="1393">
        <v>0.0</v>
      </c>
      <c r="CR69" s="1393">
        <v>0.0</v>
      </c>
      <c r="CS69" s="1393">
        <v>1.4716204389309332E8</v>
      </c>
      <c r="CT69" s="1393">
        <v>2.1894574998158216E7</v>
      </c>
      <c r="CU69" s="1393">
        <v>0.0</v>
      </c>
      <c r="CV69" s="1393">
        <v>0.0</v>
      </c>
      <c r="CW69" s="1393">
        <v>9.596879552870715E8</v>
      </c>
      <c r="CX69" s="1393">
        <v>0.0</v>
      </c>
      <c r="CY69" s="1393">
        <v>0.0</v>
      </c>
      <c r="CZ69" s="1393">
        <v>0.0</v>
      </c>
      <c r="DA69" s="1393">
        <v>1.4716204389309332E8</v>
      </c>
      <c r="DB69" s="1393">
        <v>2.1894574998158216E7</v>
      </c>
      <c r="DC69" s="1393">
        <v>0.0</v>
      </c>
      <c r="DD69" s="1393">
        <v>0.0</v>
      </c>
      <c r="DE69" s="1393">
        <v>9.596879552870715E8</v>
      </c>
      <c r="DF69" s="1393">
        <v>0.0</v>
      </c>
      <c r="DG69" s="1393">
        <v>0.0</v>
      </c>
      <c r="DH69" s="1393">
        <v>0.0</v>
      </c>
      <c r="DI69" s="1393">
        <v>1.4716204389309332E8</v>
      </c>
      <c r="DJ69" s="1393">
        <v>2.1894574998158216E7</v>
      </c>
      <c r="DK69" s="1393">
        <v>0.0</v>
      </c>
      <c r="DL69" s="1393">
        <v>0.0</v>
      </c>
      <c r="DM69" s="1393">
        <v>9.596879552870715E8</v>
      </c>
      <c r="DN69" s="1393">
        <v>0.0</v>
      </c>
      <c r="DO69" s="1393">
        <v>0.0</v>
      </c>
      <c r="DP69" s="1393">
        <v>0.0</v>
      </c>
      <c r="DQ69" s="1393">
        <v>1.4716204389309332E8</v>
      </c>
      <c r="DR69" s="1379">
        <f t="shared" si="27"/>
        <v>13544934890</v>
      </c>
    </row>
    <row r="70" hidden="1">
      <c r="A70" s="1398"/>
      <c r="B70" s="1394">
        <f t="shared" si="28"/>
        <v>3</v>
      </c>
      <c r="C70" s="1397" t="s">
        <v>1772</v>
      </c>
      <c r="D70" s="185" t="s">
        <v>186</v>
      </c>
      <c r="E70" s="185" t="s">
        <v>606</v>
      </c>
      <c r="F70" s="185" t="s">
        <v>1888</v>
      </c>
      <c r="G70" s="185" t="s">
        <v>203</v>
      </c>
      <c r="H70" s="185" t="s">
        <v>135</v>
      </c>
      <c r="I70" s="185" t="s">
        <v>135</v>
      </c>
      <c r="J70" s="185" t="s">
        <v>1889</v>
      </c>
      <c r="K70" s="185" t="s">
        <v>188</v>
      </c>
      <c r="L70" s="1390">
        <v>5.4681763E7</v>
      </c>
      <c r="M70" s="1390">
        <v>5.4681763E7</v>
      </c>
      <c r="N70" s="1390">
        <v>5.4681763E7</v>
      </c>
      <c r="O70" s="1390">
        <v>5.4681763E7</v>
      </c>
      <c r="P70" s="1390">
        <v>5.4681763E7</v>
      </c>
      <c r="Q70" s="1390">
        <v>5.4681763E7</v>
      </c>
      <c r="R70" s="1390">
        <v>5.4681763E7</v>
      </c>
      <c r="S70" s="1390">
        <v>5.4681763E7</v>
      </c>
      <c r="T70" s="1390">
        <v>5.4681763E7</v>
      </c>
      <c r="U70" s="1390">
        <v>5.4681763E7</v>
      </c>
      <c r="V70" s="1390">
        <v>5.4681763E7</v>
      </c>
      <c r="W70" s="1390">
        <v>5.4681763E7</v>
      </c>
      <c r="X70" s="1391">
        <v>6.56181156E8</v>
      </c>
      <c r="Y70" s="1392">
        <f t="shared" si="3"/>
        <v>0</v>
      </c>
      <c r="Z70" s="1393">
        <v>9733357.561486632</v>
      </c>
      <c r="AA70" s="1393">
        <v>0.0</v>
      </c>
      <c r="AB70" s="1393">
        <v>0.0</v>
      </c>
      <c r="AC70" s="1393">
        <v>2.5072112464542456E7</v>
      </c>
      <c r="AD70" s="1393">
        <v>4866678.780743316</v>
      </c>
      <c r="AE70" s="1393">
        <v>0.0</v>
      </c>
      <c r="AF70" s="1393">
        <v>0.0</v>
      </c>
      <c r="AG70" s="1393">
        <v>3941429.8404742465</v>
      </c>
      <c r="AH70" s="1393">
        <v>9783908.832536059</v>
      </c>
      <c r="AI70" s="1393">
        <v>0.0</v>
      </c>
      <c r="AJ70" s="1393">
        <v>0.0</v>
      </c>
      <c r="AK70" s="1393">
        <v>2.518214760353341E7</v>
      </c>
      <c r="AL70" s="1393">
        <v>4891954.416268029</v>
      </c>
      <c r="AM70" s="1393">
        <v>0.0</v>
      </c>
      <c r="AN70" s="1393">
        <v>0.0</v>
      </c>
      <c r="AO70" s="1393">
        <v>3966705.4759989595</v>
      </c>
      <c r="AP70" s="1393">
        <v>9733357.561486632</v>
      </c>
      <c r="AQ70" s="1393">
        <v>0.0</v>
      </c>
      <c r="AR70" s="1393">
        <v>0.0</v>
      </c>
      <c r="AS70" s="1393">
        <v>2.5072112464542456E7</v>
      </c>
      <c r="AT70" s="1393">
        <v>4866678.780743316</v>
      </c>
      <c r="AU70" s="1393">
        <v>0.0</v>
      </c>
      <c r="AV70" s="1393">
        <v>0.0</v>
      </c>
      <c r="AW70" s="1393">
        <v>3941429.8404742465</v>
      </c>
      <c r="AX70" s="1393">
        <v>9785433.878492324</v>
      </c>
      <c r="AY70" s="1393">
        <v>0.0</v>
      </c>
      <c r="AZ70" s="1393">
        <v>0.0</v>
      </c>
      <c r="BA70" s="1393">
        <v>2.514102958001746E7</v>
      </c>
      <c r="BB70" s="1393">
        <v>4892716.939246162</v>
      </c>
      <c r="BC70" s="1393">
        <v>0.0</v>
      </c>
      <c r="BD70" s="1393">
        <v>0.0</v>
      </c>
      <c r="BE70" s="1393">
        <v>3978049.9273431962</v>
      </c>
      <c r="BF70" s="1393">
        <v>9819216.764003763</v>
      </c>
      <c r="BG70" s="1393">
        <v>0.0</v>
      </c>
      <c r="BH70" s="1393">
        <v>0.0</v>
      </c>
      <c r="BI70" s="1393">
        <v>2.5151280136099078E7</v>
      </c>
      <c r="BJ70" s="1393">
        <v>4909608.3820018815</v>
      </c>
      <c r="BK70" s="1393">
        <v>0.0</v>
      </c>
      <c r="BL70" s="1393">
        <v>0.0</v>
      </c>
      <c r="BM70" s="1393">
        <v>4010011.378736361</v>
      </c>
      <c r="BN70" s="1393">
        <v>9898275.016565034</v>
      </c>
      <c r="BO70" s="1393">
        <v>0.0</v>
      </c>
      <c r="BP70" s="1393">
        <v>0.0</v>
      </c>
      <c r="BQ70" s="1393">
        <v>2.5244301784665253E7</v>
      </c>
      <c r="BR70" s="1393">
        <v>4949137.508282517</v>
      </c>
      <c r="BS70" s="1393">
        <v>0.0</v>
      </c>
      <c r="BT70" s="1393">
        <v>0.0</v>
      </c>
      <c r="BU70" s="1393">
        <v>4068368.198360229</v>
      </c>
      <c r="BV70" s="1393">
        <v>9882234.645813588</v>
      </c>
      <c r="BW70" s="1393">
        <v>0.0</v>
      </c>
      <c r="BX70" s="1393">
        <v>0.0</v>
      </c>
      <c r="BY70" s="1393">
        <v>2.5209386650219347E7</v>
      </c>
      <c r="BZ70" s="1393">
        <v>4941117.322906794</v>
      </c>
      <c r="CA70" s="1393">
        <v>0.0</v>
      </c>
      <c r="CB70" s="1393">
        <v>0.0</v>
      </c>
      <c r="CC70" s="1393">
        <v>4060348.012984507</v>
      </c>
      <c r="CD70" s="1393">
        <v>9882234.645973299</v>
      </c>
      <c r="CE70" s="1393">
        <v>0.0</v>
      </c>
      <c r="CF70" s="1393">
        <v>0.0</v>
      </c>
      <c r="CG70" s="1393">
        <v>2.5209386650066625E7</v>
      </c>
      <c r="CH70" s="1393">
        <v>4941117.322986649</v>
      </c>
      <c r="CI70" s="1393">
        <v>0.0</v>
      </c>
      <c r="CJ70" s="1393">
        <v>0.0</v>
      </c>
      <c r="CK70" s="1393">
        <v>4060348.0131835113</v>
      </c>
      <c r="CL70" s="1393">
        <v>9950172.101670578</v>
      </c>
      <c r="CM70" s="1393">
        <v>0.0</v>
      </c>
      <c r="CN70" s="1393">
        <v>0.0</v>
      </c>
      <c r="CO70" s="1393">
        <v>2.5291797994540524E7</v>
      </c>
      <c r="CP70" s="1393">
        <v>4975086.050835289</v>
      </c>
      <c r="CQ70" s="1393">
        <v>0.0</v>
      </c>
      <c r="CR70" s="1393">
        <v>0.0</v>
      </c>
      <c r="CS70" s="1393">
        <v>4109906.7283830894</v>
      </c>
      <c r="CT70" s="1393">
        <v>9911453.958100444</v>
      </c>
      <c r="CU70" s="1393">
        <v>0.0</v>
      </c>
      <c r="CV70" s="1393">
        <v>0.0</v>
      </c>
      <c r="CW70" s="1393">
        <v>2.523632872292537E7</v>
      </c>
      <c r="CX70" s="1393">
        <v>4955726.979050222</v>
      </c>
      <c r="CY70" s="1393">
        <v>0.0</v>
      </c>
      <c r="CZ70" s="1393">
        <v>0.0</v>
      </c>
      <c r="DA70" s="1393">
        <v>4083687.4493493563</v>
      </c>
      <c r="DB70" s="1393">
        <v>9942420.322328456</v>
      </c>
      <c r="DC70" s="1393">
        <v>0.0</v>
      </c>
      <c r="DD70" s="1393">
        <v>0.0</v>
      </c>
      <c r="DE70" s="1393">
        <v>2.5284703566104952E7</v>
      </c>
      <c r="DF70" s="1393">
        <v>4971210.161164228</v>
      </c>
      <c r="DG70" s="1393">
        <v>0.0</v>
      </c>
      <c r="DH70" s="1393">
        <v>0.0</v>
      </c>
      <c r="DI70" s="1393">
        <v>4103702.188878601</v>
      </c>
      <c r="DJ70" s="1393">
        <v>9911453.958254658</v>
      </c>
      <c r="DK70" s="1393">
        <v>0.0</v>
      </c>
      <c r="DL70" s="1393">
        <v>0.0</v>
      </c>
      <c r="DM70" s="1393">
        <v>2.5236328722770553E7</v>
      </c>
      <c r="DN70" s="1393">
        <v>4955726.979127329</v>
      </c>
      <c r="DO70" s="1393">
        <v>0.0</v>
      </c>
      <c r="DP70" s="1393">
        <v>0.0</v>
      </c>
      <c r="DQ70" s="1393">
        <v>4083687.4495432638</v>
      </c>
      <c r="DR70" s="1379">
        <f t="shared" si="27"/>
        <v>528088869.7</v>
      </c>
    </row>
    <row r="71" hidden="1">
      <c r="A71" s="1398"/>
      <c r="B71" s="1394">
        <f t="shared" si="28"/>
        <v>4</v>
      </c>
      <c r="C71" s="1397" t="s">
        <v>1773</v>
      </c>
      <c r="D71" s="185" t="s">
        <v>186</v>
      </c>
      <c r="E71" s="185" t="s">
        <v>606</v>
      </c>
      <c r="F71" s="185" t="s">
        <v>1888</v>
      </c>
      <c r="G71" s="185" t="s">
        <v>86</v>
      </c>
      <c r="H71" s="185" t="s">
        <v>86</v>
      </c>
      <c r="I71" s="185" t="s">
        <v>103</v>
      </c>
      <c r="J71" s="185" t="s">
        <v>1889</v>
      </c>
      <c r="K71" s="185" t="s">
        <v>188</v>
      </c>
      <c r="L71" s="1390">
        <v>3.1918445E7</v>
      </c>
      <c r="M71" s="1390">
        <v>3.1918445E7</v>
      </c>
      <c r="N71" s="1390">
        <v>3.1918445E7</v>
      </c>
      <c r="O71" s="1390">
        <v>3.1918445E7</v>
      </c>
      <c r="P71" s="1390">
        <v>3.1918445E7</v>
      </c>
      <c r="Q71" s="1390">
        <v>3.1918445E7</v>
      </c>
      <c r="R71" s="1390">
        <v>3.1918445E7</v>
      </c>
      <c r="S71" s="1390">
        <v>3.1918445E7</v>
      </c>
      <c r="T71" s="1390">
        <v>3.1918445E7</v>
      </c>
      <c r="U71" s="1390">
        <v>3.1918445E7</v>
      </c>
      <c r="V71" s="1390">
        <v>3.1918445E7</v>
      </c>
      <c r="W71" s="1390">
        <v>3.1918445E7</v>
      </c>
      <c r="X71" s="1391">
        <v>3.8302134E8</v>
      </c>
      <c r="Y71" s="1392">
        <f t="shared" si="3"/>
        <v>0</v>
      </c>
      <c r="Z71" s="1393">
        <v>5681485.397455916</v>
      </c>
      <c r="AA71" s="1393">
        <v>0.0</v>
      </c>
      <c r="AB71" s="1393">
        <v>0.0</v>
      </c>
      <c r="AC71" s="1393">
        <v>1.4634912973331032E7</v>
      </c>
      <c r="AD71" s="1393">
        <v>2840742.698727958</v>
      </c>
      <c r="AE71" s="1393">
        <v>0.0</v>
      </c>
      <c r="AF71" s="1393">
        <v>0.0</v>
      </c>
      <c r="AG71" s="1393">
        <v>2300663.048931616</v>
      </c>
      <c r="AH71" s="1393">
        <v>5710992.821433288</v>
      </c>
      <c r="AI71" s="1393">
        <v>0.0</v>
      </c>
      <c r="AJ71" s="1393">
        <v>0.0</v>
      </c>
      <c r="AK71" s="1393">
        <v>1.4699141892430624E7</v>
      </c>
      <c r="AL71" s="1393">
        <v>2855496.410716644</v>
      </c>
      <c r="AM71" s="1393">
        <v>0.0</v>
      </c>
      <c r="AN71" s="1393">
        <v>0.0</v>
      </c>
      <c r="AO71" s="1393">
        <v>2315416.760920302</v>
      </c>
      <c r="AP71" s="1393">
        <v>5681485.397455916</v>
      </c>
      <c r="AQ71" s="1393">
        <v>0.0</v>
      </c>
      <c r="AR71" s="1393">
        <v>0.0</v>
      </c>
      <c r="AS71" s="1393">
        <v>1.4634912973331032E7</v>
      </c>
      <c r="AT71" s="1393">
        <v>2840742.698727958</v>
      </c>
      <c r="AU71" s="1393">
        <v>0.0</v>
      </c>
      <c r="AV71" s="1393">
        <v>0.0</v>
      </c>
      <c r="AW71" s="1393">
        <v>2300663.048931616</v>
      </c>
      <c r="AX71" s="1393">
        <v>5711883.010278837</v>
      </c>
      <c r="AY71" s="1393">
        <v>0.0</v>
      </c>
      <c r="AZ71" s="1393">
        <v>0.0</v>
      </c>
      <c r="BA71" s="1393">
        <v>1.4675140775785893E7</v>
      </c>
      <c r="BB71" s="1393">
        <v>2855941.5051394184</v>
      </c>
      <c r="BC71" s="1393">
        <v>0.0</v>
      </c>
      <c r="BD71" s="1393">
        <v>0.0</v>
      </c>
      <c r="BE71" s="1393">
        <v>2322038.662381054</v>
      </c>
      <c r="BF71" s="1393">
        <v>5731602.512979182</v>
      </c>
      <c r="BG71" s="1393">
        <v>0.0</v>
      </c>
      <c r="BH71" s="1393">
        <v>0.0</v>
      </c>
      <c r="BI71" s="1393">
        <v>1.4681124156579787E7</v>
      </c>
      <c r="BJ71" s="1393">
        <v>2865801.256489591</v>
      </c>
      <c r="BK71" s="1393">
        <v>0.0</v>
      </c>
      <c r="BL71" s="1393">
        <v>0.0</v>
      </c>
      <c r="BM71" s="1393">
        <v>2340694.970671862</v>
      </c>
      <c r="BN71" s="1393">
        <v>5777749.82695977</v>
      </c>
      <c r="BO71" s="1393">
        <v>0.0</v>
      </c>
      <c r="BP71" s="1393">
        <v>0.0</v>
      </c>
      <c r="BQ71" s="1393">
        <v>1.4735422083542544E7</v>
      </c>
      <c r="BR71" s="1393">
        <v>2888874.913479885</v>
      </c>
      <c r="BS71" s="1393">
        <v>0.0</v>
      </c>
      <c r="BT71" s="1393">
        <v>0.0</v>
      </c>
      <c r="BU71" s="1393">
        <v>2374758.593264633</v>
      </c>
      <c r="BV71" s="1393">
        <v>5768386.857232374</v>
      </c>
      <c r="BW71" s="1393">
        <v>0.0</v>
      </c>
      <c r="BX71" s="1393">
        <v>0.0</v>
      </c>
      <c r="BY71" s="1393">
        <v>1.4715041672646154E7</v>
      </c>
      <c r="BZ71" s="1393">
        <v>2884193.428616187</v>
      </c>
      <c r="CA71" s="1393">
        <v>0.0</v>
      </c>
      <c r="CB71" s="1393">
        <v>0.0</v>
      </c>
      <c r="CC71" s="1393">
        <v>2370077.108400936</v>
      </c>
      <c r="CD71" s="1393">
        <v>5768386.857325598</v>
      </c>
      <c r="CE71" s="1393">
        <v>0.0</v>
      </c>
      <c r="CF71" s="1393">
        <v>0.0</v>
      </c>
      <c r="CG71" s="1393">
        <v>1.4715041672557006E7</v>
      </c>
      <c r="CH71" s="1393">
        <v>2884193.428662799</v>
      </c>
      <c r="CI71" s="1393">
        <v>0.0</v>
      </c>
      <c r="CJ71" s="1393">
        <v>0.0</v>
      </c>
      <c r="CK71" s="1393">
        <v>2370077.1085170973</v>
      </c>
      <c r="CL71" s="1393">
        <v>5808042.819828372</v>
      </c>
      <c r="CM71" s="1393">
        <v>0.0</v>
      </c>
      <c r="CN71" s="1393">
        <v>0.0</v>
      </c>
      <c r="CO71" s="1393">
        <v>1.4763146229207203E7</v>
      </c>
      <c r="CP71" s="1393">
        <v>2904021.409914186</v>
      </c>
      <c r="CQ71" s="1393">
        <v>0.0</v>
      </c>
      <c r="CR71" s="1393">
        <v>0.0</v>
      </c>
      <c r="CS71" s="1393">
        <v>2399005.1649400108</v>
      </c>
      <c r="CT71" s="1393">
        <v>5785442.543826931</v>
      </c>
      <c r="CU71" s="1393">
        <v>0.0</v>
      </c>
      <c r="CV71" s="1393">
        <v>0.0</v>
      </c>
      <c r="CW71" s="1393">
        <v>1.473076810534828E7</v>
      </c>
      <c r="CX71" s="1393">
        <v>2892721.2719134656</v>
      </c>
      <c r="CY71" s="1393">
        <v>0.0</v>
      </c>
      <c r="CZ71" s="1393">
        <v>0.0</v>
      </c>
      <c r="DA71" s="1393">
        <v>2383700.6361562945</v>
      </c>
      <c r="DB71" s="1393">
        <v>5803518.007002136</v>
      </c>
      <c r="DC71" s="1393">
        <v>0.0</v>
      </c>
      <c r="DD71" s="1393">
        <v>0.0</v>
      </c>
      <c r="DE71" s="1393">
        <v>1.4759005120519336E7</v>
      </c>
      <c r="DF71" s="1393">
        <v>2901759.003501068</v>
      </c>
      <c r="DG71" s="1393">
        <v>0.0</v>
      </c>
      <c r="DH71" s="1393">
        <v>0.0</v>
      </c>
      <c r="DI71" s="1393">
        <v>2395383.4958119625</v>
      </c>
      <c r="DJ71" s="1393">
        <v>5785442.543916947</v>
      </c>
      <c r="DK71" s="1393">
        <v>0.0</v>
      </c>
      <c r="DL71" s="1393">
        <v>0.0</v>
      </c>
      <c r="DM71" s="1393">
        <v>1.4730768105257912E7</v>
      </c>
      <c r="DN71" s="1393">
        <v>2892721.2719584736</v>
      </c>
      <c r="DO71" s="1393">
        <v>0.0</v>
      </c>
      <c r="DP71" s="1393">
        <v>0.0</v>
      </c>
      <c r="DQ71" s="1393">
        <v>2383700.6362694805</v>
      </c>
      <c r="DR71" s="1379">
        <f t="shared" si="27"/>
        <v>308252232.9</v>
      </c>
    </row>
    <row r="72" hidden="1">
      <c r="A72" s="1398"/>
      <c r="B72" s="1394">
        <f t="shared" si="28"/>
        <v>5</v>
      </c>
      <c r="C72" s="1389" t="s">
        <v>650</v>
      </c>
      <c r="D72" s="185" t="s">
        <v>186</v>
      </c>
      <c r="E72" s="185" t="s">
        <v>649</v>
      </c>
      <c r="F72" s="185" t="s">
        <v>1888</v>
      </c>
      <c r="G72" s="185" t="s">
        <v>86</v>
      </c>
      <c r="H72" s="185" t="s">
        <v>86</v>
      </c>
      <c r="I72" s="185" t="s">
        <v>103</v>
      </c>
      <c r="J72" s="185" t="s">
        <v>1889</v>
      </c>
      <c r="K72" s="185" t="s">
        <v>188</v>
      </c>
      <c r="L72" s="1390">
        <v>8.1766667E7</v>
      </c>
      <c r="M72" s="1390">
        <v>8.1766667E7</v>
      </c>
      <c r="N72" s="1390">
        <v>8.1766667E7</v>
      </c>
      <c r="O72" s="1390">
        <v>8.1766667E7</v>
      </c>
      <c r="P72" s="1390">
        <v>8.1766667E7</v>
      </c>
      <c r="Q72" s="1390">
        <v>8.1766667E7</v>
      </c>
      <c r="R72" s="1390">
        <v>8.1766667E7</v>
      </c>
      <c r="S72" s="1390">
        <v>8.1766667E7</v>
      </c>
      <c r="T72" s="1390">
        <v>8.1766667E7</v>
      </c>
      <c r="U72" s="1390">
        <v>8.1766667E7</v>
      </c>
      <c r="V72" s="1390">
        <v>8.1766667E7</v>
      </c>
      <c r="W72" s="1390">
        <v>8.1766667E7</v>
      </c>
      <c r="X72" s="1391">
        <v>9.81200004E8</v>
      </c>
      <c r="Y72" s="1392">
        <f t="shared" si="3"/>
        <v>0</v>
      </c>
      <c r="Z72" s="1393">
        <v>0.0</v>
      </c>
      <c r="AA72" s="1393">
        <v>0.0</v>
      </c>
      <c r="AB72" s="1393">
        <v>5.630443211015665E7</v>
      </c>
      <c r="AC72" s="1393">
        <v>0.0</v>
      </c>
      <c r="AD72" s="1393">
        <v>0.0</v>
      </c>
      <c r="AE72" s="1393">
        <v>0.0</v>
      </c>
      <c r="AF72" s="1393">
        <v>3282117.8987139896</v>
      </c>
      <c r="AG72" s="1393">
        <v>1.0308243916811882E7</v>
      </c>
      <c r="AH72" s="1393">
        <v>0.0</v>
      </c>
      <c r="AI72" s="1393">
        <v>0.0</v>
      </c>
      <c r="AJ72" s="1393">
        <v>5.7292132243037045E7</v>
      </c>
      <c r="AK72" s="1393">
        <v>0.0</v>
      </c>
      <c r="AL72" s="1393">
        <v>0.0</v>
      </c>
      <c r="AM72" s="1393">
        <v>0.0</v>
      </c>
      <c r="AN72" s="1393">
        <v>3348181.065639013</v>
      </c>
      <c r="AO72" s="1393">
        <v>1.1327525181159856E7</v>
      </c>
      <c r="AP72" s="1393">
        <v>0.0</v>
      </c>
      <c r="AQ72" s="1393">
        <v>0.0</v>
      </c>
      <c r="AR72" s="1393">
        <v>6.2856751518827215E7</v>
      </c>
      <c r="AS72" s="1393">
        <v>0.0</v>
      </c>
      <c r="AT72" s="1393">
        <v>0.0</v>
      </c>
      <c r="AU72" s="1393">
        <v>0.0</v>
      </c>
      <c r="AV72" s="1393">
        <v>3679249.8934036135</v>
      </c>
      <c r="AW72" s="1393">
        <v>1.0527170528331226E7</v>
      </c>
      <c r="AX72" s="1393">
        <v>0.0</v>
      </c>
      <c r="AY72" s="1393">
        <v>0.0</v>
      </c>
      <c r="AZ72" s="1393">
        <v>5.845381379931422E7</v>
      </c>
      <c r="BA72" s="1393">
        <v>0.0</v>
      </c>
      <c r="BB72" s="1393">
        <v>0.0</v>
      </c>
      <c r="BC72" s="1393">
        <v>0.0</v>
      </c>
      <c r="BD72" s="1393">
        <v>3419289.776430975</v>
      </c>
      <c r="BE72" s="1393">
        <v>1.0415345935416305E7</v>
      </c>
      <c r="BF72" s="1393">
        <v>0.0</v>
      </c>
      <c r="BG72" s="1393">
        <v>0.0</v>
      </c>
      <c r="BH72" s="1393">
        <v>5.783836152705996E7</v>
      </c>
      <c r="BI72" s="1393">
        <v>0.0</v>
      </c>
      <c r="BJ72" s="1393">
        <v>0.0</v>
      </c>
      <c r="BK72" s="1393">
        <v>0.0</v>
      </c>
      <c r="BL72" s="1393">
        <v>3382968.460434572</v>
      </c>
      <c r="BM72" s="1393">
        <v>1.0571355330239272E7</v>
      </c>
      <c r="BN72" s="1393">
        <v>0.0</v>
      </c>
      <c r="BO72" s="1393">
        <v>0.0</v>
      </c>
      <c r="BP72" s="1393">
        <v>5.869263082454522E7</v>
      </c>
      <c r="BQ72" s="1393">
        <v>0.0</v>
      </c>
      <c r="BR72" s="1393">
        <v>0.0</v>
      </c>
      <c r="BS72" s="1393">
        <v>0.0</v>
      </c>
      <c r="BT72" s="1393">
        <v>3433641.272023377</v>
      </c>
      <c r="BU72" s="1393">
        <v>1.1057371315381436E7</v>
      </c>
      <c r="BV72" s="1393">
        <v>0.0</v>
      </c>
      <c r="BW72" s="1393">
        <v>0.0</v>
      </c>
      <c r="BX72" s="1393">
        <v>6.1363804497397475E7</v>
      </c>
      <c r="BY72" s="1393">
        <v>0.0</v>
      </c>
      <c r="BZ72" s="1393">
        <v>0.0</v>
      </c>
      <c r="CA72" s="1393">
        <v>0.0</v>
      </c>
      <c r="CB72" s="1393">
        <v>3591502.255153292</v>
      </c>
      <c r="CC72" s="1393">
        <v>1.1125886041124782E7</v>
      </c>
      <c r="CD72" s="1393">
        <v>0.0</v>
      </c>
      <c r="CE72" s="1393">
        <v>0.0</v>
      </c>
      <c r="CF72" s="1393">
        <v>6.174024913592936E7</v>
      </c>
      <c r="CG72" s="1393">
        <v>0.0</v>
      </c>
      <c r="CH72" s="1393">
        <v>0.0</v>
      </c>
      <c r="CI72" s="1393">
        <v>0.0</v>
      </c>
      <c r="CJ72" s="1393">
        <v>3613756.259744432</v>
      </c>
      <c r="CK72" s="1393">
        <v>1.0762793723901208E7</v>
      </c>
      <c r="CL72" s="1393">
        <v>0.0</v>
      </c>
      <c r="CM72" s="1393">
        <v>0.0</v>
      </c>
      <c r="CN72" s="1393">
        <v>5.974082725145976E7</v>
      </c>
      <c r="CO72" s="1393">
        <v>0.0</v>
      </c>
      <c r="CP72" s="1393">
        <v>0.0</v>
      </c>
      <c r="CQ72" s="1393">
        <v>0.0</v>
      </c>
      <c r="CR72" s="1393">
        <v>3495821.640480693</v>
      </c>
      <c r="CS72" s="1393">
        <v>1.0738869003416315E7</v>
      </c>
      <c r="CT72" s="1393">
        <v>0.0</v>
      </c>
      <c r="CU72" s="1393">
        <v>0.0</v>
      </c>
      <c r="CV72" s="1393">
        <v>5.9609334042810276E7</v>
      </c>
      <c r="CW72" s="1393">
        <v>0.0</v>
      </c>
      <c r="CX72" s="1393">
        <v>0.0</v>
      </c>
      <c r="CY72" s="1393">
        <v>0.0</v>
      </c>
      <c r="CZ72" s="1393">
        <v>3488050.744023966</v>
      </c>
      <c r="DA72" s="1393">
        <v>1.056272865256207E7</v>
      </c>
      <c r="DB72" s="1393">
        <v>0.0</v>
      </c>
      <c r="DC72" s="1393">
        <v>0.0</v>
      </c>
      <c r="DD72" s="1393">
        <v>5.8640999840875275E7</v>
      </c>
      <c r="DE72" s="1393">
        <v>0.0</v>
      </c>
      <c r="DF72" s="1393">
        <v>0.0</v>
      </c>
      <c r="DG72" s="1393">
        <v>0.0</v>
      </c>
      <c r="DH72" s="1393">
        <v>3430839.2740214597</v>
      </c>
      <c r="DI72" s="1393">
        <v>1.0728009336115256E7</v>
      </c>
      <c r="DJ72" s="1393">
        <v>0.0</v>
      </c>
      <c r="DK72" s="1393">
        <v>0.0</v>
      </c>
      <c r="DL72" s="1393">
        <v>5.954940282188141E7</v>
      </c>
      <c r="DM72" s="1393">
        <v>0.0</v>
      </c>
      <c r="DN72" s="1393">
        <v>0.0</v>
      </c>
      <c r="DO72" s="1393">
        <v>0.0</v>
      </c>
      <c r="DP72" s="1393">
        <v>3484523.4572494216</v>
      </c>
      <c r="DQ72" s="1379">
        <f t="shared" ref="DQ72:DQ73" si="29">SUM(Y72:DP72)</f>
        <v>871857980.6</v>
      </c>
    </row>
    <row r="73" hidden="1">
      <c r="A73" s="1398"/>
      <c r="B73" s="1394">
        <f t="shared" si="28"/>
        <v>6</v>
      </c>
      <c r="C73" s="1389" t="s">
        <v>656</v>
      </c>
      <c r="D73" s="185" t="s">
        <v>186</v>
      </c>
      <c r="E73" s="185" t="s">
        <v>649</v>
      </c>
      <c r="F73" s="185" t="s">
        <v>1888</v>
      </c>
      <c r="G73" s="185" t="s">
        <v>218</v>
      </c>
      <c r="H73" s="185" t="s">
        <v>88</v>
      </c>
      <c r="I73" s="185" t="s">
        <v>88</v>
      </c>
      <c r="J73" s="185" t="s">
        <v>1889</v>
      </c>
      <c r="K73" s="185" t="s">
        <v>188</v>
      </c>
      <c r="L73" s="1390">
        <v>5.58091561E8</v>
      </c>
      <c r="M73" s="1390">
        <v>5.58091561E8</v>
      </c>
      <c r="N73" s="1390">
        <v>5.58091561E8</v>
      </c>
      <c r="O73" s="1390">
        <v>5.58091561E8</v>
      </c>
      <c r="P73" s="1390">
        <v>5.58091561E8</v>
      </c>
      <c r="Q73" s="1390">
        <v>5.58091561E8</v>
      </c>
      <c r="R73" s="1390">
        <v>5.58091561E8</v>
      </c>
      <c r="S73" s="1390">
        <v>5.58091561E8</v>
      </c>
      <c r="T73" s="1390">
        <v>5.58091561E8</v>
      </c>
      <c r="U73" s="1390">
        <v>5.58091561E8</v>
      </c>
      <c r="V73" s="1390">
        <v>5.58091561E8</v>
      </c>
      <c r="W73" s="1390">
        <v>5.58091561E8</v>
      </c>
      <c r="X73" s="1391">
        <v>6.697098732E9</v>
      </c>
      <c r="Y73" s="1392">
        <f t="shared" si="3"/>
        <v>0</v>
      </c>
      <c r="Z73" s="1393">
        <v>0.0</v>
      </c>
      <c r="AA73" s="1393">
        <v>0.0</v>
      </c>
      <c r="AB73" s="1393">
        <v>4.0604998870036036E8</v>
      </c>
      <c r="AC73" s="1393">
        <v>0.0</v>
      </c>
      <c r="AD73" s="1393">
        <v>0.0</v>
      </c>
      <c r="AE73" s="1393">
        <v>0.0</v>
      </c>
      <c r="AF73" s="1393">
        <v>4.19298547871219E7</v>
      </c>
      <c r="AG73" s="1393">
        <v>9379614.24150343</v>
      </c>
      <c r="AH73" s="1393">
        <v>0.0</v>
      </c>
      <c r="AI73" s="1393">
        <v>0.0</v>
      </c>
      <c r="AJ73" s="1393">
        <v>4.011539205707839E8</v>
      </c>
      <c r="AK73" s="1393">
        <v>0.0</v>
      </c>
      <c r="AL73" s="1393">
        <v>0.0</v>
      </c>
      <c r="AM73" s="1393">
        <v>0.0</v>
      </c>
      <c r="AN73" s="1393">
        <v>4.143301948246719E7</v>
      </c>
      <c r="AO73" s="1393">
        <v>1.1769934858974088E7</v>
      </c>
      <c r="AP73" s="1393">
        <v>0.0</v>
      </c>
      <c r="AQ73" s="1393">
        <v>0.0</v>
      </c>
      <c r="AR73" s="1393">
        <v>5.0272756987717944E8</v>
      </c>
      <c r="AS73" s="1393">
        <v>0.0</v>
      </c>
      <c r="AT73" s="1393">
        <v>0.0</v>
      </c>
      <c r="AU73" s="1393">
        <v>0.0</v>
      </c>
      <c r="AV73" s="1393">
        <v>5.199189729588249E7</v>
      </c>
      <c r="AW73" s="1393">
        <v>9789243.228293857</v>
      </c>
      <c r="AX73" s="1393">
        <v>0.0</v>
      </c>
      <c r="AY73" s="1393">
        <v>0.0</v>
      </c>
      <c r="AZ73" s="1393">
        <v>4.1855939052333724E8</v>
      </c>
      <c r="BA73" s="1393">
        <v>0.0</v>
      </c>
      <c r="BB73" s="1393">
        <v>0.0</v>
      </c>
      <c r="BC73" s="1393">
        <v>0.0</v>
      </c>
      <c r="BD73" s="1393">
        <v>4.3242493236214094E7</v>
      </c>
      <c r="BE73" s="1393">
        <v>9354013.78347546</v>
      </c>
      <c r="BF73" s="1393">
        <v>0.0</v>
      </c>
      <c r="BG73" s="1393">
        <v>0.0</v>
      </c>
      <c r="BH73" s="1393">
        <v>4.000202357965967E8</v>
      </c>
      <c r="BI73" s="1393">
        <v>0.0</v>
      </c>
      <c r="BJ73" s="1393">
        <v>0.0</v>
      </c>
      <c r="BK73" s="1393">
        <v>0.0</v>
      </c>
      <c r="BL73" s="1393">
        <v>4.131993335238528E7</v>
      </c>
      <c r="BM73" s="1393">
        <v>9780377.521201508</v>
      </c>
      <c r="BN73" s="1393">
        <v>0.0</v>
      </c>
      <c r="BO73" s="1393">
        <v>0.0</v>
      </c>
      <c r="BP73" s="1393">
        <v>4.1815497482251954E8</v>
      </c>
      <c r="BQ73" s="1393">
        <v>0.0</v>
      </c>
      <c r="BR73" s="1393">
        <v>0.0</v>
      </c>
      <c r="BS73" s="1393">
        <v>0.0</v>
      </c>
      <c r="BT73" s="1393">
        <v>4.3203330323409244E7</v>
      </c>
      <c r="BU73" s="1393">
        <v>8966829.481273843</v>
      </c>
      <c r="BV73" s="1393">
        <v>0.0</v>
      </c>
      <c r="BW73" s="1393">
        <v>0.0</v>
      </c>
      <c r="BX73" s="1393">
        <v>3.8309739493420786E8</v>
      </c>
      <c r="BY73" s="1393">
        <v>0.0</v>
      </c>
      <c r="BZ73" s="1393">
        <v>0.0</v>
      </c>
      <c r="CA73" s="1393">
        <v>0.0</v>
      </c>
      <c r="CB73" s="1393">
        <v>3.960960557947531E7</v>
      </c>
      <c r="CC73" s="1393">
        <v>8772139.837398222</v>
      </c>
      <c r="CD73" s="1393">
        <v>0.0</v>
      </c>
      <c r="CE73" s="1393">
        <v>0.0</v>
      </c>
      <c r="CF73" s="1393">
        <v>3.7475320522914004E8</v>
      </c>
      <c r="CG73" s="1393">
        <v>0.0</v>
      </c>
      <c r="CH73" s="1393">
        <v>0.0</v>
      </c>
      <c r="CI73" s="1393">
        <v>0.0</v>
      </c>
      <c r="CJ73" s="1393">
        <v>3.874959368559169E7</v>
      </c>
      <c r="CK73" s="1393">
        <v>1.0626147555114564E7</v>
      </c>
      <c r="CL73" s="1393">
        <v>0.0</v>
      </c>
      <c r="CM73" s="1393">
        <v>0.0</v>
      </c>
      <c r="CN73" s="1393">
        <v>4.5416981000816065E8</v>
      </c>
      <c r="CO73" s="1393">
        <v>0.0</v>
      </c>
      <c r="CP73" s="1393">
        <v>0.0</v>
      </c>
      <c r="CQ73" s="1393">
        <v>0.0</v>
      </c>
      <c r="CR73" s="1393">
        <v>4.6939390825529605E7</v>
      </c>
      <c r="CS73" s="1393">
        <v>1.0742599449678518E7</v>
      </c>
      <c r="CT73" s="1393">
        <v>0.0</v>
      </c>
      <c r="CU73" s="1393">
        <v>0.0</v>
      </c>
      <c r="CV73" s="1393">
        <v>4.5916941458943576E8</v>
      </c>
      <c r="CW73" s="1393">
        <v>0.0</v>
      </c>
      <c r="CX73" s="1393">
        <v>0.0</v>
      </c>
      <c r="CY73" s="1393">
        <v>0.0</v>
      </c>
      <c r="CZ73" s="1393">
        <v>4.7453799360039346E7</v>
      </c>
      <c r="DA73" s="1393">
        <v>1.0061345612087525E7</v>
      </c>
      <c r="DB73" s="1393">
        <v>0.0</v>
      </c>
      <c r="DC73" s="1393">
        <v>0.0</v>
      </c>
      <c r="DD73" s="1393">
        <v>4.3016081848462486E8</v>
      </c>
      <c r="DE73" s="1393">
        <v>0.0</v>
      </c>
      <c r="DF73" s="1393">
        <v>0.0</v>
      </c>
      <c r="DG73" s="1393">
        <v>0.0</v>
      </c>
      <c r="DH73" s="1393">
        <v>4.4444464135940745E7</v>
      </c>
      <c r="DI73" s="1393">
        <v>9938233.932301799</v>
      </c>
      <c r="DJ73" s="1393">
        <v>0.0</v>
      </c>
      <c r="DK73" s="1393">
        <v>0.0</v>
      </c>
      <c r="DL73" s="1393">
        <v>4.2479556434724593E8</v>
      </c>
      <c r="DM73" s="1393">
        <v>0.0</v>
      </c>
      <c r="DN73" s="1393">
        <v>0.0</v>
      </c>
      <c r="DO73" s="1393">
        <v>0.0</v>
      </c>
      <c r="DP73" s="1393">
        <v>4.390063701301807E7</v>
      </c>
      <c r="DQ73" s="1379">
        <f t="shared" si="29"/>
        <v>5706210786</v>
      </c>
    </row>
    <row r="74" hidden="1">
      <c r="A74" s="1398" t="s">
        <v>39</v>
      </c>
      <c r="B74" s="1399" t="s">
        <v>40</v>
      </c>
      <c r="C74" s="7"/>
      <c r="D74" s="1225"/>
      <c r="E74" s="1225"/>
      <c r="F74" s="1225"/>
      <c r="G74" s="1225"/>
      <c r="H74" s="1225"/>
      <c r="I74" s="1225"/>
      <c r="J74" s="1225"/>
      <c r="K74" s="1225"/>
      <c r="L74" s="1400">
        <f t="shared" ref="L74:X74" si="30">L75+L88+L133+L139+L145+L149</f>
        <v>68907004269</v>
      </c>
      <c r="M74" s="1400">
        <f t="shared" si="30"/>
        <v>69013972897</v>
      </c>
      <c r="N74" s="1400">
        <f t="shared" si="30"/>
        <v>69227742808</v>
      </c>
      <c r="O74" s="1400">
        <f t="shared" si="30"/>
        <v>69153134730</v>
      </c>
      <c r="P74" s="1400">
        <f t="shared" si="30"/>
        <v>69414993476</v>
      </c>
      <c r="Q74" s="1400">
        <f t="shared" si="30"/>
        <v>74335661139</v>
      </c>
      <c r="R74" s="1400">
        <f t="shared" si="30"/>
        <v>69432543058</v>
      </c>
      <c r="S74" s="1400">
        <f t="shared" si="30"/>
        <v>69383963559</v>
      </c>
      <c r="T74" s="1400">
        <f t="shared" si="30"/>
        <v>69616456306</v>
      </c>
      <c r="U74" s="1400">
        <f t="shared" si="30"/>
        <v>69626320803</v>
      </c>
      <c r="V74" s="1400">
        <f t="shared" si="30"/>
        <v>69626956307</v>
      </c>
      <c r="W74" s="1400">
        <f t="shared" si="30"/>
        <v>74636820804</v>
      </c>
      <c r="X74" s="1400">
        <f t="shared" si="30"/>
        <v>842375570159</v>
      </c>
      <c r="Y74" s="1392">
        <f t="shared" si="3"/>
        <v>0.0001220703125</v>
      </c>
    </row>
    <row r="75" hidden="1">
      <c r="A75" s="1401">
        <v>11.0</v>
      </c>
      <c r="B75" s="1402" t="s">
        <v>41</v>
      </c>
      <c r="C75" s="7"/>
      <c r="D75" s="1225"/>
      <c r="E75" s="1225"/>
      <c r="F75" s="1225"/>
      <c r="G75" s="1225"/>
      <c r="H75" s="1225"/>
      <c r="I75" s="1225"/>
      <c r="J75" s="1225"/>
      <c r="K75" s="1225"/>
      <c r="L75" s="1396">
        <f t="shared" ref="L75:X75" si="31">L76+L77+L78+L79+L80+L81+L82+L83+L84+L85+L86+L87</f>
        <v>2450955229</v>
      </c>
      <c r="M75" s="1396">
        <f t="shared" si="31"/>
        <v>2771693768</v>
      </c>
      <c r="N75" s="1396">
        <f t="shared" si="31"/>
        <v>2771693768</v>
      </c>
      <c r="O75" s="1396">
        <f t="shared" si="31"/>
        <v>2771693768</v>
      </c>
      <c r="P75" s="1396">
        <f t="shared" si="31"/>
        <v>2771693768</v>
      </c>
      <c r="Q75" s="1396">
        <f t="shared" si="31"/>
        <v>2771693768</v>
      </c>
      <c r="R75" s="1396">
        <f t="shared" si="31"/>
        <v>2771693768</v>
      </c>
      <c r="S75" s="1396">
        <f t="shared" si="31"/>
        <v>2771693768</v>
      </c>
      <c r="T75" s="1396">
        <f t="shared" si="31"/>
        <v>2771693768</v>
      </c>
      <c r="U75" s="1396">
        <f t="shared" si="31"/>
        <v>2771693768</v>
      </c>
      <c r="V75" s="1396">
        <f t="shared" si="31"/>
        <v>2771693768</v>
      </c>
      <c r="W75" s="1396">
        <f t="shared" si="31"/>
        <v>2771693768</v>
      </c>
      <c r="X75" s="1396">
        <f t="shared" si="31"/>
        <v>32939586679</v>
      </c>
      <c r="Y75" s="1392">
        <f t="shared" si="3"/>
        <v>0.000003814697266</v>
      </c>
    </row>
    <row r="76" hidden="1">
      <c r="A76" s="1401"/>
      <c r="B76" s="1388">
        <v>1.0</v>
      </c>
      <c r="C76" s="1389" t="s">
        <v>673</v>
      </c>
      <c r="D76" s="185" t="s">
        <v>186</v>
      </c>
      <c r="E76" s="185" t="s">
        <v>672</v>
      </c>
      <c r="F76" s="185" t="s">
        <v>1896</v>
      </c>
      <c r="G76" s="185" t="s">
        <v>86</v>
      </c>
      <c r="H76" s="185" t="s">
        <v>86</v>
      </c>
      <c r="I76" s="185" t="s">
        <v>103</v>
      </c>
      <c r="J76" s="185" t="s">
        <v>1889</v>
      </c>
      <c r="K76" s="185" t="s">
        <v>188</v>
      </c>
      <c r="L76" s="1390">
        <v>4.27929562E8</v>
      </c>
      <c r="M76" s="1390">
        <v>4.27929562E8</v>
      </c>
      <c r="N76" s="1390">
        <v>4.27929562E8</v>
      </c>
      <c r="O76" s="1390">
        <v>4.27929562E8</v>
      </c>
      <c r="P76" s="1390">
        <v>4.27929562E8</v>
      </c>
      <c r="Q76" s="1390">
        <v>4.27929562E8</v>
      </c>
      <c r="R76" s="1390">
        <v>4.27929562E8</v>
      </c>
      <c r="S76" s="1390">
        <v>4.27929562E8</v>
      </c>
      <c r="T76" s="1390">
        <v>4.27929562E8</v>
      </c>
      <c r="U76" s="1390">
        <v>4.27929562E8</v>
      </c>
      <c r="V76" s="1390">
        <v>4.27929562E8</v>
      </c>
      <c r="W76" s="1390">
        <v>4.27929562E8</v>
      </c>
      <c r="X76" s="1391">
        <v>5.135154744E9</v>
      </c>
      <c r="Y76" s="1392">
        <f t="shared" si="3"/>
        <v>0</v>
      </c>
      <c r="Z76" s="1393">
        <v>5.288419790696115E7</v>
      </c>
      <c r="AA76" s="1393">
        <v>0.0</v>
      </c>
      <c r="AB76" s="1393">
        <v>0.0</v>
      </c>
      <c r="AC76" s="1393">
        <v>2.946718003261411E8</v>
      </c>
      <c r="AD76" s="1393">
        <v>0.0</v>
      </c>
      <c r="AE76" s="1393">
        <v>0.0</v>
      </c>
      <c r="AF76" s="1393">
        <v>0.0</v>
      </c>
      <c r="AG76" s="1393">
        <v>1.7177112952751733E7</v>
      </c>
      <c r="AH76" s="1393">
        <v>5.394866228692521E7</v>
      </c>
      <c r="AI76" s="1393">
        <v>0.0</v>
      </c>
      <c r="AJ76" s="1393">
        <v>0.0</v>
      </c>
      <c r="AK76" s="1393">
        <v>2.998409737895874E8</v>
      </c>
      <c r="AL76" s="1393">
        <v>0.0</v>
      </c>
      <c r="AM76" s="1393">
        <v>0.0</v>
      </c>
      <c r="AN76" s="1393">
        <v>0.0</v>
      </c>
      <c r="AO76" s="1393">
        <v>1.7522857534545176E7</v>
      </c>
      <c r="AP76" s="1393">
        <v>5.928311703493684E7</v>
      </c>
      <c r="AQ76" s="1393">
        <v>0.0</v>
      </c>
      <c r="AR76" s="1393">
        <v>0.0</v>
      </c>
      <c r="AS76" s="1393">
        <v>3.28963661270363E8</v>
      </c>
      <c r="AT76" s="1393">
        <v>0.0</v>
      </c>
      <c r="AU76" s="1393">
        <v>0.0</v>
      </c>
      <c r="AV76" s="1393">
        <v>0.0</v>
      </c>
      <c r="AW76" s="1393">
        <v>1.9255521267275758E7</v>
      </c>
      <c r="AX76" s="1393">
        <v>5.5094424642355666E7</v>
      </c>
      <c r="AY76" s="1393">
        <v>0.0</v>
      </c>
      <c r="AZ76" s="1393">
        <v>0.0</v>
      </c>
      <c r="BA76" s="1393">
        <v>3.059206869269856E8</v>
      </c>
      <c r="BB76" s="1393">
        <v>0.0</v>
      </c>
      <c r="BC76" s="1393">
        <v>0.0</v>
      </c>
      <c r="BD76" s="1393">
        <v>0.0</v>
      </c>
      <c r="BE76" s="1393">
        <v>1.7895008199113525E7</v>
      </c>
      <c r="BF76" s="1393">
        <v>5.450918556116735E7</v>
      </c>
      <c r="BG76" s="1393">
        <v>0.0</v>
      </c>
      <c r="BH76" s="1393">
        <v>0.0</v>
      </c>
      <c r="BI76" s="1393">
        <v>3.026996895332962E8</v>
      </c>
      <c r="BJ76" s="1393">
        <v>0.0</v>
      </c>
      <c r="BK76" s="1393">
        <v>0.0</v>
      </c>
      <c r="BL76" s="1393">
        <v>0.0</v>
      </c>
      <c r="BM76" s="1393">
        <v>1.770491894372533E7</v>
      </c>
      <c r="BN76" s="1393">
        <v>5.532566780807705E7</v>
      </c>
      <c r="BO76" s="1393">
        <v>0.0</v>
      </c>
      <c r="BP76" s="1393">
        <v>0.0</v>
      </c>
      <c r="BQ76" s="1393">
        <v>3.071705466651262E8</v>
      </c>
      <c r="BR76" s="1393">
        <v>0.0</v>
      </c>
      <c r="BS76" s="1393">
        <v>0.0</v>
      </c>
      <c r="BT76" s="1393">
        <v>0.0</v>
      </c>
      <c r="BU76" s="1393">
        <v>1.7970117402511794E7</v>
      </c>
      <c r="BV76" s="1393">
        <v>5.7869254519846596E7</v>
      </c>
      <c r="BW76" s="1393">
        <v>0.0</v>
      </c>
      <c r="BX76" s="1393">
        <v>0.0</v>
      </c>
      <c r="BY76" s="1393">
        <v>3.2115025528954154E8</v>
      </c>
      <c r="BZ76" s="1393">
        <v>0.0</v>
      </c>
      <c r="CA76" s="1393">
        <v>0.0</v>
      </c>
      <c r="CB76" s="1393">
        <v>0.0</v>
      </c>
      <c r="CC76" s="1393">
        <v>1.879629002084383E7</v>
      </c>
      <c r="CD76" s="1393">
        <v>5.8227829445957996E7</v>
      </c>
      <c r="CE76" s="1393">
        <v>0.0</v>
      </c>
      <c r="CF76" s="1393">
        <v>0.0</v>
      </c>
      <c r="CG76" s="1393">
        <v>3.2312039538690174E8</v>
      </c>
      <c r="CH76" s="1393">
        <v>0.0</v>
      </c>
      <c r="CI76" s="1393">
        <v>0.0</v>
      </c>
      <c r="CJ76" s="1393">
        <v>0.0</v>
      </c>
      <c r="CK76" s="1393">
        <v>1.8912757363672324E7</v>
      </c>
      <c r="CL76" s="1393">
        <v>5.632756932804162E7</v>
      </c>
      <c r="CM76" s="1393">
        <v>0.0</v>
      </c>
      <c r="CN76" s="1393">
        <v>0.0</v>
      </c>
      <c r="CO76" s="1393">
        <v>3.1265633022848827E8</v>
      </c>
      <c r="CP76" s="1393">
        <v>0.0</v>
      </c>
      <c r="CQ76" s="1393">
        <v>0.0</v>
      </c>
      <c r="CR76" s="1393">
        <v>0.0</v>
      </c>
      <c r="CS76" s="1393">
        <v>1.8295541182338085E7</v>
      </c>
      <c r="CT76" s="1393">
        <v>5.6202358217772536E7</v>
      </c>
      <c r="CU76" s="1393">
        <v>0.0</v>
      </c>
      <c r="CV76" s="1393">
        <v>0.0</v>
      </c>
      <c r="CW76" s="1393">
        <v>3.1196815455436736E8</v>
      </c>
      <c r="CX76" s="1393">
        <v>0.0</v>
      </c>
      <c r="CY76" s="1393">
        <v>0.0</v>
      </c>
      <c r="CZ76" s="1393">
        <v>0.0</v>
      </c>
      <c r="DA76" s="1393">
        <v>1.825487184311854E7</v>
      </c>
      <c r="DB76" s="1393">
        <v>5.5280519699008115E7</v>
      </c>
      <c r="DC76" s="1393">
        <v>0.0</v>
      </c>
      <c r="DD76" s="1393">
        <v>0.0</v>
      </c>
      <c r="DE76" s="1393">
        <v>3.0690033356927496E8</v>
      </c>
      <c r="DF76" s="1393">
        <v>0.0</v>
      </c>
      <c r="DG76" s="1393">
        <v>0.0</v>
      </c>
      <c r="DH76" s="1393">
        <v>0.0</v>
      </c>
      <c r="DI76" s="1393">
        <v>1.7955453018824913E7</v>
      </c>
      <c r="DJ76" s="1393">
        <v>5.614552365618269E7</v>
      </c>
      <c r="DK76" s="1393">
        <v>0.0</v>
      </c>
      <c r="DL76" s="1393">
        <v>0.0</v>
      </c>
      <c r="DM76" s="1393">
        <v>3.1165450179018885E8</v>
      </c>
      <c r="DN76" s="1393">
        <v>0.0</v>
      </c>
      <c r="DO76" s="1393">
        <v>0.0</v>
      </c>
      <c r="DP76" s="1393">
        <v>0.0</v>
      </c>
      <c r="DQ76" s="1393">
        <v>1.8236411627729315E7</v>
      </c>
      <c r="DR76" s="1379">
        <f t="shared" ref="DR76:DR83" si="32">SUM(Z76:DQ76)</f>
        <v>4615792501</v>
      </c>
    </row>
    <row r="77" hidden="1">
      <c r="A77" s="1401"/>
      <c r="B77" s="1394">
        <f t="shared" ref="B77:B87" si="33">B76+1</f>
        <v>2</v>
      </c>
      <c r="C77" s="1389" t="s">
        <v>679</v>
      </c>
      <c r="D77" s="185" t="s">
        <v>186</v>
      </c>
      <c r="E77" s="185" t="s">
        <v>672</v>
      </c>
      <c r="F77" s="185" t="s">
        <v>1896</v>
      </c>
      <c r="G77" s="185" t="s">
        <v>86</v>
      </c>
      <c r="H77" s="185" t="s">
        <v>86</v>
      </c>
      <c r="I77" s="185" t="s">
        <v>103</v>
      </c>
      <c r="J77" s="185" t="s">
        <v>1889</v>
      </c>
      <c r="K77" s="185" t="s">
        <v>188</v>
      </c>
      <c r="L77" s="1390">
        <v>9.2067557E7</v>
      </c>
      <c r="M77" s="1390">
        <v>9.2067557E7</v>
      </c>
      <c r="N77" s="1390">
        <v>9.2067557E7</v>
      </c>
      <c r="O77" s="1390">
        <v>9.2067557E7</v>
      </c>
      <c r="P77" s="1390">
        <v>9.2067557E7</v>
      </c>
      <c r="Q77" s="1390">
        <v>9.2067557E7</v>
      </c>
      <c r="R77" s="1390">
        <v>9.2067557E7</v>
      </c>
      <c r="S77" s="1390">
        <v>9.2067557E7</v>
      </c>
      <c r="T77" s="1390">
        <v>9.2067557E7</v>
      </c>
      <c r="U77" s="1390">
        <v>9.2067557E7</v>
      </c>
      <c r="V77" s="1390">
        <v>9.2067557E7</v>
      </c>
      <c r="W77" s="1390">
        <v>9.2067557E7</v>
      </c>
      <c r="X77" s="1391">
        <v>1.104810684E9</v>
      </c>
      <c r="Y77" s="1392">
        <f t="shared" si="3"/>
        <v>0</v>
      </c>
      <c r="Z77" s="1393">
        <v>1.137785125767597E7</v>
      </c>
      <c r="AA77" s="1393">
        <v>0.0</v>
      </c>
      <c r="AB77" s="1393">
        <v>0.0</v>
      </c>
      <c r="AC77" s="1393">
        <v>6.339761302309751E7</v>
      </c>
      <c r="AD77" s="1393">
        <v>0.0</v>
      </c>
      <c r="AE77" s="1393">
        <v>0.0</v>
      </c>
      <c r="AF77" s="1393">
        <v>0.0</v>
      </c>
      <c r="AG77" s="1393">
        <v>3695596.112784816</v>
      </c>
      <c r="AH77" s="1393">
        <v>1.1606867067003978E7</v>
      </c>
      <c r="AI77" s="1393">
        <v>0.0</v>
      </c>
      <c r="AJ77" s="1393">
        <v>0.0</v>
      </c>
      <c r="AK77" s="1393">
        <v>6.450974271627521E7</v>
      </c>
      <c r="AL77" s="1393">
        <v>0.0</v>
      </c>
      <c r="AM77" s="1393">
        <v>0.0</v>
      </c>
      <c r="AN77" s="1393">
        <v>0.0</v>
      </c>
      <c r="AO77" s="1393">
        <v>3769981.857118385</v>
      </c>
      <c r="AP77" s="1393">
        <v>1.2754556453736464E7</v>
      </c>
      <c r="AQ77" s="1393">
        <v>0.0</v>
      </c>
      <c r="AR77" s="1393">
        <v>0.0</v>
      </c>
      <c r="AS77" s="1393">
        <v>7.077538764414185E7</v>
      </c>
      <c r="AT77" s="1393">
        <v>0.0</v>
      </c>
      <c r="AU77" s="1393">
        <v>0.0</v>
      </c>
      <c r="AV77" s="1393">
        <v>0.0</v>
      </c>
      <c r="AW77" s="1393">
        <v>4142758.4333134326</v>
      </c>
      <c r="AX77" s="1393">
        <v>1.1853373853013419E7</v>
      </c>
      <c r="AY77" s="1393">
        <v>0.0</v>
      </c>
      <c r="AZ77" s="1393">
        <v>0.0</v>
      </c>
      <c r="BA77" s="1393">
        <v>6.581777185360569E7</v>
      </c>
      <c r="BB77" s="1393">
        <v>0.0</v>
      </c>
      <c r="BC77" s="1393">
        <v>0.0</v>
      </c>
      <c r="BD77" s="1393">
        <v>0.0</v>
      </c>
      <c r="BE77" s="1393">
        <v>3850048.778325232</v>
      </c>
      <c r="BF77" s="1393">
        <v>1.1727461700055096E7</v>
      </c>
      <c r="BG77" s="1393">
        <v>0.0</v>
      </c>
      <c r="BH77" s="1393">
        <v>0.0</v>
      </c>
      <c r="BI77" s="1393">
        <v>6.512478546641996E7</v>
      </c>
      <c r="BJ77" s="1393">
        <v>0.0</v>
      </c>
      <c r="BK77" s="1393">
        <v>0.0</v>
      </c>
      <c r="BL77" s="1393">
        <v>0.0</v>
      </c>
      <c r="BM77" s="1393">
        <v>3809151.7361257025</v>
      </c>
      <c r="BN77" s="1393">
        <v>1.1903125015895022E7</v>
      </c>
      <c r="BO77" s="1393">
        <v>0.0</v>
      </c>
      <c r="BP77" s="1393">
        <v>0.0</v>
      </c>
      <c r="BQ77" s="1393">
        <v>6.6086674829472676E7</v>
      </c>
      <c r="BR77" s="1393">
        <v>0.0</v>
      </c>
      <c r="BS77" s="1393">
        <v>0.0</v>
      </c>
      <c r="BT77" s="1393">
        <v>0.0</v>
      </c>
      <c r="BU77" s="1393">
        <v>3866208.262219674</v>
      </c>
      <c r="BV77" s="1393">
        <v>1.2450368850781767E7</v>
      </c>
      <c r="BW77" s="1393">
        <v>0.0</v>
      </c>
      <c r="BX77" s="1393">
        <v>0.0</v>
      </c>
      <c r="BY77" s="1393">
        <v>6.90943605210299E7</v>
      </c>
      <c r="BZ77" s="1393">
        <v>0.0</v>
      </c>
      <c r="CA77" s="1393">
        <v>0.0</v>
      </c>
      <c r="CB77" s="1393">
        <v>0.0</v>
      </c>
      <c r="CC77" s="1393">
        <v>4043956.427769696</v>
      </c>
      <c r="CD77" s="1393">
        <v>1.2527514999073647E7</v>
      </c>
      <c r="CE77" s="1393">
        <v>0.0</v>
      </c>
      <c r="CF77" s="1393">
        <v>0.0</v>
      </c>
      <c r="CG77" s="1393">
        <v>6.951822931117368E7</v>
      </c>
      <c r="CH77" s="1393">
        <v>0.0</v>
      </c>
      <c r="CI77" s="1393">
        <v>0.0</v>
      </c>
      <c r="CJ77" s="1393">
        <v>0.0</v>
      </c>
      <c r="CK77" s="1393">
        <v>4069013.9715261636</v>
      </c>
      <c r="CL77" s="1393">
        <v>1.2118680643476844E7</v>
      </c>
      <c r="CM77" s="1393">
        <v>0.0</v>
      </c>
      <c r="CN77" s="1393">
        <v>0.0</v>
      </c>
      <c r="CO77" s="1393">
        <v>6.726692208453262E7</v>
      </c>
      <c r="CP77" s="1393">
        <v>0.0</v>
      </c>
      <c r="CQ77" s="1393">
        <v>0.0</v>
      </c>
      <c r="CR77" s="1393">
        <v>0.0</v>
      </c>
      <c r="CS77" s="1393">
        <v>3936222.0566822137</v>
      </c>
      <c r="CT77" s="1393">
        <v>1.2091741908564826E7</v>
      </c>
      <c r="CU77" s="1393">
        <v>0.0</v>
      </c>
      <c r="CV77" s="1393">
        <v>0.0</v>
      </c>
      <c r="CW77" s="1393">
        <v>6.711886348160034E7</v>
      </c>
      <c r="CX77" s="1393">
        <v>0.0</v>
      </c>
      <c r="CY77" s="1393">
        <v>0.0</v>
      </c>
      <c r="CZ77" s="1393">
        <v>0.0</v>
      </c>
      <c r="DA77" s="1393">
        <v>3927472.1897899895</v>
      </c>
      <c r="DB77" s="1393">
        <v>1.189341155724608E7</v>
      </c>
      <c r="DC77" s="1393">
        <v>0.0</v>
      </c>
      <c r="DD77" s="1393">
        <v>0.0</v>
      </c>
      <c r="DE77" s="1393">
        <v>6.602853942165425E7</v>
      </c>
      <c r="DF77" s="1393">
        <v>0.0</v>
      </c>
      <c r="DG77" s="1393">
        <v>0.0</v>
      </c>
      <c r="DH77" s="1393">
        <v>0.0</v>
      </c>
      <c r="DI77" s="1393">
        <v>3863053.271069608</v>
      </c>
      <c r="DJ77" s="1393">
        <v>1.2079514150299456E7</v>
      </c>
      <c r="DK77" s="1393">
        <v>0.0</v>
      </c>
      <c r="DL77" s="1393">
        <v>0.0</v>
      </c>
      <c r="DM77" s="1393">
        <v>6.7051382180216886E7</v>
      </c>
      <c r="DN77" s="1393">
        <v>0.0</v>
      </c>
      <c r="DO77" s="1393">
        <v>0.0</v>
      </c>
      <c r="DP77" s="1393">
        <v>0.0</v>
      </c>
      <c r="DQ77" s="1393">
        <v>3923500.538650404</v>
      </c>
      <c r="DR77" s="1379">
        <f t="shared" si="32"/>
        <v>993071703.6</v>
      </c>
    </row>
    <row r="78" hidden="1">
      <c r="A78" s="1401"/>
      <c r="B78" s="1394">
        <f t="shared" si="33"/>
        <v>3</v>
      </c>
      <c r="C78" s="1389" t="s">
        <v>684</v>
      </c>
      <c r="D78" s="185" t="s">
        <v>186</v>
      </c>
      <c r="E78" s="185" t="s">
        <v>672</v>
      </c>
      <c r="F78" s="185" t="s">
        <v>1896</v>
      </c>
      <c r="G78" s="185" t="s">
        <v>203</v>
      </c>
      <c r="H78" s="185" t="s">
        <v>135</v>
      </c>
      <c r="I78" s="185" t="s">
        <v>135</v>
      </c>
      <c r="J78" s="185" t="s">
        <v>1889</v>
      </c>
      <c r="K78" s="185" t="s">
        <v>188</v>
      </c>
      <c r="L78" s="1390">
        <v>3.25671389E8</v>
      </c>
      <c r="M78" s="1390">
        <v>3.25671389E8</v>
      </c>
      <c r="N78" s="1390">
        <v>3.25671389E8</v>
      </c>
      <c r="O78" s="1390">
        <v>3.25671389E8</v>
      </c>
      <c r="P78" s="1390">
        <v>3.25671389E8</v>
      </c>
      <c r="Q78" s="1390">
        <v>3.25671389E8</v>
      </c>
      <c r="R78" s="1390">
        <v>3.25671389E8</v>
      </c>
      <c r="S78" s="1390">
        <v>3.25671389E8</v>
      </c>
      <c r="T78" s="1390">
        <v>3.25671389E8</v>
      </c>
      <c r="U78" s="1390">
        <v>3.25671389E8</v>
      </c>
      <c r="V78" s="1390">
        <v>3.25671389E8</v>
      </c>
      <c r="W78" s="1390">
        <v>3.25671389E8</v>
      </c>
      <c r="X78" s="1391">
        <v>3.908056668E9</v>
      </c>
      <c r="Y78" s="1392">
        <f t="shared" si="3"/>
        <v>0</v>
      </c>
      <c r="Z78" s="1393">
        <v>5539057.869030767</v>
      </c>
      <c r="AA78" s="1393">
        <v>0.0</v>
      </c>
      <c r="AB78" s="1393">
        <v>0.0</v>
      </c>
      <c r="AC78" s="1393">
        <v>2.3694833081964603E8</v>
      </c>
      <c r="AD78" s="1393">
        <v>0.0</v>
      </c>
      <c r="AE78" s="1393">
        <v>0.0</v>
      </c>
      <c r="AF78" s="1393">
        <v>0.0</v>
      </c>
      <c r="AG78" s="1393">
        <v>2.4467945769727003E7</v>
      </c>
      <c r="AH78" s="1393">
        <v>5473424.45537284</v>
      </c>
      <c r="AI78" s="1393">
        <v>0.0</v>
      </c>
      <c r="AJ78" s="1393">
        <v>0.0</v>
      </c>
      <c r="AK78" s="1393">
        <v>2.3409125606735858E8</v>
      </c>
      <c r="AL78" s="1393">
        <v>0.0</v>
      </c>
      <c r="AM78" s="1393">
        <v>0.0</v>
      </c>
      <c r="AN78" s="1393">
        <v>0.0</v>
      </c>
      <c r="AO78" s="1393">
        <v>2.41780201462662E7</v>
      </c>
      <c r="AP78" s="1393">
        <v>6868283.453513124</v>
      </c>
      <c r="AQ78" s="1393">
        <v>0.0</v>
      </c>
      <c r="AR78" s="1393">
        <v>0.0</v>
      </c>
      <c r="AS78" s="1393">
        <v>2.9336402377619106E8</v>
      </c>
      <c r="AT78" s="1393">
        <v>0.0</v>
      </c>
      <c r="AU78" s="1393">
        <v>0.0</v>
      </c>
      <c r="AV78" s="1393">
        <v>0.0</v>
      </c>
      <c r="AW78" s="1393">
        <v>3.0339597643719602E7</v>
      </c>
      <c r="AX78" s="1393">
        <v>5712461.291664837</v>
      </c>
      <c r="AY78" s="1393">
        <v>0.0</v>
      </c>
      <c r="AZ78" s="1393">
        <v>0.0</v>
      </c>
      <c r="BA78" s="1393">
        <v>2.442481263226424E8</v>
      </c>
      <c r="BB78" s="1393">
        <v>0.0</v>
      </c>
      <c r="BC78" s="1393">
        <v>0.0</v>
      </c>
      <c r="BD78" s="1393">
        <v>0.0</v>
      </c>
      <c r="BE78" s="1393">
        <v>2.5233929018433858E7</v>
      </c>
      <c r="BF78" s="1393">
        <v>5458485.443017833</v>
      </c>
      <c r="BG78" s="1393">
        <v>0.0</v>
      </c>
      <c r="BH78" s="1393">
        <v>0.0</v>
      </c>
      <c r="BI78" s="1393">
        <v>2.334297002924672E8</v>
      </c>
      <c r="BJ78" s="1393">
        <v>0.0</v>
      </c>
      <c r="BK78" s="1393">
        <v>0.0</v>
      </c>
      <c r="BL78" s="1393">
        <v>0.0</v>
      </c>
      <c r="BM78" s="1393">
        <v>2.4112029331077345E7</v>
      </c>
      <c r="BN78" s="1393">
        <v>5707287.755017805</v>
      </c>
      <c r="BO78" s="1393">
        <v>0.0</v>
      </c>
      <c r="BP78" s="1393">
        <v>0.0</v>
      </c>
      <c r="BQ78" s="1393">
        <v>2.4401213167190316E8</v>
      </c>
      <c r="BR78" s="1393">
        <v>0.0</v>
      </c>
      <c r="BS78" s="1393">
        <v>0.0</v>
      </c>
      <c r="BT78" s="1393">
        <v>0.0</v>
      </c>
      <c r="BU78" s="1393">
        <v>2.521107570707472E7</v>
      </c>
      <c r="BV78" s="1393">
        <v>5232546.084122928</v>
      </c>
      <c r="BW78" s="1393">
        <v>0.0</v>
      </c>
      <c r="BX78" s="1393">
        <v>0.0</v>
      </c>
      <c r="BY78" s="1393">
        <v>2.2355446569905227E8</v>
      </c>
      <c r="BZ78" s="1393">
        <v>0.0</v>
      </c>
      <c r="CA78" s="1393">
        <v>0.0</v>
      </c>
      <c r="CB78" s="1393">
        <v>0.0</v>
      </c>
      <c r="CC78" s="1393">
        <v>2.3113976573478192E7</v>
      </c>
      <c r="CD78" s="1393">
        <v>5118935.9685510695</v>
      </c>
      <c r="CE78" s="1393">
        <v>0.0</v>
      </c>
      <c r="CF78" s="1393">
        <v>0.0</v>
      </c>
      <c r="CG78" s="1393">
        <v>2.1868525777471146E8</v>
      </c>
      <c r="CH78" s="1393">
        <v>0.0</v>
      </c>
      <c r="CI78" s="1393">
        <v>0.0</v>
      </c>
      <c r="CJ78" s="1393">
        <v>0.0</v>
      </c>
      <c r="CK78" s="1393">
        <v>2.2612121165495053E7</v>
      </c>
      <c r="CL78" s="1393">
        <v>6200832.400676838</v>
      </c>
      <c r="CM78" s="1393">
        <v>0.0</v>
      </c>
      <c r="CN78" s="1393">
        <v>0.0</v>
      </c>
      <c r="CO78" s="1393">
        <v>2.650283989282966E8</v>
      </c>
      <c r="CP78" s="1393">
        <v>0.0</v>
      </c>
      <c r="CQ78" s="1393">
        <v>0.0</v>
      </c>
      <c r="CR78" s="1393">
        <v>0.0</v>
      </c>
      <c r="CS78" s="1393">
        <v>2.7391234122180328E7</v>
      </c>
      <c r="CT78" s="1393">
        <v>6268787.289989929</v>
      </c>
      <c r="CU78" s="1393">
        <v>0.0</v>
      </c>
      <c r="CV78" s="1393">
        <v>0.0</v>
      </c>
      <c r="CW78" s="1393">
        <v>2.6794589183128396E8</v>
      </c>
      <c r="CX78" s="1393">
        <v>0.0</v>
      </c>
      <c r="CY78" s="1393">
        <v>0.0</v>
      </c>
      <c r="CZ78" s="1393">
        <v>0.0</v>
      </c>
      <c r="DA78" s="1393">
        <v>2.7691414511303324E7</v>
      </c>
      <c r="DB78" s="1393">
        <v>5871245.203612029</v>
      </c>
      <c r="DC78" s="1393">
        <v>0.0</v>
      </c>
      <c r="DD78" s="1393">
        <v>0.0</v>
      </c>
      <c r="DE78" s="1393">
        <v>2.5101807846412617E8</v>
      </c>
      <c r="DF78" s="1393">
        <v>0.0</v>
      </c>
      <c r="DG78" s="1393">
        <v>0.0</v>
      </c>
      <c r="DH78" s="1393">
        <v>0.0</v>
      </c>
      <c r="DI78" s="1393">
        <v>2.5935332801981766E7</v>
      </c>
      <c r="DJ78" s="1393">
        <v>5799404.03173317</v>
      </c>
      <c r="DK78" s="1393">
        <v>0.0</v>
      </c>
      <c r="DL78" s="1393">
        <v>0.0</v>
      </c>
      <c r="DM78" s="1393">
        <v>2.4788721268983042E8</v>
      </c>
      <c r="DN78" s="1393">
        <v>0.0</v>
      </c>
      <c r="DO78" s="1393">
        <v>0.0</v>
      </c>
      <c r="DP78" s="1393">
        <v>0.0</v>
      </c>
      <c r="DQ78" s="1393">
        <v>2.561798535064107E7</v>
      </c>
      <c r="DR78" s="1379">
        <f t="shared" si="32"/>
        <v>3335368288</v>
      </c>
    </row>
    <row r="79" hidden="1">
      <c r="A79" s="1401"/>
      <c r="B79" s="1394">
        <f t="shared" si="33"/>
        <v>4</v>
      </c>
      <c r="C79" s="1389" t="s">
        <v>688</v>
      </c>
      <c r="D79" s="185" t="s">
        <v>186</v>
      </c>
      <c r="E79" s="185" t="s">
        <v>672</v>
      </c>
      <c r="F79" s="185" t="s">
        <v>1896</v>
      </c>
      <c r="G79" s="185" t="s">
        <v>203</v>
      </c>
      <c r="H79" s="185" t="s">
        <v>135</v>
      </c>
      <c r="I79" s="185" t="s">
        <v>135</v>
      </c>
      <c r="J79" s="185" t="s">
        <v>1889</v>
      </c>
      <c r="K79" s="185" t="s">
        <v>188</v>
      </c>
      <c r="L79" s="1390">
        <v>2.8811931E7</v>
      </c>
      <c r="M79" s="1390">
        <v>2.8811931E7</v>
      </c>
      <c r="N79" s="1390">
        <v>2.8811931E7</v>
      </c>
      <c r="O79" s="1390">
        <v>2.8811931E7</v>
      </c>
      <c r="P79" s="1390">
        <v>2.8811931E7</v>
      </c>
      <c r="Q79" s="1390">
        <v>2.8811931E7</v>
      </c>
      <c r="R79" s="1390">
        <v>2.8811931E7</v>
      </c>
      <c r="S79" s="1390">
        <v>2.8811931E7</v>
      </c>
      <c r="T79" s="1390">
        <v>2.8811931E7</v>
      </c>
      <c r="U79" s="1390">
        <v>2.8811931E7</v>
      </c>
      <c r="V79" s="1390">
        <v>2.8811931E7</v>
      </c>
      <c r="W79" s="1390">
        <v>2.8811931E7</v>
      </c>
      <c r="X79" s="1391">
        <v>3.45743172E8</v>
      </c>
      <c r="Y79" s="1392">
        <f t="shared" si="3"/>
        <v>0</v>
      </c>
      <c r="Z79" s="1393">
        <v>490036.76257087936</v>
      </c>
      <c r="AA79" s="1393">
        <v>0.0</v>
      </c>
      <c r="AB79" s="1393">
        <v>0.0</v>
      </c>
      <c r="AC79" s="1393">
        <v>2.09626611017427E7</v>
      </c>
      <c r="AD79" s="1393">
        <v>0.0</v>
      </c>
      <c r="AE79" s="1393">
        <v>0.0</v>
      </c>
      <c r="AF79" s="1393">
        <v>0.0</v>
      </c>
      <c r="AG79" s="1393">
        <v>2164662.8750341847</v>
      </c>
      <c r="AH79" s="1393">
        <v>484230.2181537809</v>
      </c>
      <c r="AI79" s="1393">
        <v>0.0</v>
      </c>
      <c r="AJ79" s="1393">
        <v>0.0</v>
      </c>
      <c r="AK79" s="1393">
        <v>2.0709897600234285E7</v>
      </c>
      <c r="AL79" s="1393">
        <v>0.0</v>
      </c>
      <c r="AM79" s="1393">
        <v>0.0</v>
      </c>
      <c r="AN79" s="1393">
        <v>0.0</v>
      </c>
      <c r="AO79" s="1393">
        <v>2139013.348117085</v>
      </c>
      <c r="AP79" s="1393">
        <v>607632.4652242075</v>
      </c>
      <c r="AQ79" s="1393">
        <v>0.0</v>
      </c>
      <c r="AR79" s="1393">
        <v>0.0</v>
      </c>
      <c r="AS79" s="1393">
        <v>2.5953719904212944E7</v>
      </c>
      <c r="AT79" s="1393">
        <v>0.0</v>
      </c>
      <c r="AU79" s="1393">
        <v>0.0</v>
      </c>
      <c r="AV79" s="1393">
        <v>0.0</v>
      </c>
      <c r="AW79" s="1393">
        <v>2684124.0078311325</v>
      </c>
      <c r="AX79" s="1393">
        <v>505377.6479444381</v>
      </c>
      <c r="AY79" s="1393">
        <v>0.0</v>
      </c>
      <c r="AZ79" s="1393">
        <v>0.0</v>
      </c>
      <c r="BA79" s="1393">
        <v>2.160846915074648E7</v>
      </c>
      <c r="BB79" s="1393">
        <v>0.0</v>
      </c>
      <c r="BC79" s="1393">
        <v>0.0</v>
      </c>
      <c r="BD79" s="1393">
        <v>0.0</v>
      </c>
      <c r="BE79" s="1393">
        <v>2232428.903166603</v>
      </c>
      <c r="BF79" s="1393">
        <v>482908.5736749636</v>
      </c>
      <c r="BG79" s="1393">
        <v>0.0</v>
      </c>
      <c r="BH79" s="1393">
        <v>0.0</v>
      </c>
      <c r="BI79" s="1393">
        <v>2.065137020119764E7</v>
      </c>
      <c r="BJ79" s="1393">
        <v>0.0</v>
      </c>
      <c r="BK79" s="1393">
        <v>0.0</v>
      </c>
      <c r="BL79" s="1393">
        <v>0.0</v>
      </c>
      <c r="BM79" s="1393">
        <v>2133175.184624451</v>
      </c>
      <c r="BN79" s="1393">
        <v>504919.9486010663</v>
      </c>
      <c r="BO79" s="1393">
        <v>0.0</v>
      </c>
      <c r="BP79" s="1393">
        <v>0.0</v>
      </c>
      <c r="BQ79" s="1393">
        <v>2.158759086108663E7</v>
      </c>
      <c r="BR79" s="1393">
        <v>0.0</v>
      </c>
      <c r="BS79" s="1393">
        <v>0.0</v>
      </c>
      <c r="BT79" s="1393">
        <v>0.0</v>
      </c>
      <c r="BU79" s="1393">
        <v>2230407.0859230836</v>
      </c>
      <c r="BV79" s="1393">
        <v>462919.8689912241</v>
      </c>
      <c r="BW79" s="1393">
        <v>0.0</v>
      </c>
      <c r="BX79" s="1393">
        <v>0.0</v>
      </c>
      <c r="BY79" s="1393">
        <v>1.9777714770218764E7</v>
      </c>
      <c r="BZ79" s="1393">
        <v>0.0</v>
      </c>
      <c r="CA79" s="1393">
        <v>0.0</v>
      </c>
      <c r="CB79" s="1393">
        <v>0.0</v>
      </c>
      <c r="CC79" s="1393">
        <v>2044878.1215185905</v>
      </c>
      <c r="CD79" s="1393">
        <v>452868.85769173776</v>
      </c>
      <c r="CE79" s="1393">
        <v>0.0</v>
      </c>
      <c r="CF79" s="1393">
        <v>0.0</v>
      </c>
      <c r="CG79" s="1393">
        <v>1.9346939186365556E7</v>
      </c>
      <c r="CH79" s="1393">
        <v>0.0</v>
      </c>
      <c r="CI79" s="1393">
        <v>0.0</v>
      </c>
      <c r="CJ79" s="1393">
        <v>0.0</v>
      </c>
      <c r="CK79" s="1393">
        <v>2000479.3076369478</v>
      </c>
      <c r="CL79" s="1393">
        <v>548583.5148719971</v>
      </c>
      <c r="CM79" s="1393">
        <v>0.0</v>
      </c>
      <c r="CN79" s="1393">
        <v>0.0</v>
      </c>
      <c r="CO79" s="1393">
        <v>2.3446886035673697E7</v>
      </c>
      <c r="CP79" s="1393">
        <v>0.0</v>
      </c>
      <c r="CQ79" s="1393">
        <v>0.0</v>
      </c>
      <c r="CR79" s="1393">
        <v>0.0</v>
      </c>
      <c r="CS79" s="1393">
        <v>2423284.2496738485</v>
      </c>
      <c r="CT79" s="1393">
        <v>554595.4386950056</v>
      </c>
      <c r="CU79" s="1393">
        <v>0.0</v>
      </c>
      <c r="CV79" s="1393">
        <v>0.0</v>
      </c>
      <c r="CW79" s="1393">
        <v>2.3704994690756876E7</v>
      </c>
      <c r="CX79" s="1393">
        <v>0.0</v>
      </c>
      <c r="CY79" s="1393">
        <v>0.0</v>
      </c>
      <c r="CZ79" s="1393">
        <v>0.0</v>
      </c>
      <c r="DA79" s="1393">
        <v>2449841.0088829454</v>
      </c>
      <c r="DB79" s="1393">
        <v>519425.15493908094</v>
      </c>
      <c r="DC79" s="1393">
        <v>0.0</v>
      </c>
      <c r="DD79" s="1393">
        <v>0.0</v>
      </c>
      <c r="DE79" s="1393">
        <v>2.2207402310250193E7</v>
      </c>
      <c r="DF79" s="1393">
        <v>0.0</v>
      </c>
      <c r="DG79" s="1393">
        <v>0.0</v>
      </c>
      <c r="DH79" s="1393">
        <v>0.0</v>
      </c>
      <c r="DI79" s="1393">
        <v>2294481.629004061</v>
      </c>
      <c r="DJ79" s="1393">
        <v>513069.41428440285</v>
      </c>
      <c r="DK79" s="1393">
        <v>0.0</v>
      </c>
      <c r="DL79" s="1393">
        <v>0.0</v>
      </c>
      <c r="DM79" s="1393">
        <v>2.1930416699275102E7</v>
      </c>
      <c r="DN79" s="1393">
        <v>0.0</v>
      </c>
      <c r="DO79" s="1393">
        <v>0.0</v>
      </c>
      <c r="DP79" s="1393">
        <v>0.0</v>
      </c>
      <c r="DQ79" s="1393">
        <v>2266406.111227908</v>
      </c>
      <c r="DR79" s="1379">
        <f t="shared" si="32"/>
        <v>295077812.2</v>
      </c>
    </row>
    <row r="80" hidden="1">
      <c r="A80" s="1401"/>
      <c r="B80" s="1394">
        <f t="shared" si="33"/>
        <v>5</v>
      </c>
      <c r="C80" s="1389" t="s">
        <v>1775</v>
      </c>
      <c r="D80" s="185" t="s">
        <v>186</v>
      </c>
      <c r="E80" s="185" t="s">
        <v>672</v>
      </c>
      <c r="F80" s="185" t="s">
        <v>1896</v>
      </c>
      <c r="G80" s="185" t="s">
        <v>218</v>
      </c>
      <c r="H80" s="185" t="s">
        <v>88</v>
      </c>
      <c r="I80" s="185" t="s">
        <v>88</v>
      </c>
      <c r="J80" s="185" t="s">
        <v>1889</v>
      </c>
      <c r="K80" s="185" t="s">
        <v>188</v>
      </c>
      <c r="L80" s="1390">
        <v>8.76106996E8</v>
      </c>
      <c r="M80" s="1390">
        <v>8.76106996E8</v>
      </c>
      <c r="N80" s="1390">
        <v>8.76106996E8</v>
      </c>
      <c r="O80" s="1390">
        <v>8.76106996E8</v>
      </c>
      <c r="P80" s="1390">
        <v>8.76106996E8</v>
      </c>
      <c r="Q80" s="1390">
        <v>8.76106996E8</v>
      </c>
      <c r="R80" s="1390">
        <v>8.76106996E8</v>
      </c>
      <c r="S80" s="1390">
        <v>8.76106996E8</v>
      </c>
      <c r="T80" s="1390">
        <v>8.76106996E8</v>
      </c>
      <c r="U80" s="1390">
        <v>8.76106996E8</v>
      </c>
      <c r="V80" s="1390">
        <v>8.76106996E8</v>
      </c>
      <c r="W80" s="1390">
        <v>8.76106996E8</v>
      </c>
      <c r="X80" s="1391">
        <v>1.0513283952E10</v>
      </c>
      <c r="Y80" s="1392">
        <f t="shared" si="3"/>
        <v>0</v>
      </c>
      <c r="Z80" s="1393">
        <v>1.576294090404415E7</v>
      </c>
      <c r="AA80" s="1393">
        <v>0.0</v>
      </c>
      <c r="AB80" s="1393">
        <v>0.0</v>
      </c>
      <c r="AC80" s="1393">
        <v>6.909247851025016E8</v>
      </c>
      <c r="AD80" s="1393">
        <v>0.0</v>
      </c>
      <c r="AE80" s="1393">
        <v>0.0</v>
      </c>
      <c r="AF80" s="1393">
        <v>0.0</v>
      </c>
      <c r="AG80" s="1393">
        <v>1.0594892120081419E8</v>
      </c>
      <c r="AH80" s="1393">
        <v>1.576294090404415E7</v>
      </c>
      <c r="AI80" s="1393">
        <v>0.0</v>
      </c>
      <c r="AJ80" s="1393">
        <v>0.0</v>
      </c>
      <c r="AK80" s="1393">
        <v>6.909247851025016E8</v>
      </c>
      <c r="AL80" s="1393">
        <v>0.0</v>
      </c>
      <c r="AM80" s="1393">
        <v>0.0</v>
      </c>
      <c r="AN80" s="1393">
        <v>0.0</v>
      </c>
      <c r="AO80" s="1393">
        <v>1.0594892120081419E8</v>
      </c>
      <c r="AP80" s="1393">
        <v>1.576294090404415E7</v>
      </c>
      <c r="AQ80" s="1393">
        <v>0.0</v>
      </c>
      <c r="AR80" s="1393">
        <v>0.0</v>
      </c>
      <c r="AS80" s="1393">
        <v>6.909247851025016E8</v>
      </c>
      <c r="AT80" s="1393">
        <v>0.0</v>
      </c>
      <c r="AU80" s="1393">
        <v>0.0</v>
      </c>
      <c r="AV80" s="1393">
        <v>0.0</v>
      </c>
      <c r="AW80" s="1393">
        <v>1.0594892120081419E8</v>
      </c>
      <c r="AX80" s="1393">
        <v>1.576294090404415E7</v>
      </c>
      <c r="AY80" s="1393">
        <v>0.0</v>
      </c>
      <c r="AZ80" s="1393">
        <v>0.0</v>
      </c>
      <c r="BA80" s="1393">
        <v>6.909247851025016E8</v>
      </c>
      <c r="BB80" s="1393">
        <v>0.0</v>
      </c>
      <c r="BC80" s="1393">
        <v>0.0</v>
      </c>
      <c r="BD80" s="1393">
        <v>0.0</v>
      </c>
      <c r="BE80" s="1393">
        <v>1.0594892120081419E8</v>
      </c>
      <c r="BF80" s="1393">
        <v>1.576294090404415E7</v>
      </c>
      <c r="BG80" s="1393">
        <v>0.0</v>
      </c>
      <c r="BH80" s="1393">
        <v>0.0</v>
      </c>
      <c r="BI80" s="1393">
        <v>6.909247851025016E8</v>
      </c>
      <c r="BJ80" s="1393">
        <v>0.0</v>
      </c>
      <c r="BK80" s="1393">
        <v>0.0</v>
      </c>
      <c r="BL80" s="1393">
        <v>0.0</v>
      </c>
      <c r="BM80" s="1393">
        <v>1.0594892120081419E8</v>
      </c>
      <c r="BN80" s="1393">
        <v>1.576294090404415E7</v>
      </c>
      <c r="BO80" s="1393">
        <v>0.0</v>
      </c>
      <c r="BP80" s="1393">
        <v>0.0</v>
      </c>
      <c r="BQ80" s="1393">
        <v>6.909247851025016E8</v>
      </c>
      <c r="BR80" s="1393">
        <v>0.0</v>
      </c>
      <c r="BS80" s="1393">
        <v>0.0</v>
      </c>
      <c r="BT80" s="1393">
        <v>0.0</v>
      </c>
      <c r="BU80" s="1393">
        <v>1.0594892120081419E8</v>
      </c>
      <c r="BV80" s="1393">
        <v>1.576294090404415E7</v>
      </c>
      <c r="BW80" s="1393">
        <v>0.0</v>
      </c>
      <c r="BX80" s="1393">
        <v>0.0</v>
      </c>
      <c r="BY80" s="1393">
        <v>6.909247851025016E8</v>
      </c>
      <c r="BZ80" s="1393">
        <v>0.0</v>
      </c>
      <c r="CA80" s="1393">
        <v>0.0</v>
      </c>
      <c r="CB80" s="1393">
        <v>0.0</v>
      </c>
      <c r="CC80" s="1393">
        <v>1.0594892120081419E8</v>
      </c>
      <c r="CD80" s="1393">
        <v>1.576294090404415E7</v>
      </c>
      <c r="CE80" s="1393">
        <v>0.0</v>
      </c>
      <c r="CF80" s="1393">
        <v>0.0</v>
      </c>
      <c r="CG80" s="1393">
        <v>6.909247851025016E8</v>
      </c>
      <c r="CH80" s="1393">
        <v>0.0</v>
      </c>
      <c r="CI80" s="1393">
        <v>0.0</v>
      </c>
      <c r="CJ80" s="1393">
        <v>0.0</v>
      </c>
      <c r="CK80" s="1393">
        <v>1.0594892120081419E8</v>
      </c>
      <c r="CL80" s="1393">
        <v>1.576294090404415E7</v>
      </c>
      <c r="CM80" s="1393">
        <v>0.0</v>
      </c>
      <c r="CN80" s="1393">
        <v>0.0</v>
      </c>
      <c r="CO80" s="1393">
        <v>6.909247851025016E8</v>
      </c>
      <c r="CP80" s="1393">
        <v>0.0</v>
      </c>
      <c r="CQ80" s="1393">
        <v>0.0</v>
      </c>
      <c r="CR80" s="1393">
        <v>0.0</v>
      </c>
      <c r="CS80" s="1393">
        <v>1.0594892120081419E8</v>
      </c>
      <c r="CT80" s="1393">
        <v>1.576294090404415E7</v>
      </c>
      <c r="CU80" s="1393">
        <v>0.0</v>
      </c>
      <c r="CV80" s="1393">
        <v>0.0</v>
      </c>
      <c r="CW80" s="1393">
        <v>6.909247851025016E8</v>
      </c>
      <c r="CX80" s="1393">
        <v>0.0</v>
      </c>
      <c r="CY80" s="1393">
        <v>0.0</v>
      </c>
      <c r="CZ80" s="1393">
        <v>0.0</v>
      </c>
      <c r="DA80" s="1393">
        <v>1.0594892120081419E8</v>
      </c>
      <c r="DB80" s="1393">
        <v>1.576294090404415E7</v>
      </c>
      <c r="DC80" s="1393">
        <v>0.0</v>
      </c>
      <c r="DD80" s="1393">
        <v>0.0</v>
      </c>
      <c r="DE80" s="1393">
        <v>6.909247851025016E8</v>
      </c>
      <c r="DF80" s="1393">
        <v>0.0</v>
      </c>
      <c r="DG80" s="1393">
        <v>0.0</v>
      </c>
      <c r="DH80" s="1393">
        <v>0.0</v>
      </c>
      <c r="DI80" s="1393">
        <v>1.0594892120081419E8</v>
      </c>
      <c r="DJ80" s="1393">
        <v>1.576294090404415E7</v>
      </c>
      <c r="DK80" s="1393">
        <v>0.0</v>
      </c>
      <c r="DL80" s="1393">
        <v>0.0</v>
      </c>
      <c r="DM80" s="1393">
        <v>6.909247851025016E8</v>
      </c>
      <c r="DN80" s="1393">
        <v>0.0</v>
      </c>
      <c r="DO80" s="1393">
        <v>0.0</v>
      </c>
      <c r="DP80" s="1393">
        <v>0.0</v>
      </c>
      <c r="DQ80" s="1393">
        <v>1.0594892120081419E8</v>
      </c>
      <c r="DR80" s="1379">
        <f t="shared" si="32"/>
        <v>9751639766</v>
      </c>
    </row>
    <row r="81" hidden="1">
      <c r="A81" s="1401"/>
      <c r="B81" s="1394">
        <f t="shared" si="33"/>
        <v>6</v>
      </c>
      <c r="C81" s="1389" t="s">
        <v>1776</v>
      </c>
      <c r="D81" s="185" t="s">
        <v>186</v>
      </c>
      <c r="E81" s="185" t="s">
        <v>672</v>
      </c>
      <c r="F81" s="185" t="s">
        <v>1896</v>
      </c>
      <c r="G81" s="185" t="s">
        <v>306</v>
      </c>
      <c r="H81" s="185" t="s">
        <v>92</v>
      </c>
      <c r="I81" s="185" t="s">
        <v>305</v>
      </c>
      <c r="J81" s="185" t="s">
        <v>1889</v>
      </c>
      <c r="K81" s="185" t="s">
        <v>188</v>
      </c>
      <c r="L81" s="1390">
        <v>1.230415181683333E8</v>
      </c>
      <c r="M81" s="1390">
        <v>1.230415181683333E8</v>
      </c>
      <c r="N81" s="1390">
        <v>1.230415181683333E8</v>
      </c>
      <c r="O81" s="1390">
        <v>1.230415181683333E8</v>
      </c>
      <c r="P81" s="1390">
        <v>1.230415181683333E8</v>
      </c>
      <c r="Q81" s="1390">
        <v>1.230415181683333E8</v>
      </c>
      <c r="R81" s="1390">
        <v>1.230415181683333E8</v>
      </c>
      <c r="S81" s="1390">
        <v>1.230415181683333E8</v>
      </c>
      <c r="T81" s="1390">
        <v>1.230415181683333E8</v>
      </c>
      <c r="U81" s="1390">
        <v>1.230415181683333E8</v>
      </c>
      <c r="V81" s="1390">
        <v>1.230415181683333E8</v>
      </c>
      <c r="W81" s="1390">
        <v>1.230415181683333E8</v>
      </c>
      <c r="X81" s="1391">
        <v>1.4764982180199997E9</v>
      </c>
      <c r="Y81" s="1392">
        <f t="shared" si="3"/>
        <v>0</v>
      </c>
      <c r="Z81" s="1393">
        <v>7.787748025474145E7</v>
      </c>
      <c r="AA81" s="1393">
        <v>0.0</v>
      </c>
      <c r="AB81" s="1393">
        <v>0.0</v>
      </c>
      <c r="AC81" s="1393">
        <v>1.7188871596915152E7</v>
      </c>
      <c r="AD81" s="1393">
        <v>0.0</v>
      </c>
      <c r="AE81" s="1393">
        <v>0.0</v>
      </c>
      <c r="AF81" s="1393">
        <v>0.0</v>
      </c>
      <c r="AG81" s="1393">
        <v>5708232.39706957</v>
      </c>
      <c r="AH81" s="1393">
        <v>7.706519521161231E7</v>
      </c>
      <c r="AI81" s="1393">
        <v>0.0</v>
      </c>
      <c r="AJ81" s="1393">
        <v>0.0</v>
      </c>
      <c r="AK81" s="1393">
        <v>1.7043254083419777E7</v>
      </c>
      <c r="AL81" s="1393">
        <v>0.0</v>
      </c>
      <c r="AM81" s="1393">
        <v>0.0</v>
      </c>
      <c r="AN81" s="1393">
        <v>0.0</v>
      </c>
      <c r="AO81" s="1393">
        <v>5642245.813661919</v>
      </c>
      <c r="AP81" s="1393">
        <v>8.77519296469828E7</v>
      </c>
      <c r="AQ81" s="1393">
        <v>0.0</v>
      </c>
      <c r="AR81" s="1393">
        <v>0.0</v>
      </c>
      <c r="AS81" s="1393">
        <v>1.89590540960228E7</v>
      </c>
      <c r="AT81" s="1393">
        <v>0.0</v>
      </c>
      <c r="AU81" s="1393">
        <v>0.0</v>
      </c>
      <c r="AV81" s="1393">
        <v>0.0</v>
      </c>
      <c r="AW81" s="1393">
        <v>6510390.68366774</v>
      </c>
      <c r="AX81" s="1393">
        <v>7.869130196022055E7</v>
      </c>
      <c r="AY81" s="1393">
        <v>0.0</v>
      </c>
      <c r="AZ81" s="1393">
        <v>0.0</v>
      </c>
      <c r="BA81" s="1393">
        <v>1.733476458630704E7</v>
      </c>
      <c r="BB81" s="1393">
        <v>0.0</v>
      </c>
      <c r="BC81" s="1393">
        <v>0.0</v>
      </c>
      <c r="BD81" s="1393">
        <v>0.0</v>
      </c>
      <c r="BE81" s="1393">
        <v>5774343.8123932835</v>
      </c>
      <c r="BF81" s="1393">
        <v>7.756722843345027E7</v>
      </c>
      <c r="BG81" s="1393">
        <v>0.0</v>
      </c>
      <c r="BH81" s="1393">
        <v>0.0</v>
      </c>
      <c r="BI81" s="1393">
        <v>1.7100513585814793E7</v>
      </c>
      <c r="BJ81" s="1393">
        <v>0.0</v>
      </c>
      <c r="BK81" s="1393">
        <v>0.0</v>
      </c>
      <c r="BL81" s="1393">
        <v>0.0</v>
      </c>
      <c r="BM81" s="1393">
        <v>5689299.166707675</v>
      </c>
      <c r="BN81" s="1393">
        <v>8.736128905534425E7</v>
      </c>
      <c r="BO81" s="1393">
        <v>0.0</v>
      </c>
      <c r="BP81" s="1393">
        <v>0.0</v>
      </c>
      <c r="BQ81" s="1393">
        <v>1.3409313346192596E7</v>
      </c>
      <c r="BR81" s="1393">
        <v>0.0</v>
      </c>
      <c r="BS81" s="1393">
        <v>0.0</v>
      </c>
      <c r="BT81" s="1393">
        <v>0.0</v>
      </c>
      <c r="BU81" s="1393">
        <v>4491299.770182708</v>
      </c>
      <c r="BV81" s="1393">
        <v>8.486336408227375E7</v>
      </c>
      <c r="BW81" s="1393">
        <v>0.0</v>
      </c>
      <c r="BX81" s="1393">
        <v>0.0</v>
      </c>
      <c r="BY81" s="1393">
        <v>1.840514143707821E7</v>
      </c>
      <c r="BZ81" s="1393">
        <v>0.0</v>
      </c>
      <c r="CA81" s="1393">
        <v>0.0</v>
      </c>
      <c r="CB81" s="1393">
        <v>0.0</v>
      </c>
      <c r="CC81" s="1393">
        <v>6282646.455826806</v>
      </c>
      <c r="CD81" s="1393">
        <v>8.568960325119814E7</v>
      </c>
      <c r="CE81" s="1393">
        <v>0.0</v>
      </c>
      <c r="CF81" s="1393">
        <v>0.0</v>
      </c>
      <c r="CG81" s="1393">
        <v>1.8539777206952345E7</v>
      </c>
      <c r="CH81" s="1393">
        <v>0.0</v>
      </c>
      <c r="CI81" s="1393">
        <v>0.0</v>
      </c>
      <c r="CJ81" s="1393">
        <v>0.0</v>
      </c>
      <c r="CK81" s="1393">
        <v>6352348.9495721515</v>
      </c>
      <c r="CL81" s="1393">
        <v>8.153128114942925E7</v>
      </c>
      <c r="CM81" s="1393">
        <v>0.0</v>
      </c>
      <c r="CN81" s="1393">
        <v>0.0</v>
      </c>
      <c r="CO81" s="1393">
        <v>1.7780806373193022E7</v>
      </c>
      <c r="CP81" s="1393">
        <v>0.0</v>
      </c>
      <c r="CQ81" s="1393">
        <v>0.0</v>
      </c>
      <c r="CR81" s="1393">
        <v>0.0</v>
      </c>
      <c r="CS81" s="1393">
        <v>6017132.503798624</v>
      </c>
      <c r="CT81" s="1393">
        <v>8.125752199929327E7</v>
      </c>
      <c r="CU81" s="1393">
        <v>0.0</v>
      </c>
      <c r="CV81" s="1393">
        <v>0.0</v>
      </c>
      <c r="CW81" s="1393">
        <v>1.7731729848792378E7</v>
      </c>
      <c r="CX81" s="1393">
        <v>0.0</v>
      </c>
      <c r="CY81" s="1393">
        <v>0.0</v>
      </c>
      <c r="CZ81" s="1393">
        <v>0.0</v>
      </c>
      <c r="DA81" s="1393">
        <v>5994893.474350931</v>
      </c>
      <c r="DB81" s="1393">
        <v>7.923636800428943E7</v>
      </c>
      <c r="DC81" s="1393">
        <v>0.0</v>
      </c>
      <c r="DD81" s="1393">
        <v>0.0</v>
      </c>
      <c r="DE81" s="1393">
        <v>1.7369399627851807E7</v>
      </c>
      <c r="DF81" s="1393">
        <v>0.0</v>
      </c>
      <c r="DG81" s="1393">
        <v>0.0</v>
      </c>
      <c r="DH81" s="1393">
        <v>0.0</v>
      </c>
      <c r="DI81" s="1393">
        <v>5830703.516898001</v>
      </c>
      <c r="DJ81" s="1393">
        <v>8.87254564173339E7</v>
      </c>
      <c r="DK81" s="1393">
        <v>0.0</v>
      </c>
      <c r="DL81" s="1393">
        <v>0.0</v>
      </c>
      <c r="DM81" s="1393">
        <v>1.3668567229328627E7</v>
      </c>
      <c r="DN81" s="1393">
        <v>0.0</v>
      </c>
      <c r="DO81" s="1393">
        <v>0.0</v>
      </c>
      <c r="DP81" s="1393">
        <v>0.0</v>
      </c>
      <c r="DQ81" s="1393">
        <v>4619129.029983158</v>
      </c>
      <c r="DR81" s="1379">
        <f t="shared" si="32"/>
        <v>1261061878</v>
      </c>
    </row>
    <row r="82" hidden="1">
      <c r="A82" s="1401"/>
      <c r="B82" s="1394">
        <f t="shared" si="33"/>
        <v>7</v>
      </c>
      <c r="C82" s="1389" t="s">
        <v>1897</v>
      </c>
      <c r="D82" s="185" t="s">
        <v>186</v>
      </c>
      <c r="E82" s="185" t="s">
        <v>672</v>
      </c>
      <c r="F82" s="185" t="s">
        <v>1896</v>
      </c>
      <c r="G82" s="185" t="s">
        <v>306</v>
      </c>
      <c r="H82" s="185" t="s">
        <v>92</v>
      </c>
      <c r="I82" s="185" t="s">
        <v>305</v>
      </c>
      <c r="J82" s="185" t="s">
        <v>1889</v>
      </c>
      <c r="K82" s="185" t="s">
        <v>188</v>
      </c>
      <c r="L82" s="1390">
        <v>1.53786071E8</v>
      </c>
      <c r="M82" s="1390">
        <v>1.53786071E8</v>
      </c>
      <c r="N82" s="1390">
        <v>1.53786071E8</v>
      </c>
      <c r="O82" s="1390">
        <v>1.53786071E8</v>
      </c>
      <c r="P82" s="1390">
        <v>1.53786071E8</v>
      </c>
      <c r="Q82" s="1390">
        <v>1.53786071E8</v>
      </c>
      <c r="R82" s="1390">
        <v>1.53786071E8</v>
      </c>
      <c r="S82" s="1390">
        <v>1.53786071E8</v>
      </c>
      <c r="T82" s="1390">
        <v>1.53786071E8</v>
      </c>
      <c r="U82" s="1390">
        <v>1.53786071E8</v>
      </c>
      <c r="V82" s="1390">
        <v>1.53786071E8</v>
      </c>
      <c r="W82" s="1390">
        <v>1.53786071E8</v>
      </c>
      <c r="X82" s="1391">
        <v>1.845432852E9</v>
      </c>
      <c r="Y82" s="1392">
        <f t="shared" si="3"/>
        <v>0</v>
      </c>
      <c r="Z82" s="1393">
        <v>9.73368330141354E7</v>
      </c>
      <c r="AA82" s="1393">
        <v>0.0</v>
      </c>
      <c r="AB82" s="1393">
        <v>0.0</v>
      </c>
      <c r="AC82" s="1393">
        <v>2.148387850836353E7</v>
      </c>
      <c r="AD82" s="1393">
        <v>0.0</v>
      </c>
      <c r="AE82" s="1393">
        <v>0.0</v>
      </c>
      <c r="AF82" s="1393">
        <v>0.0</v>
      </c>
      <c r="AG82" s="1393">
        <v>7134556.251973886</v>
      </c>
      <c r="AH82" s="1393">
        <v>9.632158119365644E7</v>
      </c>
      <c r="AI82" s="1393">
        <v>0.0</v>
      </c>
      <c r="AJ82" s="1393">
        <v>0.0</v>
      </c>
      <c r="AK82" s="1393">
        <v>2.130187534713298E7</v>
      </c>
      <c r="AL82" s="1393">
        <v>0.0</v>
      </c>
      <c r="AM82" s="1393">
        <v>0.0</v>
      </c>
      <c r="AN82" s="1393">
        <v>0.0</v>
      </c>
      <c r="AO82" s="1393">
        <v>7052081.510504157</v>
      </c>
      <c r="AP82" s="1393">
        <v>1.0967862461364737E8</v>
      </c>
      <c r="AQ82" s="1393">
        <v>0.0</v>
      </c>
      <c r="AR82" s="1393">
        <v>0.0</v>
      </c>
      <c r="AS82" s="1393">
        <v>2.3696378935400594E7</v>
      </c>
      <c r="AT82" s="1393">
        <v>0.0</v>
      </c>
      <c r="AU82" s="1393">
        <v>0.0</v>
      </c>
      <c r="AV82" s="1393">
        <v>0.0</v>
      </c>
      <c r="AW82" s="1393">
        <v>8137150.929383949</v>
      </c>
      <c r="AX82" s="1393">
        <v>9.835400546489243E7</v>
      </c>
      <c r="AY82" s="1393">
        <v>0.0</v>
      </c>
      <c r="AZ82" s="1393">
        <v>0.0</v>
      </c>
      <c r="BA82" s="1393">
        <v>2.166622597903054E7</v>
      </c>
      <c r="BB82" s="1393">
        <v>0.0</v>
      </c>
      <c r="BC82" s="1393">
        <v>0.0</v>
      </c>
      <c r="BD82" s="1393">
        <v>0.0</v>
      </c>
      <c r="BE82" s="1393">
        <v>7217187.01728169</v>
      </c>
      <c r="BF82" s="1393">
        <v>9.694905814491044E7</v>
      </c>
      <c r="BG82" s="1393">
        <v>0.0</v>
      </c>
      <c r="BH82" s="1393">
        <v>0.0</v>
      </c>
      <c r="BI82" s="1393">
        <v>2.137344235989283E7</v>
      </c>
      <c r="BJ82" s="1393">
        <v>0.0</v>
      </c>
      <c r="BK82" s="1393">
        <v>0.0</v>
      </c>
      <c r="BL82" s="1393">
        <v>0.0</v>
      </c>
      <c r="BM82" s="1393">
        <v>7110892.149384464</v>
      </c>
      <c r="BN82" s="1393">
        <v>1.091903741218173E8</v>
      </c>
      <c r="BO82" s="1393">
        <v>0.0</v>
      </c>
      <c r="BP82" s="1393">
        <v>0.0</v>
      </c>
      <c r="BQ82" s="1393">
        <v>1.6759916855849992E7</v>
      </c>
      <c r="BR82" s="1393">
        <v>0.0</v>
      </c>
      <c r="BS82" s="1393">
        <v>0.0</v>
      </c>
      <c r="BT82" s="1393">
        <v>0.0</v>
      </c>
      <c r="BU82" s="1393">
        <v>5613547.001221609</v>
      </c>
      <c r="BV82" s="1393">
        <v>1.0606828921113096E8</v>
      </c>
      <c r="BW82" s="1393">
        <v>0.0</v>
      </c>
      <c r="BX82" s="1393">
        <v>0.0</v>
      </c>
      <c r="BY82" s="1393">
        <v>2.3004059360964663E7</v>
      </c>
      <c r="BZ82" s="1393">
        <v>0.0</v>
      </c>
      <c r="CA82" s="1393">
        <v>0.0</v>
      </c>
      <c r="CB82" s="1393">
        <v>0.0</v>
      </c>
      <c r="CC82" s="1393">
        <v>7852499.939100576</v>
      </c>
      <c r="CD82" s="1393">
        <v>1.071009818939484E8</v>
      </c>
      <c r="CE82" s="1393">
        <v>0.0</v>
      </c>
      <c r="CF82" s="1393">
        <v>0.0</v>
      </c>
      <c r="CG82" s="1393">
        <v>2.3172336755239636E7</v>
      </c>
      <c r="CH82" s="1393">
        <v>0.0</v>
      </c>
      <c r="CI82" s="1393">
        <v>0.0</v>
      </c>
      <c r="CJ82" s="1393">
        <v>0.0</v>
      </c>
      <c r="CK82" s="1393">
        <v>7939619.0905185025</v>
      </c>
      <c r="CL82" s="1393">
        <v>1.0190361414765148E8</v>
      </c>
      <c r="CM82" s="1393">
        <v>0.0</v>
      </c>
      <c r="CN82" s="1393">
        <v>0.0</v>
      </c>
      <c r="CO82" s="1393">
        <v>2.2223720838718213E7</v>
      </c>
      <c r="CP82" s="1393">
        <v>0.0</v>
      </c>
      <c r="CQ82" s="1393">
        <v>0.0</v>
      </c>
      <c r="CR82" s="1393">
        <v>0.0</v>
      </c>
      <c r="CS82" s="1393">
        <v>7520641.651865903</v>
      </c>
      <c r="CT82" s="1393">
        <v>1.0156145042335388E8</v>
      </c>
      <c r="CU82" s="1393">
        <v>0.0</v>
      </c>
      <c r="CV82" s="1393">
        <v>0.0</v>
      </c>
      <c r="CW82" s="1393">
        <v>2.2162381495882854E7</v>
      </c>
      <c r="CX82" s="1393">
        <v>0.0</v>
      </c>
      <c r="CY82" s="1393">
        <v>0.0</v>
      </c>
      <c r="CZ82" s="1393">
        <v>0.0</v>
      </c>
      <c r="DA82" s="1393">
        <v>7492845.725640945</v>
      </c>
      <c r="DB82" s="1393">
        <v>9.903526790866518E7</v>
      </c>
      <c r="DC82" s="1393">
        <v>0.0</v>
      </c>
      <c r="DD82" s="1393">
        <v>0.0</v>
      </c>
      <c r="DE82" s="1393">
        <v>2.1709515325889893E7</v>
      </c>
      <c r="DF82" s="1393">
        <v>0.0</v>
      </c>
      <c r="DG82" s="1393">
        <v>0.0</v>
      </c>
      <c r="DH82" s="1393">
        <v>0.0</v>
      </c>
      <c r="DI82" s="1393">
        <v>7287629.398418791</v>
      </c>
      <c r="DJ82" s="1393">
        <v>1.1089540785278776E8</v>
      </c>
      <c r="DK82" s="1393">
        <v>0.0</v>
      </c>
      <c r="DL82" s="1393">
        <v>0.0</v>
      </c>
      <c r="DM82" s="1393">
        <v>1.7083950862196025E7</v>
      </c>
      <c r="DN82" s="1393">
        <v>0.0</v>
      </c>
      <c r="DO82" s="1393">
        <v>0.0</v>
      </c>
      <c r="DP82" s="1393">
        <v>0.0</v>
      </c>
      <c r="DQ82" s="1393">
        <v>5773317.133419222</v>
      </c>
      <c r="DR82" s="1379">
        <f t="shared" si="32"/>
        <v>1576165138</v>
      </c>
    </row>
    <row r="83" hidden="1">
      <c r="A83" s="1401"/>
      <c r="B83" s="1394">
        <f t="shared" si="33"/>
        <v>8</v>
      </c>
      <c r="C83" s="1397" t="s">
        <v>1778</v>
      </c>
      <c r="D83" s="185" t="s">
        <v>186</v>
      </c>
      <c r="E83" s="185" t="s">
        <v>672</v>
      </c>
      <c r="F83" s="185" t="s">
        <v>1896</v>
      </c>
      <c r="G83" s="185" t="s">
        <v>86</v>
      </c>
      <c r="H83" s="185" t="s">
        <v>86</v>
      </c>
      <c r="I83" s="185" t="s">
        <v>103</v>
      </c>
      <c r="J83" s="185" t="s">
        <v>1889</v>
      </c>
      <c r="K83" s="185" t="s">
        <v>188</v>
      </c>
      <c r="L83" s="1390">
        <v>7.5833333E7</v>
      </c>
      <c r="M83" s="1390">
        <v>7.5833333E7</v>
      </c>
      <c r="N83" s="1390">
        <v>7.5833333E7</v>
      </c>
      <c r="O83" s="1390">
        <v>7.5833333E7</v>
      </c>
      <c r="P83" s="1390">
        <v>7.5833333E7</v>
      </c>
      <c r="Q83" s="1390">
        <v>7.5833333E7</v>
      </c>
      <c r="R83" s="1390">
        <v>7.5833333E7</v>
      </c>
      <c r="S83" s="1390">
        <v>7.5833333E7</v>
      </c>
      <c r="T83" s="1390">
        <v>7.5833333E7</v>
      </c>
      <c r="U83" s="1390">
        <v>7.5833333E7</v>
      </c>
      <c r="V83" s="1390">
        <v>7.5833333E7</v>
      </c>
      <c r="W83" s="1390">
        <v>7.5833333E7</v>
      </c>
      <c r="X83" s="1391">
        <v>9.09999996E8</v>
      </c>
      <c r="Y83" s="1392">
        <f t="shared" si="3"/>
        <v>0</v>
      </c>
      <c r="Z83" s="1393">
        <v>1.3498338471059972E7</v>
      </c>
      <c r="AA83" s="1393">
        <v>0.0</v>
      </c>
      <c r="AB83" s="1393">
        <v>0.0</v>
      </c>
      <c r="AC83" s="1393">
        <v>3.477031004902126E7</v>
      </c>
      <c r="AD83" s="1393">
        <v>6749169.235529986</v>
      </c>
      <c r="AE83" s="1393">
        <v>0.0</v>
      </c>
      <c r="AF83" s="1393">
        <v>0.0</v>
      </c>
      <c r="AG83" s="1393">
        <v>5466022.768666409</v>
      </c>
      <c r="AH83" s="1393">
        <v>1.3568443587660994E7</v>
      </c>
      <c r="AI83" s="1393">
        <v>0.0</v>
      </c>
      <c r="AJ83" s="1393">
        <v>0.0</v>
      </c>
      <c r="AK83" s="1393">
        <v>3.492290811607338E7</v>
      </c>
      <c r="AL83" s="1393">
        <v>6784221.793830497</v>
      </c>
      <c r="AM83" s="1393">
        <v>0.0</v>
      </c>
      <c r="AN83" s="1393">
        <v>0.0</v>
      </c>
      <c r="AO83" s="1393">
        <v>5501075.32696692</v>
      </c>
      <c r="AP83" s="1393">
        <v>1.3498338471059972E7</v>
      </c>
      <c r="AQ83" s="1393">
        <v>0.0</v>
      </c>
      <c r="AR83" s="1393">
        <v>0.0</v>
      </c>
      <c r="AS83" s="1393">
        <v>3.477031004902126E7</v>
      </c>
      <c r="AT83" s="1393">
        <v>6749169.235529986</v>
      </c>
      <c r="AU83" s="1393">
        <v>0.0</v>
      </c>
      <c r="AV83" s="1393">
        <v>0.0</v>
      </c>
      <c r="AW83" s="1393">
        <v>5466022.768666409</v>
      </c>
      <c r="AX83" s="1393">
        <v>1.3570558539913755E7</v>
      </c>
      <c r="AY83" s="1393">
        <v>0.0</v>
      </c>
      <c r="AZ83" s="1393">
        <v>0.0</v>
      </c>
      <c r="BA83" s="1393">
        <v>3.486588514171194E7</v>
      </c>
      <c r="BB83" s="1393">
        <v>6785279.269956877</v>
      </c>
      <c r="BC83" s="1393">
        <v>0.0</v>
      </c>
      <c r="BD83" s="1393">
        <v>0.0</v>
      </c>
      <c r="BE83" s="1393">
        <v>5516807.9498614995</v>
      </c>
      <c r="BF83" s="1393">
        <v>1.361740905581043E7</v>
      </c>
      <c r="BG83" s="1393">
        <v>0.0</v>
      </c>
      <c r="BH83" s="1393">
        <v>0.0</v>
      </c>
      <c r="BI83" s="1393">
        <v>3.4880100737371735E7</v>
      </c>
      <c r="BJ83" s="1393">
        <v>6808704.527905215</v>
      </c>
      <c r="BK83" s="1393">
        <v>0.0</v>
      </c>
      <c r="BL83" s="1393">
        <v>0.0</v>
      </c>
      <c r="BM83" s="1393">
        <v>5561132.478802916</v>
      </c>
      <c r="BN83" s="1393">
        <v>1.3727048000569344E7</v>
      </c>
      <c r="BO83" s="1393">
        <v>0.0</v>
      </c>
      <c r="BP83" s="1393">
        <v>0.0</v>
      </c>
      <c r="BQ83" s="1393">
        <v>3.500910428928588E7</v>
      </c>
      <c r="BR83" s="1393">
        <v>6863524.000284672</v>
      </c>
      <c r="BS83" s="1393">
        <v>0.0</v>
      </c>
      <c r="BT83" s="1393">
        <v>0.0</v>
      </c>
      <c r="BU83" s="1393">
        <v>5642062.4249598775</v>
      </c>
      <c r="BV83" s="1393">
        <v>1.3704803019612206E7</v>
      </c>
      <c r="BW83" s="1393">
        <v>0.0</v>
      </c>
      <c r="BX83" s="1393">
        <v>0.0</v>
      </c>
      <c r="BY83" s="1393">
        <v>3.4960683556816526E7</v>
      </c>
      <c r="BZ83" s="1393">
        <v>6852401.509806103</v>
      </c>
      <c r="CA83" s="1393">
        <v>0.0</v>
      </c>
      <c r="CB83" s="1393">
        <v>0.0</v>
      </c>
      <c r="CC83" s="1393">
        <v>5630939.934481308</v>
      </c>
      <c r="CD83" s="1393">
        <v>1.3704803019833691E7</v>
      </c>
      <c r="CE83" s="1393">
        <v>0.0</v>
      </c>
      <c r="CF83" s="1393">
        <v>0.0</v>
      </c>
      <c r="CG83" s="1393">
        <v>3.496068355660473E7</v>
      </c>
      <c r="CH83" s="1393">
        <v>6852401.509916846</v>
      </c>
      <c r="CI83" s="1393">
        <v>0.0</v>
      </c>
      <c r="CJ83" s="1393">
        <v>0.0</v>
      </c>
      <c r="CK83" s="1393">
        <v>5630939.93475729</v>
      </c>
      <c r="CL83" s="1393">
        <v>1.3799019508447357E7</v>
      </c>
      <c r="CM83" s="1393">
        <v>0.0</v>
      </c>
      <c r="CN83" s="1393">
        <v>0.0</v>
      </c>
      <c r="CO83" s="1393">
        <v>3.5074972609949015E7</v>
      </c>
      <c r="CP83" s="1393">
        <v>6899509.754223678</v>
      </c>
      <c r="CQ83" s="1393">
        <v>0.0</v>
      </c>
      <c r="CR83" s="1393">
        <v>0.0</v>
      </c>
      <c r="CS83" s="1393">
        <v>5699668.562851848</v>
      </c>
      <c r="CT83" s="1393">
        <v>1.374532471673964E7</v>
      </c>
      <c r="CU83" s="1393">
        <v>0.0</v>
      </c>
      <c r="CV83" s="1393">
        <v>0.0</v>
      </c>
      <c r="CW83" s="1393">
        <v>3.499804715043778E7</v>
      </c>
      <c r="CX83" s="1393">
        <v>6872662.35836982</v>
      </c>
      <c r="CY83" s="1393">
        <v>0.0</v>
      </c>
      <c r="CZ83" s="1393">
        <v>0.0</v>
      </c>
      <c r="DA83" s="1393">
        <v>5663307.348273141</v>
      </c>
      <c r="DB83" s="1393">
        <v>1.3788269246715786E7</v>
      </c>
      <c r="DC83" s="1393">
        <v>0.0</v>
      </c>
      <c r="DD83" s="1393">
        <v>0.0</v>
      </c>
      <c r="DE83" s="1393">
        <v>3.506513397043772E7</v>
      </c>
      <c r="DF83" s="1393">
        <v>6894134.623357893</v>
      </c>
      <c r="DG83" s="1393">
        <v>0.0</v>
      </c>
      <c r="DH83" s="1393">
        <v>0.0</v>
      </c>
      <c r="DI83" s="1393">
        <v>5691064.03211725</v>
      </c>
      <c r="DJ83" s="1393">
        <v>1.3745324716953505E7</v>
      </c>
      <c r="DK83" s="1393">
        <v>0.0</v>
      </c>
      <c r="DL83" s="1393">
        <v>0.0</v>
      </c>
      <c r="DM83" s="1393">
        <v>3.4998047150223084E7</v>
      </c>
      <c r="DN83" s="1393">
        <v>6872662.358476752</v>
      </c>
      <c r="DO83" s="1393">
        <v>0.0</v>
      </c>
      <c r="DP83" s="1393">
        <v>0.0</v>
      </c>
      <c r="DQ83" s="1393">
        <v>5663307.348542054</v>
      </c>
      <c r="DR83" s="1379">
        <f t="shared" si="32"/>
        <v>732360057.8</v>
      </c>
    </row>
    <row r="84" hidden="1">
      <c r="A84" s="1401"/>
      <c r="B84" s="1394">
        <f t="shared" si="33"/>
        <v>9</v>
      </c>
      <c r="C84" s="1389" t="s">
        <v>1815</v>
      </c>
      <c r="D84" s="185" t="s">
        <v>186</v>
      </c>
      <c r="E84" s="185" t="s">
        <v>730</v>
      </c>
      <c r="F84" s="185" t="s">
        <v>1896</v>
      </c>
      <c r="G84" s="185" t="s">
        <v>203</v>
      </c>
      <c r="H84" s="185" t="s">
        <v>135</v>
      </c>
      <c r="I84" s="185" t="s">
        <v>135</v>
      </c>
      <c r="J84" s="185" t="s">
        <v>253</v>
      </c>
      <c r="K84" s="185" t="s">
        <v>254</v>
      </c>
      <c r="L84" s="1390">
        <v>2.7989549E7</v>
      </c>
      <c r="M84" s="1390">
        <v>2.7989549E7</v>
      </c>
      <c r="N84" s="1390">
        <v>2.7989549E7</v>
      </c>
      <c r="O84" s="1390">
        <v>2.7989549E7</v>
      </c>
      <c r="P84" s="1390">
        <v>2.7989549E7</v>
      </c>
      <c r="Q84" s="1390">
        <v>2.7989549E7</v>
      </c>
      <c r="R84" s="1390">
        <v>2.7989549E7</v>
      </c>
      <c r="S84" s="1390">
        <v>2.7989549E7</v>
      </c>
      <c r="T84" s="1390">
        <v>2.7989549E7</v>
      </c>
      <c r="U84" s="1390">
        <v>2.7989549E7</v>
      </c>
      <c r="V84" s="1390">
        <v>2.7989549E7</v>
      </c>
      <c r="W84" s="1390">
        <v>2.7989549E7</v>
      </c>
      <c r="X84" s="1391">
        <v>3.35874588E8</v>
      </c>
      <c r="Y84" s="1392">
        <f t="shared" si="3"/>
        <v>0</v>
      </c>
      <c r="Z84" s="1393">
        <v>0.0</v>
      </c>
      <c r="AA84" s="1393">
        <v>0.0</v>
      </c>
      <c r="AB84" s="1393">
        <v>2.0364321644308437E7</v>
      </c>
      <c r="AC84" s="1393">
        <v>0.0</v>
      </c>
      <c r="AD84" s="1393">
        <v>0.0</v>
      </c>
      <c r="AE84" s="1393">
        <v>0.0</v>
      </c>
      <c r="AF84" s="1393">
        <v>2102876.6731827236</v>
      </c>
      <c r="AG84" s="1393">
        <v>470408.78371865954</v>
      </c>
      <c r="AH84" s="1393">
        <v>0.0</v>
      </c>
      <c r="AI84" s="1393">
        <v>0.0</v>
      </c>
      <c r="AJ84" s="1393">
        <v>2.011877279821127E7</v>
      </c>
      <c r="AK84" s="1393">
        <v>0.0</v>
      </c>
      <c r="AL84" s="1393">
        <v>0.0</v>
      </c>
      <c r="AM84" s="1393">
        <v>0.0</v>
      </c>
      <c r="AN84" s="1393">
        <v>2077959.2634307365</v>
      </c>
      <c r="AO84" s="1393">
        <v>590288.7473728765</v>
      </c>
      <c r="AP84" s="1393">
        <v>0.0</v>
      </c>
      <c r="AQ84" s="1393">
        <v>0.0</v>
      </c>
      <c r="AR84" s="1393">
        <v>2.521292012643108E7</v>
      </c>
      <c r="AS84" s="1393">
        <v>0.0</v>
      </c>
      <c r="AT84" s="1393">
        <v>0.0</v>
      </c>
      <c r="AU84" s="1393">
        <v>0.0</v>
      </c>
      <c r="AV84" s="1393">
        <v>2607510.771814144</v>
      </c>
      <c r="AW84" s="1393">
        <v>490952.60017961304</v>
      </c>
      <c r="AX84" s="1393">
        <v>0.0</v>
      </c>
      <c r="AY84" s="1393">
        <v>0.0</v>
      </c>
      <c r="AZ84" s="1393">
        <v>2.0991696325727247E7</v>
      </c>
      <c r="BA84" s="1393">
        <v>0.0</v>
      </c>
      <c r="BB84" s="1393">
        <v>0.0</v>
      </c>
      <c r="BC84" s="1393">
        <v>0.0</v>
      </c>
      <c r="BD84" s="1393">
        <v>2168708.448392365</v>
      </c>
      <c r="BE84" s="1393">
        <v>469124.863078268</v>
      </c>
      <c r="BF84" s="1393">
        <v>0.0</v>
      </c>
      <c r="BG84" s="1393">
        <v>0.0</v>
      </c>
      <c r="BH84" s="1393">
        <v>2.006191595292801E7</v>
      </c>
      <c r="BI84" s="1393">
        <v>0.0</v>
      </c>
      <c r="BJ84" s="1393">
        <v>0.0</v>
      </c>
      <c r="BK84" s="1393">
        <v>0.0</v>
      </c>
      <c r="BL84" s="1393">
        <v>2072287.7392573978</v>
      </c>
      <c r="BM84" s="1393">
        <v>490507.9649971058</v>
      </c>
      <c r="BN84" s="1393">
        <v>0.0</v>
      </c>
      <c r="BO84" s="1393">
        <v>0.0</v>
      </c>
      <c r="BP84" s="1393">
        <v>2.0971413967301823E7</v>
      </c>
      <c r="BQ84" s="1393">
        <v>0.0</v>
      </c>
      <c r="BR84" s="1393">
        <v>0.0</v>
      </c>
      <c r="BS84" s="1393">
        <v>0.0</v>
      </c>
      <c r="BT84" s="1393">
        <v>2166744.3400926986</v>
      </c>
      <c r="BU84" s="1393">
        <v>449706.69811070454</v>
      </c>
      <c r="BV84" s="1393">
        <v>0.0</v>
      </c>
      <c r="BW84" s="1393">
        <v>0.0</v>
      </c>
      <c r="BX84" s="1393">
        <v>1.921319736150492E7</v>
      </c>
      <c r="BY84" s="1393">
        <v>0.0</v>
      </c>
      <c r="BZ84" s="1393">
        <v>0.0</v>
      </c>
      <c r="CA84" s="1393">
        <v>0.0</v>
      </c>
      <c r="CB84" s="1393">
        <v>1986510.9485814238</v>
      </c>
      <c r="CC84" s="1393">
        <v>439942.57389193814</v>
      </c>
      <c r="CD84" s="1393">
        <v>0.0</v>
      </c>
      <c r="CE84" s="1393">
        <v>0.0</v>
      </c>
      <c r="CF84" s="1393">
        <v>1.879471745079491E7</v>
      </c>
      <c r="CG84" s="1393">
        <v>0.0</v>
      </c>
      <c r="CH84" s="1393">
        <v>0.0</v>
      </c>
      <c r="CI84" s="1393">
        <v>0.0</v>
      </c>
      <c r="CJ84" s="1393">
        <v>1943379.4147497586</v>
      </c>
      <c r="CK84" s="1393">
        <v>532925.237468533</v>
      </c>
      <c r="CL84" s="1393">
        <v>0.0</v>
      </c>
      <c r="CM84" s="1393">
        <v>0.0</v>
      </c>
      <c r="CN84" s="1393">
        <v>2.277763908267393E7</v>
      </c>
      <c r="CO84" s="1393">
        <v>0.0</v>
      </c>
      <c r="CP84" s="1393">
        <v>0.0</v>
      </c>
      <c r="CQ84" s="1393">
        <v>0.0</v>
      </c>
      <c r="CR84" s="1393">
        <v>2354116.1905175475</v>
      </c>
      <c r="CS84" s="1393">
        <v>538765.5623127222</v>
      </c>
      <c r="CT84" s="1393">
        <v>0.0</v>
      </c>
      <c r="CU84" s="1393">
        <v>0.0</v>
      </c>
      <c r="CV84" s="1393">
        <v>2.302838051506091E7</v>
      </c>
      <c r="CW84" s="1393">
        <v>0.0</v>
      </c>
      <c r="CX84" s="1393">
        <v>0.0</v>
      </c>
      <c r="CY84" s="1393">
        <v>0.0</v>
      </c>
      <c r="CZ84" s="1393">
        <v>2379914.937334073</v>
      </c>
      <c r="DA84" s="1393">
        <v>504599.1476933635</v>
      </c>
      <c r="DB84" s="1393">
        <v>0.0</v>
      </c>
      <c r="DC84" s="1393">
        <v>0.0</v>
      </c>
      <c r="DD84" s="1393">
        <v>2.1573534072584756E7</v>
      </c>
      <c r="DE84" s="1393">
        <v>0.0</v>
      </c>
      <c r="DF84" s="1393">
        <v>0.0</v>
      </c>
      <c r="DG84" s="1393">
        <v>0.0</v>
      </c>
      <c r="DH84" s="1393">
        <v>2228989.996699943</v>
      </c>
      <c r="DI84" s="1393">
        <v>498424.8196177685</v>
      </c>
      <c r="DJ84" s="1393">
        <v>0.0</v>
      </c>
      <c r="DK84" s="1393">
        <v>0.0</v>
      </c>
      <c r="DL84" s="1393">
        <v>2.1304454491258457E7</v>
      </c>
      <c r="DM84" s="1393">
        <v>0.0</v>
      </c>
      <c r="DN84" s="1393">
        <v>0.0</v>
      </c>
      <c r="DO84" s="1393">
        <v>0.0</v>
      </c>
      <c r="DP84" s="1393">
        <v>2201715.8414030974</v>
      </c>
      <c r="DQ84" s="1379">
        <f t="shared" ref="DQ84:DQ87" si="34">SUM(Y84:DP84)</f>
        <v>286179325.4</v>
      </c>
    </row>
    <row r="85" hidden="1">
      <c r="A85" s="1401"/>
      <c r="B85" s="1394">
        <f t="shared" si="33"/>
        <v>10</v>
      </c>
      <c r="C85" s="1397" t="s">
        <v>1816</v>
      </c>
      <c r="D85" s="185" t="s">
        <v>186</v>
      </c>
      <c r="E85" s="185" t="s">
        <v>730</v>
      </c>
      <c r="F85" s="185" t="s">
        <v>1896</v>
      </c>
      <c r="G85" s="185" t="s">
        <v>84</v>
      </c>
      <c r="H85" s="185" t="s">
        <v>84</v>
      </c>
      <c r="I85" s="185" t="s">
        <v>103</v>
      </c>
      <c r="J85" s="185" t="s">
        <v>1898</v>
      </c>
      <c r="K85" s="185" t="s">
        <v>188</v>
      </c>
      <c r="L85" s="1390">
        <v>2.39686388E8</v>
      </c>
      <c r="M85" s="1390">
        <v>2.39686388E8</v>
      </c>
      <c r="N85" s="1390">
        <v>2.39686388E8</v>
      </c>
      <c r="O85" s="1390">
        <v>2.39686388E8</v>
      </c>
      <c r="P85" s="1390">
        <v>2.39686388E8</v>
      </c>
      <c r="Q85" s="1390">
        <v>2.39686388E8</v>
      </c>
      <c r="R85" s="1390">
        <v>2.39686388E8</v>
      </c>
      <c r="S85" s="1390">
        <v>2.39686388E8</v>
      </c>
      <c r="T85" s="1390">
        <v>2.39686388E8</v>
      </c>
      <c r="U85" s="1390">
        <v>2.39686388E8</v>
      </c>
      <c r="V85" s="1390">
        <v>2.39686388E8</v>
      </c>
      <c r="W85" s="1390">
        <v>2.39686388E8</v>
      </c>
      <c r="X85" s="1391">
        <v>2.876236656E9</v>
      </c>
      <c r="Y85" s="1392">
        <f t="shared" si="3"/>
        <v>0</v>
      </c>
      <c r="Z85" s="1393">
        <v>0.0</v>
      </c>
      <c r="AA85" s="1393">
        <v>0.0</v>
      </c>
      <c r="AB85" s="1393">
        <v>1.0989850631107046E8</v>
      </c>
      <c r="AC85" s="1393">
        <v>2.133209674517278E7</v>
      </c>
      <c r="AD85" s="1393">
        <v>0.0</v>
      </c>
      <c r="AE85" s="1393">
        <v>0.0</v>
      </c>
      <c r="AF85" s="1393">
        <v>1.727645617458765E7</v>
      </c>
      <c r="AG85" s="1393">
        <v>4.288577470685911E7</v>
      </c>
      <c r="AH85" s="1393">
        <v>0.0</v>
      </c>
      <c r="AI85" s="1393">
        <v>0.0</v>
      </c>
      <c r="AJ85" s="1393">
        <v>1.1038082296603677E8</v>
      </c>
      <c r="AK85" s="1393">
        <v>2.1442887353429556E7</v>
      </c>
      <c r="AL85" s="1393">
        <v>0.0</v>
      </c>
      <c r="AM85" s="1393">
        <v>0.0</v>
      </c>
      <c r="AN85" s="1393">
        <v>1.7387246782844428E7</v>
      </c>
      <c r="AO85" s="1393">
        <v>4.266419349034556E7</v>
      </c>
      <c r="AP85" s="1393">
        <v>0.0</v>
      </c>
      <c r="AQ85" s="1393">
        <v>0.0</v>
      </c>
      <c r="AR85" s="1393">
        <v>1.0989850631107046E8</v>
      </c>
      <c r="AS85" s="1393">
        <v>2.133209674517278E7</v>
      </c>
      <c r="AT85" s="1393">
        <v>0.0</v>
      </c>
      <c r="AU85" s="1393">
        <v>0.0</v>
      </c>
      <c r="AV85" s="1393">
        <v>1.727645617458765E7</v>
      </c>
      <c r="AW85" s="1393">
        <v>4.28924594356743E7</v>
      </c>
      <c r="AX85" s="1393">
        <v>0.0</v>
      </c>
      <c r="AY85" s="1393">
        <v>0.0</v>
      </c>
      <c r="AZ85" s="1393">
        <v>1.1020059047173628E8</v>
      </c>
      <c r="BA85" s="1393">
        <v>2.144622971783715E7</v>
      </c>
      <c r="BB85" s="1393">
        <v>0.0</v>
      </c>
      <c r="BC85" s="1393">
        <v>0.0</v>
      </c>
      <c r="BD85" s="1393">
        <v>1.743697287829862E7</v>
      </c>
      <c r="BE85" s="1393">
        <v>4.304053984420931E7</v>
      </c>
      <c r="BF85" s="1393">
        <v>0.0</v>
      </c>
      <c r="BG85" s="1393">
        <v>0.0</v>
      </c>
      <c r="BH85" s="1393">
        <v>1.1024552169976187E8</v>
      </c>
      <c r="BI85" s="1393">
        <v>2.1520269922104657E7</v>
      </c>
      <c r="BJ85" s="1393">
        <v>0.0</v>
      </c>
      <c r="BK85" s="1393">
        <v>0.0</v>
      </c>
      <c r="BL85" s="1393">
        <v>1.757706940078392E7</v>
      </c>
      <c r="BM85" s="1393">
        <v>4.338707561698611E7</v>
      </c>
      <c r="BN85" s="1393">
        <v>0.0</v>
      </c>
      <c r="BO85" s="1393">
        <v>0.0</v>
      </c>
      <c r="BP85" s="1393">
        <v>1.1065326317932302E8</v>
      </c>
      <c r="BQ85" s="1393">
        <v>2.1693537808493055E7</v>
      </c>
      <c r="BR85" s="1393">
        <v>0.0</v>
      </c>
      <c r="BS85" s="1393">
        <v>0.0</v>
      </c>
      <c r="BT85" s="1393">
        <v>1.7832864652133305E7</v>
      </c>
      <c r="BU85" s="1393">
        <v>4.3316765913774915E7</v>
      </c>
      <c r="BV85" s="1393">
        <v>0.0</v>
      </c>
      <c r="BW85" s="1393">
        <v>0.0</v>
      </c>
      <c r="BX85" s="1393">
        <v>1.105002197878385E8</v>
      </c>
      <c r="BY85" s="1393">
        <v>2.1658382956887458E7</v>
      </c>
      <c r="BZ85" s="1393">
        <v>0.0</v>
      </c>
      <c r="CA85" s="1393">
        <v>0.0</v>
      </c>
      <c r="CB85" s="1393">
        <v>1.779770980052771E7</v>
      </c>
      <c r="CC85" s="1393">
        <v>4.331676591447497E7</v>
      </c>
      <c r="CD85" s="1393">
        <v>0.0</v>
      </c>
      <c r="CE85" s="1393">
        <v>0.0</v>
      </c>
      <c r="CF85" s="1393">
        <v>1.1050021978716907E8</v>
      </c>
      <c r="CG85" s="1393">
        <v>2.1658382957237486E7</v>
      </c>
      <c r="CH85" s="1393">
        <v>0.0</v>
      </c>
      <c r="CI85" s="1393">
        <v>0.0</v>
      </c>
      <c r="CJ85" s="1393">
        <v>1.7797709801400006E7</v>
      </c>
      <c r="CK85" s="1393">
        <v>4.361455593572924E7</v>
      </c>
      <c r="CL85" s="1393">
        <v>0.0</v>
      </c>
      <c r="CM85" s="1393">
        <v>0.0</v>
      </c>
      <c r="CN85" s="1393">
        <v>1.1086145315645842E8</v>
      </c>
      <c r="CO85" s="1393">
        <v>2.180727796786462E7</v>
      </c>
      <c r="CP85" s="1393">
        <v>0.0</v>
      </c>
      <c r="CQ85" s="1393">
        <v>0.0</v>
      </c>
      <c r="CR85" s="1393">
        <v>1.8014940351192404E7</v>
      </c>
      <c r="CS85" s="1393">
        <v>4.344484282713049E7</v>
      </c>
      <c r="CT85" s="1393">
        <v>0.0</v>
      </c>
      <c r="CU85" s="1393">
        <v>0.0</v>
      </c>
      <c r="CV85" s="1393">
        <v>1.1061831488459203E8</v>
      </c>
      <c r="CW85" s="1393">
        <v>2.1722421413565245E7</v>
      </c>
      <c r="CX85" s="1393">
        <v>0.0</v>
      </c>
      <c r="CY85" s="1393">
        <v>0.0</v>
      </c>
      <c r="CZ85" s="1393">
        <v>1.790001347351365E7</v>
      </c>
      <c r="DA85" s="1393">
        <v>4.3580577587388754E7</v>
      </c>
      <c r="DB85" s="1393">
        <v>0.0</v>
      </c>
      <c r="DC85" s="1393">
        <v>0.0</v>
      </c>
      <c r="DD85" s="1393">
        <v>1.1083035617213759E8</v>
      </c>
      <c r="DE85" s="1393">
        <v>2.1790288793694377E7</v>
      </c>
      <c r="DF85" s="1393">
        <v>0.0</v>
      </c>
      <c r="DG85" s="1393">
        <v>0.0</v>
      </c>
      <c r="DH85" s="1393">
        <v>1.7987744014032714E7</v>
      </c>
      <c r="DI85" s="1393">
        <v>4.344484282780644E7</v>
      </c>
      <c r="DJ85" s="1393">
        <v>0.0</v>
      </c>
      <c r="DK85" s="1393">
        <v>0.0</v>
      </c>
      <c r="DL85" s="1393">
        <v>1.1061831488391343E8</v>
      </c>
      <c r="DM85" s="1393">
        <v>2.172242141390322E7</v>
      </c>
      <c r="DN85" s="1393">
        <v>0.0</v>
      </c>
      <c r="DO85" s="1393">
        <v>0.0</v>
      </c>
      <c r="DP85" s="1393">
        <v>1.7900013474363603E7</v>
      </c>
      <c r="DQ85" s="1379">
        <f t="shared" si="34"/>
        <v>2272105974</v>
      </c>
    </row>
    <row r="86" hidden="1">
      <c r="A86" s="1401"/>
      <c r="B86" s="1394">
        <f t="shared" si="33"/>
        <v>11</v>
      </c>
      <c r="C86" s="1397" t="s">
        <v>1817</v>
      </c>
      <c r="D86" s="185" t="s">
        <v>186</v>
      </c>
      <c r="E86" s="185" t="s">
        <v>730</v>
      </c>
      <c r="F86" s="185" t="s">
        <v>1896</v>
      </c>
      <c r="G86" s="185" t="s">
        <v>86</v>
      </c>
      <c r="H86" s="185" t="s">
        <v>86</v>
      </c>
      <c r="I86" s="185" t="s">
        <v>103</v>
      </c>
      <c r="J86" s="185" t="s">
        <v>1898</v>
      </c>
      <c r="K86" s="185" t="s">
        <v>188</v>
      </c>
      <c r="L86" s="1390">
        <v>8.0030935E7</v>
      </c>
      <c r="M86" s="1390">
        <v>8.0030935E7</v>
      </c>
      <c r="N86" s="1390">
        <v>8.0030935E7</v>
      </c>
      <c r="O86" s="1390">
        <v>8.0030935E7</v>
      </c>
      <c r="P86" s="1390">
        <v>8.0030935E7</v>
      </c>
      <c r="Q86" s="1390">
        <v>8.0030935E7</v>
      </c>
      <c r="R86" s="1390">
        <v>8.0030935E7</v>
      </c>
      <c r="S86" s="1390">
        <v>8.0030935E7</v>
      </c>
      <c r="T86" s="1390">
        <v>8.0030935E7</v>
      </c>
      <c r="U86" s="1390">
        <v>8.0030935E7</v>
      </c>
      <c r="V86" s="1390">
        <v>8.0030935E7</v>
      </c>
      <c r="W86" s="1390">
        <v>8.0030935E7</v>
      </c>
      <c r="X86" s="1391">
        <v>9.6037122E8</v>
      </c>
      <c r="Y86" s="1392">
        <f t="shared" si="3"/>
        <v>0</v>
      </c>
      <c r="Z86" s="1393">
        <v>0.0</v>
      </c>
      <c r="AA86" s="1393">
        <v>0.0</v>
      </c>
      <c r="AB86" s="1393">
        <v>3.66949508003699E7</v>
      </c>
      <c r="AC86" s="1393">
        <v>7122755.9573663995</v>
      </c>
      <c r="AD86" s="1393">
        <v>0.0</v>
      </c>
      <c r="AE86" s="1393">
        <v>0.0</v>
      </c>
      <c r="AF86" s="1393">
        <v>5768583.492270627</v>
      </c>
      <c r="AG86" s="1393">
        <v>1.4319497559407862E7</v>
      </c>
      <c r="AH86" s="1393">
        <v>0.0</v>
      </c>
      <c r="AI86" s="1393">
        <v>0.0</v>
      </c>
      <c r="AJ86" s="1393">
        <v>3.685599562725855E7</v>
      </c>
      <c r="AK86" s="1393">
        <v>7159748.779703931</v>
      </c>
      <c r="AL86" s="1393">
        <v>0.0</v>
      </c>
      <c r="AM86" s="1393">
        <v>0.0</v>
      </c>
      <c r="AN86" s="1393">
        <v>5805576.31460816</v>
      </c>
      <c r="AO86" s="1393">
        <v>1.4245511914732799E7</v>
      </c>
      <c r="AP86" s="1393">
        <v>0.0</v>
      </c>
      <c r="AQ86" s="1393">
        <v>0.0</v>
      </c>
      <c r="AR86" s="1393">
        <v>3.66949508003699E7</v>
      </c>
      <c r="AS86" s="1393">
        <v>7122755.9573663995</v>
      </c>
      <c r="AT86" s="1393">
        <v>0.0</v>
      </c>
      <c r="AU86" s="1393">
        <v>0.0</v>
      </c>
      <c r="AV86" s="1393">
        <v>5768583.492270627</v>
      </c>
      <c r="AW86" s="1393">
        <v>1.4321729580599241E7</v>
      </c>
      <c r="AX86" s="1393">
        <v>0.0</v>
      </c>
      <c r="AY86" s="1393">
        <v>0.0</v>
      </c>
      <c r="AZ86" s="1393">
        <v>3.679581626055939E7</v>
      </c>
      <c r="BA86" s="1393">
        <v>7160864.7902996205</v>
      </c>
      <c r="BB86" s="1393">
        <v>0.0</v>
      </c>
      <c r="BC86" s="1393">
        <v>0.0</v>
      </c>
      <c r="BD86" s="1393">
        <v>5822179.785277919</v>
      </c>
      <c r="BE86" s="1393">
        <v>1.437117341280484E7</v>
      </c>
      <c r="BF86" s="1393">
        <v>0.0</v>
      </c>
      <c r="BG86" s="1393">
        <v>0.0</v>
      </c>
      <c r="BH86" s="1393">
        <v>3.681081873199546E7</v>
      </c>
      <c r="BI86" s="1393">
        <v>7185586.70640242</v>
      </c>
      <c r="BJ86" s="1393">
        <v>0.0</v>
      </c>
      <c r="BK86" s="1393">
        <v>0.0</v>
      </c>
      <c r="BL86" s="1393">
        <v>5868957.809588364</v>
      </c>
      <c r="BM86" s="1393">
        <v>1.4486881201376777E7</v>
      </c>
      <c r="BN86" s="1393">
        <v>0.0</v>
      </c>
      <c r="BO86" s="1393">
        <v>0.0</v>
      </c>
      <c r="BP86" s="1393">
        <v>3.694696301669953E7</v>
      </c>
      <c r="BQ86" s="1393">
        <v>7243440.600688389</v>
      </c>
      <c r="BR86" s="1393">
        <v>0.0</v>
      </c>
      <c r="BS86" s="1393">
        <v>0.0</v>
      </c>
      <c r="BT86" s="1393">
        <v>5954367.4705410395</v>
      </c>
      <c r="BU86" s="1393">
        <v>1.4463404894129975E7</v>
      </c>
      <c r="BV86" s="1393">
        <v>0.0</v>
      </c>
      <c r="BW86" s="1393">
        <v>0.0</v>
      </c>
      <c r="BX86" s="1393">
        <v>3.689586205173327E7</v>
      </c>
      <c r="BY86" s="1393">
        <v>7231702.447064987</v>
      </c>
      <c r="BZ86" s="1393">
        <v>0.0</v>
      </c>
      <c r="CA86" s="1393">
        <v>0.0</v>
      </c>
      <c r="CB86" s="1393">
        <v>5942629.316917638</v>
      </c>
      <c r="CC86" s="1393">
        <v>1.4463404894363722E7</v>
      </c>
      <c r="CD86" s="1393">
        <v>0.0</v>
      </c>
      <c r="CE86" s="1393">
        <v>0.0</v>
      </c>
      <c r="CF86" s="1393">
        <v>3.6895862051509745E7</v>
      </c>
      <c r="CG86" s="1393">
        <v>7231702.447181861</v>
      </c>
      <c r="CH86" s="1393">
        <v>0.0</v>
      </c>
      <c r="CI86" s="1393">
        <v>0.0</v>
      </c>
      <c r="CJ86" s="1393">
        <v>5942629.317208898</v>
      </c>
      <c r="CK86" s="1393">
        <v>1.4562836547673333E7</v>
      </c>
      <c r="CL86" s="1393">
        <v>0.0</v>
      </c>
      <c r="CM86" s="1393">
        <v>0.0</v>
      </c>
      <c r="CN86" s="1393">
        <v>3.701647734609806E7</v>
      </c>
      <c r="CO86" s="1393">
        <v>7281418.273836667</v>
      </c>
      <c r="CP86" s="1393">
        <v>0.0</v>
      </c>
      <c r="CQ86" s="1393">
        <v>0.0</v>
      </c>
      <c r="CR86" s="1393">
        <v>6015162.280617939</v>
      </c>
      <c r="CS86" s="1393">
        <v>1.4506169588501187E7</v>
      </c>
      <c r="CT86" s="1393">
        <v>0.0</v>
      </c>
      <c r="CU86" s="1393">
        <v>0.0</v>
      </c>
      <c r="CV86" s="1393">
        <v>3.693529383211498E7</v>
      </c>
      <c r="CW86" s="1393">
        <v>7253084.7942505935</v>
      </c>
      <c r="CX86" s="1393">
        <v>0.0</v>
      </c>
      <c r="CY86" s="1393">
        <v>0.0</v>
      </c>
      <c r="CZ86" s="1393">
        <v>5976788.3639595555</v>
      </c>
      <c r="DA86" s="1393">
        <v>1.4551491226772403E7</v>
      </c>
      <c r="DB86" s="1393">
        <v>0.0</v>
      </c>
      <c r="DC86" s="1393">
        <v>0.0</v>
      </c>
      <c r="DD86" s="1393">
        <v>3.700609410843637E7</v>
      </c>
      <c r="DE86" s="1393">
        <v>7275745.613386202</v>
      </c>
      <c r="DF86" s="1393">
        <v>0.0</v>
      </c>
      <c r="DG86" s="1393">
        <v>0.0</v>
      </c>
      <c r="DH86" s="1393">
        <v>6006081.463348229</v>
      </c>
      <c r="DI86" s="1393">
        <v>1.4506169588726891E7</v>
      </c>
      <c r="DJ86" s="1393">
        <v>0.0</v>
      </c>
      <c r="DK86" s="1393">
        <v>0.0</v>
      </c>
      <c r="DL86" s="1393">
        <v>3.69352938318884E7</v>
      </c>
      <c r="DM86" s="1393">
        <v>7253084.794363446</v>
      </c>
      <c r="DN86" s="1393">
        <v>0.0</v>
      </c>
      <c r="DO86" s="1393">
        <v>0.0</v>
      </c>
      <c r="DP86" s="1393">
        <v>5976788.364243354</v>
      </c>
      <c r="DQ86" s="1379">
        <f t="shared" si="34"/>
        <v>758652867.5</v>
      </c>
    </row>
    <row r="87" hidden="1">
      <c r="A87" s="1401"/>
      <c r="B87" s="1403">
        <f t="shared" si="33"/>
        <v>12</v>
      </c>
      <c r="C87" s="1404" t="s">
        <v>1185</v>
      </c>
      <c r="D87" s="185" t="s">
        <v>186</v>
      </c>
      <c r="E87" s="185" t="s">
        <v>730</v>
      </c>
      <c r="F87" s="185" t="s">
        <v>1896</v>
      </c>
      <c r="G87" s="185" t="s">
        <v>86</v>
      </c>
      <c r="H87" s="185" t="s">
        <v>86</v>
      </c>
      <c r="I87" s="185" t="s">
        <v>103</v>
      </c>
      <c r="J87" s="185" t="s">
        <v>253</v>
      </c>
      <c r="K87" s="185" t="s">
        <v>254</v>
      </c>
      <c r="L87" s="1390"/>
      <c r="M87" s="503">
        <v>3.20738539E8</v>
      </c>
      <c r="N87" s="503">
        <v>3.20738539E8</v>
      </c>
      <c r="O87" s="503">
        <v>3.20738539E8</v>
      </c>
      <c r="P87" s="503">
        <v>3.20738539E8</v>
      </c>
      <c r="Q87" s="503">
        <v>3.20738539E8</v>
      </c>
      <c r="R87" s="503">
        <v>3.20738539E8</v>
      </c>
      <c r="S87" s="503">
        <v>3.20738539E8</v>
      </c>
      <c r="T87" s="503">
        <v>3.20738539E8</v>
      </c>
      <c r="U87" s="503">
        <v>3.20738539E8</v>
      </c>
      <c r="V87" s="503">
        <v>3.20738539E8</v>
      </c>
      <c r="W87" s="503">
        <v>3.20738539E8</v>
      </c>
      <c r="X87" s="1405">
        <v>3.528123929E9</v>
      </c>
      <c r="Y87" s="1392">
        <f t="shared" si="3"/>
        <v>0</v>
      </c>
      <c r="Z87" s="1393">
        <v>0.0</v>
      </c>
      <c r="AA87" s="1393">
        <v>0.0</v>
      </c>
      <c r="AB87" s="1393">
        <v>0.0</v>
      </c>
      <c r="AC87" s="1393">
        <v>0.0</v>
      </c>
      <c r="AD87" s="1393">
        <v>0.0</v>
      </c>
      <c r="AE87" s="1393">
        <v>0.0</v>
      </c>
      <c r="AF87" s="1393">
        <v>0.0</v>
      </c>
      <c r="AG87" s="1393">
        <v>4.0435194619512625E7</v>
      </c>
      <c r="AH87" s="1393">
        <v>0.0</v>
      </c>
      <c r="AI87" s="1393">
        <v>0.0</v>
      </c>
      <c r="AJ87" s="1393">
        <v>2.2473454606907842E8</v>
      </c>
      <c r="AK87" s="1393">
        <v>0.0</v>
      </c>
      <c r="AL87" s="1393">
        <v>0.0</v>
      </c>
      <c r="AM87" s="1393">
        <v>0.0</v>
      </c>
      <c r="AN87" s="1393">
        <v>1.3133600068356952E7</v>
      </c>
      <c r="AO87" s="1393">
        <v>4.443343492392716E7</v>
      </c>
      <c r="AP87" s="1393">
        <v>0.0</v>
      </c>
      <c r="AQ87" s="1393">
        <v>0.0</v>
      </c>
      <c r="AR87" s="1393">
        <v>2.4656236322356972E8</v>
      </c>
      <c r="AS87" s="1393">
        <v>0.0</v>
      </c>
      <c r="AT87" s="1393">
        <v>0.0</v>
      </c>
      <c r="AU87" s="1393">
        <v>0.0</v>
      </c>
      <c r="AV87" s="1393">
        <v>1.4432253126156906E7</v>
      </c>
      <c r="AW87" s="1393">
        <v>4.129395778185278E7</v>
      </c>
      <c r="AX87" s="1393">
        <v>0.0</v>
      </c>
      <c r="AY87" s="1393">
        <v>0.0</v>
      </c>
      <c r="AZ87" s="1393">
        <v>2.292913668227431E8</v>
      </c>
      <c r="BA87" s="1393">
        <v>0.0</v>
      </c>
      <c r="BB87" s="1393">
        <v>0.0</v>
      </c>
      <c r="BC87" s="1393">
        <v>0.0</v>
      </c>
      <c r="BD87" s="1393">
        <v>1.3412531628690548E7</v>
      </c>
      <c r="BE87" s="1393">
        <v>4.08553137980421E7</v>
      </c>
      <c r="BF87" s="1393">
        <v>0.0</v>
      </c>
      <c r="BG87" s="1393">
        <v>0.0</v>
      </c>
      <c r="BH87" s="1393">
        <v>2.268771891404479E8</v>
      </c>
      <c r="BI87" s="1393">
        <v>0.0</v>
      </c>
      <c r="BJ87" s="1393">
        <v>0.0</v>
      </c>
      <c r="BK87" s="1393">
        <v>0.0</v>
      </c>
      <c r="BL87" s="1393">
        <v>1.3270057363141192E7</v>
      </c>
      <c r="BM87" s="1393">
        <v>4.1467277416001394E7</v>
      </c>
      <c r="BN87" s="1393">
        <v>0.0</v>
      </c>
      <c r="BO87" s="1393">
        <v>0.0</v>
      </c>
      <c r="BP87" s="1393">
        <v>2.3022815227054563E8</v>
      </c>
      <c r="BQ87" s="1393">
        <v>0.0</v>
      </c>
      <c r="BR87" s="1393">
        <v>0.0</v>
      </c>
      <c r="BS87" s="1393">
        <v>0.0</v>
      </c>
      <c r="BT87" s="1393">
        <v>1.3468826912547134E7</v>
      </c>
      <c r="BU87" s="1393">
        <v>4.337372735121942E7</v>
      </c>
      <c r="BV87" s="1393">
        <v>0.0</v>
      </c>
      <c r="BW87" s="1393">
        <v>0.0</v>
      </c>
      <c r="BX87" s="1393">
        <v>2.4070611808081764E8</v>
      </c>
      <c r="BY87" s="1393">
        <v>0.0</v>
      </c>
      <c r="BZ87" s="1393">
        <v>0.0</v>
      </c>
      <c r="CA87" s="1393">
        <v>0.0</v>
      </c>
      <c r="CB87" s="1393">
        <v>1.4088053584635803E7</v>
      </c>
      <c r="CC87" s="1393">
        <v>4.364248372641698E7</v>
      </c>
      <c r="CD87" s="1393">
        <v>0.0</v>
      </c>
      <c r="CE87" s="1393">
        <v>0.0</v>
      </c>
      <c r="CF87" s="1393">
        <v>2.4218276263301763E8</v>
      </c>
      <c r="CG87" s="1393">
        <v>0.0</v>
      </c>
      <c r="CH87" s="1393">
        <v>0.0</v>
      </c>
      <c r="CI87" s="1393">
        <v>0.0</v>
      </c>
      <c r="CJ87" s="1393">
        <v>1.4175347309344692E7</v>
      </c>
      <c r="CK87" s="1393">
        <v>4.221821508956019E7</v>
      </c>
      <c r="CL87" s="1393">
        <v>0.0</v>
      </c>
      <c r="CM87" s="1393">
        <v>0.0</v>
      </c>
      <c r="CN87" s="1393">
        <v>2.3433981540772095E8</v>
      </c>
      <c r="CO87" s="1393">
        <v>0.0</v>
      </c>
      <c r="CP87" s="1393">
        <v>0.0</v>
      </c>
      <c r="CQ87" s="1393">
        <v>0.0</v>
      </c>
      <c r="CR87" s="1393">
        <v>1.3712736090519143E7</v>
      </c>
      <c r="CS87" s="1393">
        <v>4.212436780220153E7</v>
      </c>
      <c r="CT87" s="1393">
        <v>0.0</v>
      </c>
      <c r="CU87" s="1393">
        <v>0.0</v>
      </c>
      <c r="CV87" s="1393">
        <v>2.338240191648503E8</v>
      </c>
      <c r="CW87" s="1393">
        <v>0.0</v>
      </c>
      <c r="CX87" s="1393">
        <v>0.0</v>
      </c>
      <c r="CY87" s="1393">
        <v>0.0</v>
      </c>
      <c r="CZ87" s="1393">
        <v>1.3682253914007645E7</v>
      </c>
      <c r="DA87" s="1393">
        <v>4.143343834567938E7</v>
      </c>
      <c r="DB87" s="1393">
        <v>0.0</v>
      </c>
      <c r="DC87" s="1393">
        <v>0.0</v>
      </c>
      <c r="DD87" s="1393">
        <v>2.3002562418817398E8</v>
      </c>
      <c r="DE87" s="1393">
        <v>0.0</v>
      </c>
      <c r="DF87" s="1393">
        <v>0.0</v>
      </c>
      <c r="DG87" s="1393">
        <v>0.0</v>
      </c>
      <c r="DH87" s="1393">
        <v>1.3457835774246048E7</v>
      </c>
      <c r="DI87" s="1393">
        <v>4.20817695900943E7</v>
      </c>
      <c r="DJ87" s="1393">
        <v>0.0</v>
      </c>
      <c r="DK87" s="1393">
        <v>0.0</v>
      </c>
      <c r="DL87" s="1393">
        <v>2.335889325097808E8</v>
      </c>
      <c r="DM87" s="1393">
        <v>0.0</v>
      </c>
      <c r="DN87" s="1393">
        <v>0.0</v>
      </c>
      <c r="DO87" s="1393">
        <v>0.0</v>
      </c>
      <c r="DP87" s="1393">
        <v>1.3668417752547117E7</v>
      </c>
      <c r="DQ87" s="1379">
        <f t="shared" si="34"/>
        <v>3186221983</v>
      </c>
    </row>
    <row r="88" hidden="1">
      <c r="A88" s="1401">
        <v>12.0</v>
      </c>
      <c r="B88" s="1402" t="s">
        <v>42</v>
      </c>
      <c r="C88" s="7"/>
      <c r="D88" s="1225"/>
      <c r="E88" s="1225"/>
      <c r="F88" s="1225"/>
      <c r="G88" s="1225"/>
      <c r="H88" s="1225"/>
      <c r="I88" s="1225"/>
      <c r="J88" s="1225"/>
      <c r="K88" s="1225"/>
      <c r="L88" s="1396">
        <f t="shared" ref="L88:X88" si="35">L89+L90+L91+L92+L93+L94+L95+L96+L97+L98+L99+L100+L101+L102+L103+L104+L105+L106+L107+L108+L109+L110+L111+L112+L113+L114+L115+L116+L117+L118+L119+L120+L121+L122+L123+L124+L125+L126+L127+L128+L129+L130+L131+L132</f>
        <v>65718721489</v>
      </c>
      <c r="M88" s="1396">
        <f t="shared" si="35"/>
        <v>65504951577</v>
      </c>
      <c r="N88" s="1396">
        <f t="shared" si="35"/>
        <v>65718721489</v>
      </c>
      <c r="O88" s="1396">
        <f t="shared" si="35"/>
        <v>65611697993</v>
      </c>
      <c r="P88" s="1396">
        <f t="shared" si="35"/>
        <v>65718721490</v>
      </c>
      <c r="Q88" s="1396">
        <f t="shared" si="35"/>
        <v>70621839571</v>
      </c>
      <c r="R88" s="1396">
        <f t="shared" si="35"/>
        <v>65718721491</v>
      </c>
      <c r="S88" s="1396">
        <f t="shared" si="35"/>
        <v>65670141992</v>
      </c>
      <c r="T88" s="1396">
        <f t="shared" si="35"/>
        <v>65660277495</v>
      </c>
      <c r="U88" s="1396">
        <f t="shared" si="35"/>
        <v>65670141993</v>
      </c>
      <c r="V88" s="1396">
        <f t="shared" si="35"/>
        <v>65660277496</v>
      </c>
      <c r="W88" s="1396">
        <f t="shared" si="35"/>
        <v>70670141994</v>
      </c>
      <c r="X88" s="1396">
        <f t="shared" si="35"/>
        <v>797944356067</v>
      </c>
      <c r="Y88" s="1392">
        <f t="shared" si="3"/>
        <v>0.000244140625</v>
      </c>
    </row>
    <row r="89" hidden="1">
      <c r="A89" s="1401"/>
      <c r="B89" s="1388">
        <v>1.0</v>
      </c>
      <c r="C89" s="1389" t="s">
        <v>1780</v>
      </c>
      <c r="D89" s="185" t="s">
        <v>186</v>
      </c>
      <c r="E89" s="185" t="s">
        <v>735</v>
      </c>
      <c r="F89" s="185" t="s">
        <v>1896</v>
      </c>
      <c r="G89" s="185" t="s">
        <v>86</v>
      </c>
      <c r="H89" s="185" t="s">
        <v>86</v>
      </c>
      <c r="I89" s="185" t="s">
        <v>103</v>
      </c>
      <c r="J89" s="185" t="s">
        <v>1889</v>
      </c>
      <c r="K89" s="185" t="s">
        <v>188</v>
      </c>
      <c r="L89" s="1390">
        <v>1.3727795797E10</v>
      </c>
      <c r="M89" s="1390">
        <v>1.3727795797E10</v>
      </c>
      <c r="N89" s="1390">
        <v>1.3727795797E10</v>
      </c>
      <c r="O89" s="1390">
        <v>1.3727795797E10</v>
      </c>
      <c r="P89" s="1390">
        <v>1.3727795797E10</v>
      </c>
      <c r="Q89" s="1390">
        <v>1.3727795797E10</v>
      </c>
      <c r="R89" s="1390">
        <v>1.3727795797E10</v>
      </c>
      <c r="S89" s="1390">
        <v>1.3727795797E10</v>
      </c>
      <c r="T89" s="1390">
        <v>1.3727795797E10</v>
      </c>
      <c r="U89" s="1390">
        <v>1.3727795797E10</v>
      </c>
      <c r="V89" s="1390">
        <v>1.3727795797E10</v>
      </c>
      <c r="W89" s="1390">
        <v>1.3727795797E10</v>
      </c>
      <c r="X89" s="1391">
        <v>1.64733549564E11</v>
      </c>
      <c r="Y89" s="1392">
        <f t="shared" si="3"/>
        <v>0</v>
      </c>
      <c r="Z89" s="1393">
        <v>1.6965022616383245E9</v>
      </c>
      <c r="AA89" s="1393">
        <v>0.0</v>
      </c>
      <c r="AB89" s="1393">
        <v>0.0</v>
      </c>
      <c r="AC89" s="1393">
        <v>9.452944272196888E9</v>
      </c>
      <c r="AD89" s="1393">
        <v>0.0</v>
      </c>
      <c r="AE89" s="1393">
        <v>0.0</v>
      </c>
      <c r="AF89" s="1393">
        <v>0.0</v>
      </c>
      <c r="AG89" s="1393">
        <v>5.510343755998318E8</v>
      </c>
      <c r="AH89" s="1393">
        <v>1.7306498198790584E9</v>
      </c>
      <c r="AI89" s="1393">
        <v>0.0</v>
      </c>
      <c r="AJ89" s="1393">
        <v>0.0</v>
      </c>
      <c r="AK89" s="1393">
        <v>9.61876912760957E9</v>
      </c>
      <c r="AL89" s="1393">
        <v>0.0</v>
      </c>
      <c r="AM89" s="1393">
        <v>0.0</v>
      </c>
      <c r="AN89" s="1393">
        <v>0.0</v>
      </c>
      <c r="AO89" s="1393">
        <v>5.62125712675487E8</v>
      </c>
      <c r="AP89" s="1393">
        <v>1.9017768276202078E9</v>
      </c>
      <c r="AQ89" s="1393">
        <v>0.0</v>
      </c>
      <c r="AR89" s="1393">
        <v>0.0</v>
      </c>
      <c r="AS89" s="1393">
        <v>1.0553012382334597E10</v>
      </c>
      <c r="AT89" s="1393">
        <v>0.0</v>
      </c>
      <c r="AU89" s="1393">
        <v>0.0</v>
      </c>
      <c r="AV89" s="1393">
        <v>0.0</v>
      </c>
      <c r="AW89" s="1393">
        <v>6.177088179805449E8</v>
      </c>
      <c r="AX89" s="1393">
        <v>1.7674053821116085E9</v>
      </c>
      <c r="AY89" s="1393">
        <v>0.0</v>
      </c>
      <c r="AZ89" s="1393">
        <v>0.0</v>
      </c>
      <c r="BA89" s="1393">
        <v>9.813803703076784E9</v>
      </c>
      <c r="BB89" s="1393">
        <v>0.0</v>
      </c>
      <c r="BC89" s="1393">
        <v>0.0</v>
      </c>
      <c r="BD89" s="1393">
        <v>0.0</v>
      </c>
      <c r="BE89" s="1393">
        <v>5.740641454984854E8</v>
      </c>
      <c r="BF89" s="1393">
        <v>1.7486311647814748E9</v>
      </c>
      <c r="BG89" s="1393">
        <v>0.0</v>
      </c>
      <c r="BH89" s="1393">
        <v>0.0</v>
      </c>
      <c r="BI89" s="1393">
        <v>9.710475495797575E9</v>
      </c>
      <c r="BJ89" s="1393">
        <v>0.0</v>
      </c>
      <c r="BK89" s="1393">
        <v>0.0</v>
      </c>
      <c r="BL89" s="1393">
        <v>0.0</v>
      </c>
      <c r="BM89" s="1393">
        <v>5.679661641648824E8</v>
      </c>
      <c r="BN89" s="1393">
        <v>1.7748235631403713E9</v>
      </c>
      <c r="BO89" s="1393">
        <v>0.0</v>
      </c>
      <c r="BP89" s="1393">
        <v>0.0</v>
      </c>
      <c r="BQ89" s="1393">
        <v>9.853898664452894E9</v>
      </c>
      <c r="BR89" s="1393">
        <v>0.0</v>
      </c>
      <c r="BS89" s="1393">
        <v>0.0</v>
      </c>
      <c r="BT89" s="1393">
        <v>0.0</v>
      </c>
      <c r="BU89" s="1393">
        <v>5.764736163513703E8</v>
      </c>
      <c r="BV89" s="1393">
        <v>1.8564207278885617E9</v>
      </c>
      <c r="BW89" s="1393">
        <v>0.0</v>
      </c>
      <c r="BX89" s="1393">
        <v>0.0</v>
      </c>
      <c r="BY89" s="1393">
        <v>1.0302361688135126E10</v>
      </c>
      <c r="BZ89" s="1393">
        <v>0.0</v>
      </c>
      <c r="CA89" s="1393">
        <v>0.0</v>
      </c>
      <c r="CB89" s="1393">
        <v>0.0</v>
      </c>
      <c r="CC89" s="1393">
        <v>6.029768776463566E8</v>
      </c>
      <c r="CD89" s="1393">
        <v>1.867923656876631E9</v>
      </c>
      <c r="CE89" s="1393">
        <v>0.0</v>
      </c>
      <c r="CF89" s="1393">
        <v>0.0</v>
      </c>
      <c r="CG89" s="1393">
        <v>1.036556293280175E10</v>
      </c>
      <c r="CH89" s="1393">
        <v>0.0</v>
      </c>
      <c r="CI89" s="1393">
        <v>0.0</v>
      </c>
      <c r="CJ89" s="1393">
        <v>0.0</v>
      </c>
      <c r="CK89" s="1393">
        <v>6.067130997757565E8</v>
      </c>
      <c r="CL89" s="1393">
        <v>1.8069641318136275E9</v>
      </c>
      <c r="CM89" s="1393">
        <v>0.0</v>
      </c>
      <c r="CN89" s="1393">
        <v>0.0</v>
      </c>
      <c r="CO89" s="1393">
        <v>1.002988023532734E10</v>
      </c>
      <c r="CP89" s="1393">
        <v>0.0</v>
      </c>
      <c r="CQ89" s="1393">
        <v>0.0</v>
      </c>
      <c r="CR89" s="1393">
        <v>0.0</v>
      </c>
      <c r="CS89" s="1393">
        <v>5.869130708636137E8</v>
      </c>
      <c r="CT89" s="1393">
        <v>1.802947413395633E9</v>
      </c>
      <c r="CU89" s="1393">
        <v>0.0</v>
      </c>
      <c r="CV89" s="1393">
        <v>0.0</v>
      </c>
      <c r="CW89" s="1393">
        <v>1.00078038564891E10</v>
      </c>
      <c r="CX89" s="1393">
        <v>0.0</v>
      </c>
      <c r="CY89" s="1393">
        <v>0.0</v>
      </c>
      <c r="CZ89" s="1393">
        <v>0.0</v>
      </c>
      <c r="DA89" s="1393">
        <v>5.856084160008005E8</v>
      </c>
      <c r="DB89" s="1393">
        <v>1.7733752312723358E9</v>
      </c>
      <c r="DC89" s="1393">
        <v>0.0</v>
      </c>
      <c r="DD89" s="1393">
        <v>0.0</v>
      </c>
      <c r="DE89" s="1393">
        <v>9.845230344872015E9</v>
      </c>
      <c r="DF89" s="1393">
        <v>0.0</v>
      </c>
      <c r="DG89" s="1393">
        <v>0.0</v>
      </c>
      <c r="DH89" s="1393">
        <v>0.0</v>
      </c>
      <c r="DI89" s="1393">
        <v>5.760031892469621E8</v>
      </c>
      <c r="DJ89" s="1393">
        <v>1.80112418517071E9</v>
      </c>
      <c r="DK89" s="1393">
        <v>0.0</v>
      </c>
      <c r="DL89" s="1393">
        <v>0.0</v>
      </c>
      <c r="DM89" s="1393">
        <v>9.997742011082384E9</v>
      </c>
      <c r="DN89" s="1393">
        <v>0.0</v>
      </c>
      <c r="DO89" s="1393">
        <v>0.0</v>
      </c>
      <c r="DP89" s="1393">
        <v>0.0</v>
      </c>
      <c r="DQ89" s="1393">
        <v>5.850162202523985E8</v>
      </c>
      <c r="DR89" s="1379">
        <f t="shared" ref="DR89:DR132" si="36">SUM(Z89:DQ89)</f>
        <v>148072632786</v>
      </c>
    </row>
    <row r="90" hidden="1">
      <c r="A90" s="1401"/>
      <c r="B90" s="1394">
        <f t="shared" ref="B90:B132" si="37">B89+1</f>
        <v>2</v>
      </c>
      <c r="C90" s="1389" t="s">
        <v>745</v>
      </c>
      <c r="D90" s="185" t="s">
        <v>186</v>
      </c>
      <c r="E90" s="185" t="s">
        <v>735</v>
      </c>
      <c r="F90" s="185" t="s">
        <v>1896</v>
      </c>
      <c r="G90" s="185" t="s">
        <v>86</v>
      </c>
      <c r="H90" s="185" t="s">
        <v>86</v>
      </c>
      <c r="I90" s="185" t="s">
        <v>103</v>
      </c>
      <c r="J90" s="185" t="s">
        <v>366</v>
      </c>
      <c r="K90" s="185" t="e">
        <v>#N/A</v>
      </c>
      <c r="L90" s="1390">
        <v>1.80581802697166E8</v>
      </c>
      <c r="M90" s="1390">
        <v>1.80581802697166E8</v>
      </c>
      <c r="N90" s="1390">
        <v>1.80581802697166E8</v>
      </c>
      <c r="O90" s="1390">
        <v>1.80581802697166E8</v>
      </c>
      <c r="P90" s="1390">
        <v>1.80581802697166E8</v>
      </c>
      <c r="Q90" s="1390">
        <v>1.80581802697166E8</v>
      </c>
      <c r="R90" s="1390">
        <v>1.80581802697166E8</v>
      </c>
      <c r="S90" s="1390">
        <v>1.80581802697166E8</v>
      </c>
      <c r="T90" s="1390">
        <v>1.80581802697166E8</v>
      </c>
      <c r="U90" s="1390">
        <v>1.80581802697166E8</v>
      </c>
      <c r="V90" s="1390">
        <v>1.80581802697166E8</v>
      </c>
      <c r="W90" s="1390">
        <v>1.80581802697166E8</v>
      </c>
      <c r="X90" s="1391">
        <v>2.166981632365992E9</v>
      </c>
      <c r="Y90" s="1392">
        <f t="shared" si="3"/>
        <v>0</v>
      </c>
      <c r="Z90" s="1393">
        <v>2.231657880236079E7</v>
      </c>
      <c r="AA90" s="1393">
        <v>0.0</v>
      </c>
      <c r="AB90" s="1393">
        <v>0.0</v>
      </c>
      <c r="AC90" s="1393">
        <v>1.2434842000215426E8</v>
      </c>
      <c r="AD90" s="1393">
        <v>0.0</v>
      </c>
      <c r="AE90" s="1393">
        <v>0.0</v>
      </c>
      <c r="AF90" s="1393">
        <v>0.0</v>
      </c>
      <c r="AG90" s="1393">
        <v>7248562.141029997</v>
      </c>
      <c r="AH90" s="1393">
        <v>2.276577164555313E7</v>
      </c>
      <c r="AI90" s="1393">
        <v>0.0</v>
      </c>
      <c r="AJ90" s="1393">
        <v>0.0</v>
      </c>
      <c r="AK90" s="1393">
        <v>1.2652975717858303E8</v>
      </c>
      <c r="AL90" s="1393">
        <v>0.0</v>
      </c>
      <c r="AM90" s="1393">
        <v>0.0</v>
      </c>
      <c r="AN90" s="1393">
        <v>0.0</v>
      </c>
      <c r="AO90" s="1393">
        <v>7394462.741028826</v>
      </c>
      <c r="AP90" s="1393">
        <v>2.501685579664619E7</v>
      </c>
      <c r="AQ90" s="1393">
        <v>0.0</v>
      </c>
      <c r="AR90" s="1393">
        <v>0.0</v>
      </c>
      <c r="AS90" s="1393">
        <v>1.3881922692235512E8</v>
      </c>
      <c r="AT90" s="1393">
        <v>0.0</v>
      </c>
      <c r="AU90" s="1393">
        <v>0.0</v>
      </c>
      <c r="AV90" s="1393">
        <v>0.0</v>
      </c>
      <c r="AW90" s="1393">
        <v>8125628.727463973</v>
      </c>
      <c r="AX90" s="1393">
        <v>2.3249271384713896E7</v>
      </c>
      <c r="AY90" s="1393">
        <v>0.0</v>
      </c>
      <c r="AZ90" s="1393">
        <v>0.0</v>
      </c>
      <c r="BA90" s="1393">
        <v>1.290953325809971E8</v>
      </c>
      <c r="BB90" s="1393">
        <v>0.0</v>
      </c>
      <c r="BC90" s="1393">
        <v>0.0</v>
      </c>
      <c r="BD90" s="1393">
        <v>0.0</v>
      </c>
      <c r="BE90" s="1393">
        <v>7551506.431977902</v>
      </c>
      <c r="BF90" s="1393">
        <v>2.3002306609025374E7</v>
      </c>
      <c r="BG90" s="1393">
        <v>0.0</v>
      </c>
      <c r="BH90" s="1393">
        <v>0.0</v>
      </c>
      <c r="BI90" s="1393">
        <v>1.2773610534482099E8</v>
      </c>
      <c r="BJ90" s="1393">
        <v>0.0</v>
      </c>
      <c r="BK90" s="1393">
        <v>0.0</v>
      </c>
      <c r="BL90" s="1393">
        <v>0.0</v>
      </c>
      <c r="BM90" s="1393">
        <v>7471290.752904618</v>
      </c>
      <c r="BN90" s="1393">
        <v>2.3346853583831444E7</v>
      </c>
      <c r="BO90" s="1393">
        <v>0.0</v>
      </c>
      <c r="BP90" s="1393">
        <v>0.0</v>
      </c>
      <c r="BQ90" s="1393">
        <v>1.296227603276972E8</v>
      </c>
      <c r="BR90" s="1393">
        <v>0.0</v>
      </c>
      <c r="BS90" s="1393">
        <v>0.0</v>
      </c>
      <c r="BT90" s="1393">
        <v>0.0</v>
      </c>
      <c r="BU90" s="1393">
        <v>7583201.730814974</v>
      </c>
      <c r="BV90" s="1393">
        <v>2.4420220592133388E7</v>
      </c>
      <c r="BW90" s="1393">
        <v>0.0</v>
      </c>
      <c r="BX90" s="1393">
        <v>0.0</v>
      </c>
      <c r="BY90" s="1393">
        <v>1.3552205125954932E8</v>
      </c>
      <c r="BZ90" s="1393">
        <v>0.0</v>
      </c>
      <c r="CA90" s="1393">
        <v>0.0</v>
      </c>
      <c r="CB90" s="1393">
        <v>0.0</v>
      </c>
      <c r="CC90" s="1393">
        <v>7931837.941083235</v>
      </c>
      <c r="CD90" s="1393">
        <v>2.4571535463339217E7</v>
      </c>
      <c r="CE90" s="1393">
        <v>0.0</v>
      </c>
      <c r="CF90" s="1393">
        <v>0.0</v>
      </c>
      <c r="CG90" s="1393">
        <v>1.3635342978989553E8</v>
      </c>
      <c r="CH90" s="1393">
        <v>0.0</v>
      </c>
      <c r="CI90" s="1393">
        <v>0.0</v>
      </c>
      <c r="CJ90" s="1393">
        <v>0.0</v>
      </c>
      <c r="CK90" s="1393">
        <v>7980985.942509036</v>
      </c>
      <c r="CL90" s="1393">
        <v>2.376964555397402E7</v>
      </c>
      <c r="CM90" s="1393">
        <v>0.0</v>
      </c>
      <c r="CN90" s="1393">
        <v>0.0</v>
      </c>
      <c r="CO90" s="1393">
        <v>1.3193770365726884E8</v>
      </c>
      <c r="CP90" s="1393">
        <v>0.0</v>
      </c>
      <c r="CQ90" s="1393">
        <v>0.0</v>
      </c>
      <c r="CR90" s="1393">
        <v>0.0</v>
      </c>
      <c r="CS90" s="1393">
        <v>7720527.164764679</v>
      </c>
      <c r="CT90" s="1393">
        <v>2.371680777407298E7</v>
      </c>
      <c r="CU90" s="1393">
        <v>0.0</v>
      </c>
      <c r="CV90" s="1393">
        <v>0.0</v>
      </c>
      <c r="CW90" s="1393">
        <v>1.3164730071519518E8</v>
      </c>
      <c r="CX90" s="1393">
        <v>0.0</v>
      </c>
      <c r="CY90" s="1393">
        <v>0.0</v>
      </c>
      <c r="CZ90" s="1393">
        <v>0.0</v>
      </c>
      <c r="DA90" s="1393">
        <v>7703365.128665925</v>
      </c>
      <c r="DB90" s="1393">
        <v>2.33278015536657E7</v>
      </c>
      <c r="DC90" s="1393">
        <v>0.0</v>
      </c>
      <c r="DD90" s="1393">
        <v>0.0</v>
      </c>
      <c r="DE90" s="1393">
        <v>1.2950873322535554E8</v>
      </c>
      <c r="DF90" s="1393">
        <v>0.0</v>
      </c>
      <c r="DG90" s="1393">
        <v>0.0</v>
      </c>
      <c r="DH90" s="1393">
        <v>0.0</v>
      </c>
      <c r="DI90" s="1393">
        <v>7577013.5141625805</v>
      </c>
      <c r="DJ90" s="1393">
        <v>2.3692824183083307E7</v>
      </c>
      <c r="DK90" s="1393">
        <v>0.0</v>
      </c>
      <c r="DL90" s="1393">
        <v>0.0</v>
      </c>
      <c r="DM90" s="1393">
        <v>1.3151494252682513E8</v>
      </c>
      <c r="DN90" s="1393">
        <v>0.0</v>
      </c>
      <c r="DO90" s="1393">
        <v>0.0</v>
      </c>
      <c r="DP90" s="1393">
        <v>0.0</v>
      </c>
      <c r="DQ90" s="1393">
        <v>7695575.110706932</v>
      </c>
      <c r="DR90" s="1379">
        <f t="shared" si="36"/>
        <v>1947816194</v>
      </c>
    </row>
    <row r="91" hidden="1">
      <c r="A91" s="1401"/>
      <c r="B91" s="1394">
        <f t="shared" si="37"/>
        <v>3</v>
      </c>
      <c r="C91" s="1389" t="s">
        <v>751</v>
      </c>
      <c r="D91" s="185" t="s">
        <v>186</v>
      </c>
      <c r="E91" s="185" t="s">
        <v>735</v>
      </c>
      <c r="F91" s="185" t="s">
        <v>1896</v>
      </c>
      <c r="G91" s="185" t="s">
        <v>86</v>
      </c>
      <c r="H91" s="185" t="s">
        <v>86</v>
      </c>
      <c r="I91" s="185" t="s">
        <v>103</v>
      </c>
      <c r="J91" s="185" t="s">
        <v>752</v>
      </c>
      <c r="K91" s="185" t="s">
        <v>367</v>
      </c>
      <c r="L91" s="1390">
        <v>1.68918778E8</v>
      </c>
      <c r="M91" s="1390">
        <v>1.68918778E8</v>
      </c>
      <c r="N91" s="1390">
        <v>1.68918778E8</v>
      </c>
      <c r="O91" s="1390">
        <v>1.68918778E8</v>
      </c>
      <c r="P91" s="1390">
        <v>1.68918778E8</v>
      </c>
      <c r="Q91" s="1390">
        <v>1.68918778E8</v>
      </c>
      <c r="R91" s="1390">
        <v>1.68918778E8</v>
      </c>
      <c r="S91" s="1390">
        <v>1.68918778E8</v>
      </c>
      <c r="T91" s="1390">
        <v>1.68918778E8</v>
      </c>
      <c r="U91" s="1390">
        <v>1.68918778E8</v>
      </c>
      <c r="V91" s="1390">
        <v>1.68918778E8</v>
      </c>
      <c r="W91" s="1390">
        <v>1.68918778E8</v>
      </c>
      <c r="X91" s="1391">
        <v>2.027025336E9</v>
      </c>
      <c r="Y91" s="1392">
        <f t="shared" si="3"/>
        <v>0</v>
      </c>
      <c r="Z91" s="1393">
        <v>2.087524415047081E7</v>
      </c>
      <c r="AA91" s="1393">
        <v>0.0</v>
      </c>
      <c r="AB91" s="1393">
        <v>0.0</v>
      </c>
      <c r="AC91" s="1393">
        <v>1.163172747157668E8</v>
      </c>
      <c r="AD91" s="1393">
        <v>0.0</v>
      </c>
      <c r="AE91" s="1393">
        <v>0.0</v>
      </c>
      <c r="AF91" s="1393">
        <v>0.0</v>
      </c>
      <c r="AG91" s="1393">
        <v>6780407.775489918</v>
      </c>
      <c r="AH91" s="1393">
        <v>2.1295425503326394E7</v>
      </c>
      <c r="AI91" s="1393">
        <v>0.0</v>
      </c>
      <c r="AJ91" s="1393">
        <v>0.0</v>
      </c>
      <c r="AK91" s="1393">
        <v>1.1835772843117376E8</v>
      </c>
      <c r="AL91" s="1393">
        <v>0.0</v>
      </c>
      <c r="AM91" s="1393">
        <v>0.0</v>
      </c>
      <c r="AN91" s="1393">
        <v>0.0</v>
      </c>
      <c r="AO91" s="1393">
        <v>6916885.264877923</v>
      </c>
      <c r="AP91" s="1393">
        <v>2.340112152750156E7</v>
      </c>
      <c r="AQ91" s="1393">
        <v>0.0</v>
      </c>
      <c r="AR91" s="1393">
        <v>0.0</v>
      </c>
      <c r="AS91" s="1393">
        <v>1.2985347263341354E8</v>
      </c>
      <c r="AT91" s="1393">
        <v>0.0</v>
      </c>
      <c r="AU91" s="1393">
        <v>0.0</v>
      </c>
      <c r="AV91" s="1393">
        <v>0.0</v>
      </c>
      <c r="AW91" s="1393">
        <v>7600828.292907777</v>
      </c>
      <c r="AX91" s="1393">
        <v>2.1747698012973E7</v>
      </c>
      <c r="AY91" s="1393">
        <v>0.0</v>
      </c>
      <c r="AZ91" s="1393">
        <v>0.0</v>
      </c>
      <c r="BA91" s="1393">
        <v>1.2075760402976552E8</v>
      </c>
      <c r="BB91" s="1393">
        <v>0.0</v>
      </c>
      <c r="BC91" s="1393">
        <v>0.0</v>
      </c>
      <c r="BD91" s="1393">
        <v>0.0</v>
      </c>
      <c r="BE91" s="1393">
        <v>7063786.1594947195</v>
      </c>
      <c r="BF91" s="1393">
        <v>2.151668366105456E7</v>
      </c>
      <c r="BG91" s="1393">
        <v>0.0</v>
      </c>
      <c r="BH91" s="1393">
        <v>0.0</v>
      </c>
      <c r="BI91" s="1393">
        <v>1.1948616360592492E8</v>
      </c>
      <c r="BJ91" s="1393">
        <v>0.0</v>
      </c>
      <c r="BK91" s="1393">
        <v>0.0</v>
      </c>
      <c r="BL91" s="1393">
        <v>0.0</v>
      </c>
      <c r="BM91" s="1393">
        <v>6988751.276227869</v>
      </c>
      <c r="BN91" s="1393">
        <v>2.1838977785260636E7</v>
      </c>
      <c r="BO91" s="1393">
        <v>0.0</v>
      </c>
      <c r="BP91" s="1393">
        <v>0.0</v>
      </c>
      <c r="BQ91" s="1393">
        <v>1.2125096742034638E8</v>
      </c>
      <c r="BR91" s="1393">
        <v>0.0</v>
      </c>
      <c r="BS91" s="1393">
        <v>0.0</v>
      </c>
      <c r="BT91" s="1393">
        <v>0.0</v>
      </c>
      <c r="BU91" s="1393">
        <v>7093434.391309535</v>
      </c>
      <c r="BV91" s="1393">
        <v>2.2843020499863163E7</v>
      </c>
      <c r="BW91" s="1393">
        <v>0.0</v>
      </c>
      <c r="BX91" s="1393">
        <v>0.0</v>
      </c>
      <c r="BY91" s="1393">
        <v>1.2676924778077705E8</v>
      </c>
      <c r="BZ91" s="1393">
        <v>0.0</v>
      </c>
      <c r="CA91" s="1393">
        <v>0.0</v>
      </c>
      <c r="CB91" s="1393">
        <v>0.0</v>
      </c>
      <c r="CC91" s="1393">
        <v>7419553.644332088</v>
      </c>
      <c r="CD91" s="1393">
        <v>2.2984562575285792E7</v>
      </c>
      <c r="CE91" s="1393">
        <v>0.0</v>
      </c>
      <c r="CF91" s="1393">
        <v>0.0</v>
      </c>
      <c r="CG91" s="1393">
        <v>1.2754693104289971E8</v>
      </c>
      <c r="CH91" s="1393">
        <v>0.0</v>
      </c>
      <c r="CI91" s="1393">
        <v>0.0</v>
      </c>
      <c r="CJ91" s="1393">
        <v>0.0</v>
      </c>
      <c r="CK91" s="1393">
        <v>7465527.38154143</v>
      </c>
      <c r="CL91" s="1393">
        <v>2.2234463387231637E7</v>
      </c>
      <c r="CM91" s="1393">
        <v>0.0</v>
      </c>
      <c r="CN91" s="1393">
        <v>0.0</v>
      </c>
      <c r="CO91" s="1393">
        <v>1.234163982252778E8</v>
      </c>
      <c r="CP91" s="1393">
        <v>0.0</v>
      </c>
      <c r="CQ91" s="1393">
        <v>0.0</v>
      </c>
      <c r="CR91" s="1393">
        <v>0.0</v>
      </c>
      <c r="CS91" s="1393">
        <v>7221890.548821734</v>
      </c>
      <c r="CT91" s="1393">
        <v>2.2185038178933743E7</v>
      </c>
      <c r="CU91" s="1393">
        <v>0.0</v>
      </c>
      <c r="CV91" s="1393">
        <v>0.0</v>
      </c>
      <c r="CW91" s="1393">
        <v>1.2314475119678427E8</v>
      </c>
      <c r="CX91" s="1393">
        <v>0.0</v>
      </c>
      <c r="CY91" s="1393">
        <v>0.0</v>
      </c>
      <c r="CZ91" s="1393">
        <v>0.0</v>
      </c>
      <c r="DA91" s="1393">
        <v>7205836.9369821455</v>
      </c>
      <c r="DB91" s="1393">
        <v>2.1821156246180017E7</v>
      </c>
      <c r="DC91" s="1393">
        <v>0.0</v>
      </c>
      <c r="DD91" s="1393">
        <v>0.0</v>
      </c>
      <c r="DE91" s="1393">
        <v>1.2114430485247548E8</v>
      </c>
      <c r="DF91" s="1393">
        <v>0.0</v>
      </c>
      <c r="DG91" s="1393">
        <v>0.0</v>
      </c>
      <c r="DH91" s="1393">
        <v>0.0</v>
      </c>
      <c r="DI91" s="1393">
        <v>7087645.845734572</v>
      </c>
      <c r="DJ91" s="1393">
        <v>2.2162603587953273E7</v>
      </c>
      <c r="DK91" s="1393">
        <v>0.0</v>
      </c>
      <c r="DL91" s="1393">
        <v>0.0</v>
      </c>
      <c r="DM91" s="1393">
        <v>1.2302094147119828E8</v>
      </c>
      <c r="DN91" s="1393">
        <v>0.0</v>
      </c>
      <c r="DO91" s="1393">
        <v>0.0</v>
      </c>
      <c r="DP91" s="1393">
        <v>0.0</v>
      </c>
      <c r="DQ91" s="1393">
        <v>7198550.043759367</v>
      </c>
      <c r="DR91" s="1379">
        <f t="shared" si="36"/>
        <v>1822014878</v>
      </c>
    </row>
    <row r="92" hidden="1">
      <c r="A92" s="1401"/>
      <c r="B92" s="1394">
        <f t="shared" si="37"/>
        <v>4</v>
      </c>
      <c r="C92" s="1389" t="s">
        <v>1781</v>
      </c>
      <c r="D92" s="185" t="s">
        <v>186</v>
      </c>
      <c r="E92" s="185" t="s">
        <v>735</v>
      </c>
      <c r="F92" s="185" t="s">
        <v>1896</v>
      </c>
      <c r="G92" s="185" t="s">
        <v>86</v>
      </c>
      <c r="H92" s="185" t="s">
        <v>86</v>
      </c>
      <c r="I92" s="185" t="s">
        <v>103</v>
      </c>
      <c r="J92" s="185" t="s">
        <v>253</v>
      </c>
      <c r="K92" s="185" t="s">
        <v>254</v>
      </c>
      <c r="L92" s="1390">
        <v>5.67980744332686E8</v>
      </c>
      <c r="M92" s="1390">
        <v>5.67980744332686E8</v>
      </c>
      <c r="N92" s="1390">
        <v>5.67980744332686E8</v>
      </c>
      <c r="O92" s="1390">
        <v>5.67980744332686E8</v>
      </c>
      <c r="P92" s="1390">
        <v>5.67980744332686E8</v>
      </c>
      <c r="Q92" s="1390">
        <v>5.67980744332686E8</v>
      </c>
      <c r="R92" s="1390">
        <v>5.67980744332686E8</v>
      </c>
      <c r="S92" s="1390">
        <v>5.67980744332686E8</v>
      </c>
      <c r="T92" s="1390">
        <v>5.67980744332686E8</v>
      </c>
      <c r="U92" s="1390">
        <v>5.67980744332686E8</v>
      </c>
      <c r="V92" s="1390">
        <v>5.67980744332686E8</v>
      </c>
      <c r="W92" s="1390">
        <v>5.67980744332686E8</v>
      </c>
      <c r="X92" s="1391">
        <v>6.815768931992229E9</v>
      </c>
      <c r="Y92" s="1392">
        <f t="shared" si="3"/>
        <v>0</v>
      </c>
      <c r="Z92" s="1393">
        <v>7.01919398843328E7</v>
      </c>
      <c r="AA92" s="1393">
        <v>0.0</v>
      </c>
      <c r="AB92" s="1393">
        <v>0.0</v>
      </c>
      <c r="AC92" s="1393">
        <v>3.911108821294618E8</v>
      </c>
      <c r="AD92" s="1393">
        <v>0.0</v>
      </c>
      <c r="AE92" s="1393">
        <v>0.0</v>
      </c>
      <c r="AF92" s="1393">
        <v>0.0</v>
      </c>
      <c r="AG92" s="1393">
        <v>2.2798774066444494E7</v>
      </c>
      <c r="AH92" s="1393">
        <v>7.160477817487283E7</v>
      </c>
      <c r="AI92" s="1393">
        <v>0.0</v>
      </c>
      <c r="AJ92" s="1393">
        <v>0.0</v>
      </c>
      <c r="AK92" s="1393">
        <v>3.979718032998319E8</v>
      </c>
      <c r="AL92" s="1393">
        <v>0.0</v>
      </c>
      <c r="AM92" s="1393">
        <v>0.0</v>
      </c>
      <c r="AN92" s="1393">
        <v>0.0</v>
      </c>
      <c r="AO92" s="1393">
        <v>2.325767263843899E7</v>
      </c>
      <c r="AP92" s="1393">
        <v>7.86850732688226E7</v>
      </c>
      <c r="AQ92" s="1393">
        <v>0.0</v>
      </c>
      <c r="AR92" s="1393">
        <v>0.0</v>
      </c>
      <c r="AS92" s="1393">
        <v>4.366256547304071E8</v>
      </c>
      <c r="AT92" s="1393">
        <v>0.0</v>
      </c>
      <c r="AU92" s="1393">
        <v>0.0</v>
      </c>
      <c r="AV92" s="1393">
        <v>0.0</v>
      </c>
      <c r="AW92" s="1393">
        <v>2.555739606019822E7</v>
      </c>
      <c r="AX92" s="1393">
        <v>7.312552133742572E7</v>
      </c>
      <c r="AY92" s="1393">
        <v>0.0</v>
      </c>
      <c r="AZ92" s="1393">
        <v>0.0</v>
      </c>
      <c r="BA92" s="1393">
        <v>4.0604126215415776E8</v>
      </c>
      <c r="BB92" s="1393">
        <v>0.0</v>
      </c>
      <c r="BC92" s="1393">
        <v>0.0</v>
      </c>
      <c r="BD92" s="1393">
        <v>0.0</v>
      </c>
      <c r="BE92" s="1393">
        <v>2.3751619376957223E7</v>
      </c>
      <c r="BF92" s="1393">
        <v>7.234874740436916E7</v>
      </c>
      <c r="BG92" s="1393">
        <v>0.0</v>
      </c>
      <c r="BH92" s="1393">
        <v>0.0</v>
      </c>
      <c r="BI92" s="1393">
        <v>4.017661088120725E8</v>
      </c>
      <c r="BJ92" s="1393">
        <v>0.0</v>
      </c>
      <c r="BK92" s="1393">
        <v>0.0</v>
      </c>
      <c r="BL92" s="1393">
        <v>0.0</v>
      </c>
      <c r="BM92" s="1393">
        <v>2.3499318422892652E7</v>
      </c>
      <c r="BN92" s="1393">
        <v>7.343244489927183E7</v>
      </c>
      <c r="BO92" s="1393">
        <v>0.0</v>
      </c>
      <c r="BP92" s="1393">
        <v>0.0</v>
      </c>
      <c r="BQ92" s="1393">
        <v>4.077001713004731E8</v>
      </c>
      <c r="BR92" s="1393">
        <v>0.0</v>
      </c>
      <c r="BS92" s="1393">
        <v>0.0</v>
      </c>
      <c r="BT92" s="1393">
        <v>0.0</v>
      </c>
      <c r="BU92" s="1393">
        <v>2.3851310038787182E7</v>
      </c>
      <c r="BV92" s="1393">
        <v>7.680848713172129E7</v>
      </c>
      <c r="BW92" s="1393">
        <v>0.0</v>
      </c>
      <c r="BX92" s="1393">
        <v>0.0</v>
      </c>
      <c r="BY92" s="1393">
        <v>4.262551065401411E8</v>
      </c>
      <c r="BZ92" s="1393">
        <v>0.0</v>
      </c>
      <c r="CA92" s="1393">
        <v>0.0</v>
      </c>
      <c r="CB92" s="1393">
        <v>0.0</v>
      </c>
      <c r="CC92" s="1393">
        <v>2.4947869333532784E7</v>
      </c>
      <c r="CD92" s="1393">
        <v>7.728441511500885E7</v>
      </c>
      <c r="CE92" s="1393">
        <v>0.0</v>
      </c>
      <c r="CF92" s="1393">
        <v>0.0</v>
      </c>
      <c r="CG92" s="1393">
        <v>4.288700267006191E8</v>
      </c>
      <c r="CH92" s="1393">
        <v>0.0</v>
      </c>
      <c r="CI92" s="1393">
        <v>0.0</v>
      </c>
      <c r="CJ92" s="1393">
        <v>0.0</v>
      </c>
      <c r="CK92" s="1393">
        <v>2.5102453671574328E7</v>
      </c>
      <c r="CL92" s="1393">
        <v>7.476224499159993E7</v>
      </c>
      <c r="CM92" s="1393">
        <v>0.0</v>
      </c>
      <c r="CN92" s="1393">
        <v>0.0</v>
      </c>
      <c r="CO92" s="1393">
        <v>4.1498132153698426E8</v>
      </c>
      <c r="CP92" s="1393">
        <v>0.0</v>
      </c>
      <c r="CQ92" s="1393">
        <v>0.0</v>
      </c>
      <c r="CR92" s="1393">
        <v>0.0</v>
      </c>
      <c r="CS92" s="1393">
        <v>2.4283237292948913E7</v>
      </c>
      <c r="CT92" s="1393">
        <v>7.459605525869861E7</v>
      </c>
      <c r="CU92" s="1393">
        <v>0.0</v>
      </c>
      <c r="CV92" s="1393">
        <v>0.0</v>
      </c>
      <c r="CW92" s="1393">
        <v>4.1406792230886817E8</v>
      </c>
      <c r="CX92" s="1393">
        <v>0.0</v>
      </c>
      <c r="CY92" s="1393">
        <v>0.0</v>
      </c>
      <c r="CZ92" s="1393">
        <v>0.0</v>
      </c>
      <c r="DA92" s="1393">
        <v>2.4229257844897985E7</v>
      </c>
      <c r="DB92" s="1393">
        <v>7.337252088637039E7</v>
      </c>
      <c r="DC92" s="1393">
        <v>0.0</v>
      </c>
      <c r="DD92" s="1393">
        <v>0.0</v>
      </c>
      <c r="DE92" s="1393">
        <v>4.073415238759E8</v>
      </c>
      <c r="DF92" s="1393">
        <v>0.0</v>
      </c>
      <c r="DG92" s="1393">
        <v>0.0</v>
      </c>
      <c r="DH92" s="1393">
        <v>0.0</v>
      </c>
      <c r="DI92" s="1393">
        <v>2.3831846350598104E7</v>
      </c>
      <c r="DJ92" s="1393">
        <v>7.452062009491897E7</v>
      </c>
      <c r="DK92" s="1393">
        <v>0.0</v>
      </c>
      <c r="DL92" s="1393">
        <v>0.0</v>
      </c>
      <c r="DM92" s="1393">
        <v>4.136516184442146E8</v>
      </c>
      <c r="DN92" s="1393">
        <v>0.0</v>
      </c>
      <c r="DO92" s="1393">
        <v>0.0</v>
      </c>
      <c r="DP92" s="1393">
        <v>0.0</v>
      </c>
      <c r="DQ92" s="1393">
        <v>2.4204756039441243E7</v>
      </c>
      <c r="DR92" s="1379">
        <f t="shared" si="36"/>
        <v>6126431761</v>
      </c>
    </row>
    <row r="93" hidden="1">
      <c r="A93" s="1401"/>
      <c r="B93" s="1394">
        <f t="shared" si="37"/>
        <v>5</v>
      </c>
      <c r="C93" s="1389" t="s">
        <v>1899</v>
      </c>
      <c r="D93" s="185" t="s">
        <v>186</v>
      </c>
      <c r="E93" s="185" t="s">
        <v>735</v>
      </c>
      <c r="F93" s="185" t="s">
        <v>1896</v>
      </c>
      <c r="G93" s="185" t="s">
        <v>132</v>
      </c>
      <c r="H93" s="185" t="s">
        <v>132</v>
      </c>
      <c r="I93" s="185" t="s">
        <v>103</v>
      </c>
      <c r="J93" s="185" t="s">
        <v>253</v>
      </c>
      <c r="K93" s="185" t="s">
        <v>254</v>
      </c>
      <c r="L93" s="1390">
        <v>3.143888900939921E8</v>
      </c>
      <c r="M93" s="1390">
        <v>2.941057358943797E8</v>
      </c>
      <c r="N93" s="1390">
        <v>3.143888900939921E8</v>
      </c>
      <c r="O93" s="1390">
        <v>3.042473129941859E8</v>
      </c>
      <c r="P93" s="1390">
        <v>3.143888900939921E8</v>
      </c>
      <c r="Q93" s="1390">
        <v>3.143888900939921E8</v>
      </c>
      <c r="R93" s="1390">
        <v>3.143888900939921E8</v>
      </c>
      <c r="S93" s="1390">
        <v>3.143888900939921E8</v>
      </c>
      <c r="T93" s="1390">
        <v>3.042473129941859E8</v>
      </c>
      <c r="U93" s="1390">
        <v>3.143888900939921E8</v>
      </c>
      <c r="V93" s="1390">
        <v>3.042473129941859E8</v>
      </c>
      <c r="W93" s="1390">
        <v>3.143888900939921E8</v>
      </c>
      <c r="X93" s="1391">
        <v>3.7219587956288753E9</v>
      </c>
      <c r="Y93" s="1392">
        <f t="shared" si="3"/>
        <v>0</v>
      </c>
      <c r="Z93" s="1393">
        <v>0.0</v>
      </c>
      <c r="AA93" s="1393">
        <v>5.7233886260069944E7</v>
      </c>
      <c r="AB93" s="1393">
        <v>0.0</v>
      </c>
      <c r="AC93" s="1393">
        <v>7.230267250587168E7</v>
      </c>
      <c r="AD93" s="1393">
        <v>4.097344378104347E7</v>
      </c>
      <c r="AE93" s="1393">
        <v>6099385.247056589</v>
      </c>
      <c r="AF93" s="1393">
        <v>0.0</v>
      </c>
      <c r="AG93" s="1393">
        <v>2.6512909279869135E7</v>
      </c>
      <c r="AH93" s="1393">
        <v>0.0</v>
      </c>
      <c r="AI93" s="1393">
        <v>5.7000184589237496E7</v>
      </c>
      <c r="AJ93" s="1393">
        <v>0.0</v>
      </c>
      <c r="AK93" s="1393">
        <v>7.442367958692236E7</v>
      </c>
      <c r="AL93" s="1393">
        <v>4.080613796106336E7</v>
      </c>
      <c r="AM93" s="1393">
        <v>6074479.7825419</v>
      </c>
      <c r="AN93" s="1393">
        <v>0.0</v>
      </c>
      <c r="AO93" s="1393">
        <v>2.59214020436789E7</v>
      </c>
      <c r="AP93" s="1393">
        <v>0.0</v>
      </c>
      <c r="AQ93" s="1393">
        <v>5.7243143021623924E7</v>
      </c>
      <c r="AR93" s="1393">
        <v>0.0</v>
      </c>
      <c r="AS93" s="1393">
        <v>7.230267250587168E7</v>
      </c>
      <c r="AT93" s="1393">
        <v>4.0980070648864456E7</v>
      </c>
      <c r="AU93" s="1393">
        <v>6100371.735281439</v>
      </c>
      <c r="AV93" s="1393">
        <v>0.0</v>
      </c>
      <c r="AW93" s="1393">
        <v>2.6519536147690125E7</v>
      </c>
      <c r="AX93" s="1393">
        <v>0.0</v>
      </c>
      <c r="AY93" s="1393">
        <v>5.661551799350667E7</v>
      </c>
      <c r="AZ93" s="1393">
        <v>0.0</v>
      </c>
      <c r="BA93" s="1393">
        <v>7.230267250587168E7</v>
      </c>
      <c r="BB93" s="1393">
        <v>4.053075713050078E7</v>
      </c>
      <c r="BC93" s="1393">
        <v>6033486.065142127</v>
      </c>
      <c r="BD93" s="1393">
        <v>0.0</v>
      </c>
      <c r="BE93" s="1393">
        <v>2.6070222629326448E7</v>
      </c>
      <c r="BF93" s="1393">
        <v>0.0</v>
      </c>
      <c r="BG93" s="1393">
        <v>5.723342161494545E7</v>
      </c>
      <c r="BH93" s="1393">
        <v>0.0</v>
      </c>
      <c r="BI93" s="1393">
        <v>7.230267250587168E7</v>
      </c>
      <c r="BJ93" s="1393">
        <v>4.097311114399694E7</v>
      </c>
      <c r="BK93" s="1393">
        <v>6099335.730069318</v>
      </c>
      <c r="BL93" s="1393">
        <v>0.0</v>
      </c>
      <c r="BM93" s="1393">
        <v>2.6512576642822605E7</v>
      </c>
      <c r="BN93" s="1393">
        <v>0.0</v>
      </c>
      <c r="BO93" s="1393">
        <v>5.8166656940843195E7</v>
      </c>
      <c r="BP93" s="1393">
        <v>0.0</v>
      </c>
      <c r="BQ93" s="1393">
        <v>7.42830923017673E7</v>
      </c>
      <c r="BR93" s="1393">
        <v>4.1641209497241795E7</v>
      </c>
      <c r="BS93" s="1393">
        <v>6198790.129390512</v>
      </c>
      <c r="BT93" s="1393">
        <v>0.0</v>
      </c>
      <c r="BU93" s="1393">
        <v>2.678459103688833E7</v>
      </c>
      <c r="BV93" s="1393">
        <v>0.0</v>
      </c>
      <c r="BW93" s="1393">
        <v>5.7240320721917875E7</v>
      </c>
      <c r="BX93" s="1393">
        <v>0.0</v>
      </c>
      <c r="BY93" s="1393">
        <v>7.230267250587168E7</v>
      </c>
      <c r="BZ93" s="1393">
        <v>4.09780501790712E7</v>
      </c>
      <c r="CA93" s="1393">
        <v>6100070.964281692</v>
      </c>
      <c r="CB93" s="1393">
        <v>0.0</v>
      </c>
      <c r="CC93" s="1393">
        <v>2.651751567789687E7</v>
      </c>
      <c r="CD93" s="1393">
        <v>0.0</v>
      </c>
      <c r="CE93" s="1393">
        <v>5.724106393015565E7</v>
      </c>
      <c r="CF93" s="1393">
        <v>0.0</v>
      </c>
      <c r="CG93" s="1393">
        <v>7.230267250587168E7</v>
      </c>
      <c r="CH93" s="1393">
        <v>4.097858223801282E7</v>
      </c>
      <c r="CI93" s="1393">
        <v>6100150.167593876</v>
      </c>
      <c r="CJ93" s="1393">
        <v>0.0</v>
      </c>
      <c r="CK93" s="1393">
        <v>2.6518047736838482E7</v>
      </c>
      <c r="CL93" s="1393">
        <v>0.0</v>
      </c>
      <c r="CM93" s="1393">
        <v>5.6617916318825364E7</v>
      </c>
      <c r="CN93" s="1393">
        <v>0.0</v>
      </c>
      <c r="CO93" s="1393">
        <v>7.230267250587168E7</v>
      </c>
      <c r="CP93" s="1393">
        <v>4.053247407921833E7</v>
      </c>
      <c r="CQ93" s="1393">
        <v>6033741.653413732</v>
      </c>
      <c r="CR93" s="1393">
        <v>0.0</v>
      </c>
      <c r="CS93" s="1393">
        <v>2.6071939578043986E7</v>
      </c>
      <c r="CT93" s="1393">
        <v>0.0</v>
      </c>
      <c r="CU93" s="1393">
        <v>5.723678574970741E7</v>
      </c>
      <c r="CV93" s="1393">
        <v>0.0</v>
      </c>
      <c r="CW93" s="1393">
        <v>7.230267250587168E7</v>
      </c>
      <c r="CX93" s="1393">
        <v>4.097551951071023E7</v>
      </c>
      <c r="CY93" s="1393">
        <v>6099694.244146851</v>
      </c>
      <c r="CZ93" s="1393">
        <v>0.0</v>
      </c>
      <c r="DA93" s="1393">
        <v>2.6514985009535894E7</v>
      </c>
      <c r="DB93" s="1393">
        <v>0.0</v>
      </c>
      <c r="DC93" s="1393">
        <v>5.661572208250265E7</v>
      </c>
      <c r="DD93" s="1393">
        <v>0.0</v>
      </c>
      <c r="DE93" s="1393">
        <v>7.230267250587168E7</v>
      </c>
      <c r="DF93" s="1393">
        <v>4.053090323675968E7</v>
      </c>
      <c r="DG93" s="1393">
        <v>6033507.81479941</v>
      </c>
      <c r="DH93" s="1393">
        <v>0.0</v>
      </c>
      <c r="DI93" s="1393">
        <v>2.607036873558534E7</v>
      </c>
      <c r="DJ93" s="1393">
        <v>0.0</v>
      </c>
      <c r="DK93" s="1393">
        <v>5.723666227870518E7</v>
      </c>
      <c r="DL93" s="1393">
        <v>0.0</v>
      </c>
      <c r="DM93" s="1393">
        <v>7.230267250587168E7</v>
      </c>
      <c r="DN93" s="1393">
        <v>4.0975431118457004E7</v>
      </c>
      <c r="DO93" s="1393">
        <v>6099681.085906887</v>
      </c>
      <c r="DP93" s="1393">
        <v>0.0</v>
      </c>
      <c r="DQ93" s="1393">
        <v>2.6514896617282663E7</v>
      </c>
      <c r="DR93" s="1379">
        <f t="shared" si="36"/>
        <v>2437892155</v>
      </c>
    </row>
    <row r="94" hidden="1">
      <c r="A94" s="1401"/>
      <c r="B94" s="1394">
        <f t="shared" si="37"/>
        <v>6</v>
      </c>
      <c r="C94" s="1389" t="s">
        <v>770</v>
      </c>
      <c r="D94" s="185" t="s">
        <v>186</v>
      </c>
      <c r="E94" s="185" t="s">
        <v>735</v>
      </c>
      <c r="F94" s="185" t="s">
        <v>1896</v>
      </c>
      <c r="G94" s="185" t="s">
        <v>771</v>
      </c>
      <c r="H94" s="185" t="s">
        <v>98</v>
      </c>
      <c r="I94" s="185" t="s">
        <v>98</v>
      </c>
      <c r="J94" s="185" t="s">
        <v>253</v>
      </c>
      <c r="K94" s="185" t="s">
        <v>254</v>
      </c>
      <c r="L94" s="1390">
        <v>3.6382455166666664E7</v>
      </c>
      <c r="M94" s="1390">
        <v>3.6382455166666664E7</v>
      </c>
      <c r="N94" s="1390">
        <v>3.6382455166666664E7</v>
      </c>
      <c r="O94" s="1390">
        <v>3.6382455166666664E7</v>
      </c>
      <c r="P94" s="1390">
        <v>3.6382455166666664E7</v>
      </c>
      <c r="Q94" s="1390">
        <v>3.6382455166666664E7</v>
      </c>
      <c r="R94" s="1390">
        <v>3.6382455166666664E7</v>
      </c>
      <c r="S94" s="1390">
        <v>3.6382455166666664E7</v>
      </c>
      <c r="T94" s="1390">
        <v>3.6382455166666664E7</v>
      </c>
      <c r="U94" s="1390">
        <v>3.6382455166666664E7</v>
      </c>
      <c r="V94" s="1390">
        <v>3.6382455166666664E7</v>
      </c>
      <c r="W94" s="1390">
        <v>3.6382455166666664E7</v>
      </c>
      <c r="X94" s="1391">
        <v>4.3658946200000006E8</v>
      </c>
      <c r="Y94" s="1392">
        <f t="shared" si="3"/>
        <v>0</v>
      </c>
      <c r="Z94" s="1393">
        <v>618797.1415124343</v>
      </c>
      <c r="AA94" s="1393">
        <v>0.0</v>
      </c>
      <c r="AB94" s="1393">
        <v>0.0</v>
      </c>
      <c r="AC94" s="1393">
        <v>2.6470738032385994E7</v>
      </c>
      <c r="AD94" s="1393">
        <v>0.0</v>
      </c>
      <c r="AE94" s="1393">
        <v>0.0</v>
      </c>
      <c r="AF94" s="1393">
        <v>0.0</v>
      </c>
      <c r="AG94" s="1393">
        <v>2733442.267437021</v>
      </c>
      <c r="AH94" s="1393">
        <v>611464.8894003374</v>
      </c>
      <c r="AI94" s="1393">
        <v>0.0</v>
      </c>
      <c r="AJ94" s="1393">
        <v>0.0</v>
      </c>
      <c r="AK94" s="1393">
        <v>2.615155926018223E7</v>
      </c>
      <c r="AL94" s="1393">
        <v>0.0</v>
      </c>
      <c r="AM94" s="1393">
        <v>0.0</v>
      </c>
      <c r="AN94" s="1393">
        <v>0.0</v>
      </c>
      <c r="AO94" s="1393">
        <v>2701053.158803254</v>
      </c>
      <c r="AP94" s="1393">
        <v>767291.8876499763</v>
      </c>
      <c r="AQ94" s="1393">
        <v>0.0</v>
      </c>
      <c r="AR94" s="1393">
        <v>0.0</v>
      </c>
      <c r="AS94" s="1393">
        <v>3.277323032681328E7</v>
      </c>
      <c r="AT94" s="1393">
        <v>0.0</v>
      </c>
      <c r="AU94" s="1393">
        <v>0.0</v>
      </c>
      <c r="AV94" s="1393">
        <v>0.0</v>
      </c>
      <c r="AW94" s="1393">
        <v>3389395.2257726085</v>
      </c>
      <c r="AX94" s="1393">
        <v>638168.9453085935</v>
      </c>
      <c r="AY94" s="1393">
        <v>0.0</v>
      </c>
      <c r="AZ94" s="1393">
        <v>0.0</v>
      </c>
      <c r="BA94" s="1393">
        <v>2.7286236389269896E7</v>
      </c>
      <c r="BB94" s="1393">
        <v>0.0</v>
      </c>
      <c r="BC94" s="1393">
        <v>0.0</v>
      </c>
      <c r="BD94" s="1393">
        <v>0.0</v>
      </c>
      <c r="BE94" s="1393">
        <v>2819014.264688811</v>
      </c>
      <c r="BF94" s="1393">
        <v>609795.9741514135</v>
      </c>
      <c r="BG94" s="1393">
        <v>0.0</v>
      </c>
      <c r="BH94" s="1393">
        <v>0.0</v>
      </c>
      <c r="BI94" s="1393">
        <v>2.607765340251957E7</v>
      </c>
      <c r="BJ94" s="1393">
        <v>0.0</v>
      </c>
      <c r="BK94" s="1393">
        <v>0.0</v>
      </c>
      <c r="BL94" s="1393">
        <v>0.0</v>
      </c>
      <c r="BM94" s="1393">
        <v>2693680.9794957857</v>
      </c>
      <c r="BN94" s="1393">
        <v>637590.9824556338</v>
      </c>
      <c r="BO94" s="1393">
        <v>0.0</v>
      </c>
      <c r="BP94" s="1393">
        <v>0.0</v>
      </c>
      <c r="BQ94" s="1393">
        <v>2.7259872191830087E7</v>
      </c>
      <c r="BR94" s="1393">
        <v>0.0</v>
      </c>
      <c r="BS94" s="1393">
        <v>0.0</v>
      </c>
      <c r="BT94" s="1393">
        <v>0.0</v>
      </c>
      <c r="BU94" s="1393">
        <v>2816461.2016810756</v>
      </c>
      <c r="BV94" s="1393">
        <v>584555.1059848234</v>
      </c>
      <c r="BW94" s="1393">
        <v>0.0</v>
      </c>
      <c r="BX94" s="1393">
        <v>0.0</v>
      </c>
      <c r="BY94" s="1393">
        <v>2.497443926707326E7</v>
      </c>
      <c r="BZ94" s="1393">
        <v>0.0</v>
      </c>
      <c r="CA94" s="1393">
        <v>0.0</v>
      </c>
      <c r="CB94" s="1393">
        <v>0.0</v>
      </c>
      <c r="CC94" s="1393">
        <v>2582183.282940934</v>
      </c>
      <c r="CD94" s="1393">
        <v>571863.1254305446</v>
      </c>
      <c r="CE94" s="1393">
        <v>0.0</v>
      </c>
      <c r="CF94" s="1393">
        <v>0.0</v>
      </c>
      <c r="CG94" s="1393">
        <v>2.443047456833668E7</v>
      </c>
      <c r="CH94" s="1393">
        <v>0.0</v>
      </c>
      <c r="CI94" s="1393">
        <v>0.0</v>
      </c>
      <c r="CJ94" s="1393">
        <v>0.0</v>
      </c>
      <c r="CK94" s="1393">
        <v>2526118.389008554</v>
      </c>
      <c r="CL94" s="1393">
        <v>692727.4376369583</v>
      </c>
      <c r="CM94" s="1393">
        <v>0.0</v>
      </c>
      <c r="CN94" s="1393">
        <v>0.0</v>
      </c>
      <c r="CO94" s="1393">
        <v>2.9607709389240205E7</v>
      </c>
      <c r="CP94" s="1393">
        <v>0.0</v>
      </c>
      <c r="CQ94" s="1393">
        <v>0.0</v>
      </c>
      <c r="CR94" s="1393">
        <v>0.0</v>
      </c>
      <c r="CS94" s="1393">
        <v>3060018.1074239095</v>
      </c>
      <c r="CT94" s="1393">
        <v>700319.0339432255</v>
      </c>
      <c r="CU94" s="1393">
        <v>0.0</v>
      </c>
      <c r="CV94" s="1393">
        <v>0.0</v>
      </c>
      <c r="CW94" s="1393">
        <v>2.9933637789238535E7</v>
      </c>
      <c r="CX94" s="1393">
        <v>0.0</v>
      </c>
      <c r="CY94" s="1393">
        <v>0.0</v>
      </c>
      <c r="CZ94" s="1393">
        <v>0.0</v>
      </c>
      <c r="DA94" s="1393">
        <v>3093552.8295949753</v>
      </c>
      <c r="DB94" s="1393">
        <v>655907.5270591894</v>
      </c>
      <c r="DC94" s="1393">
        <v>0.0</v>
      </c>
      <c r="DD94" s="1393">
        <v>0.0</v>
      </c>
      <c r="DE94" s="1393">
        <v>2.804254317146627E7</v>
      </c>
      <c r="DF94" s="1393">
        <v>0.0</v>
      </c>
      <c r="DG94" s="1393">
        <v>0.0</v>
      </c>
      <c r="DH94" s="1393">
        <v>0.0</v>
      </c>
      <c r="DI94" s="1393">
        <v>2897371.7519308426</v>
      </c>
      <c r="DJ94" s="1393">
        <v>647881.7737898306</v>
      </c>
      <c r="DK94" s="1393">
        <v>0.0</v>
      </c>
      <c r="DL94" s="1393">
        <v>0.0</v>
      </c>
      <c r="DM94" s="1393">
        <v>2.7692777771392494E7</v>
      </c>
      <c r="DN94" s="1393">
        <v>0.0</v>
      </c>
      <c r="DO94" s="1393">
        <v>0.0</v>
      </c>
      <c r="DP94" s="1393">
        <v>0.0</v>
      </c>
      <c r="DQ94" s="1393">
        <v>2861919.2074008756</v>
      </c>
      <c r="DR94" s="1379">
        <f t="shared" si="36"/>
        <v>372611446.1</v>
      </c>
    </row>
    <row r="95" hidden="1">
      <c r="A95" s="1401"/>
      <c r="B95" s="1394">
        <f t="shared" si="37"/>
        <v>7</v>
      </c>
      <c r="C95" s="1389" t="s">
        <v>770</v>
      </c>
      <c r="D95" s="185" t="s">
        <v>186</v>
      </c>
      <c r="E95" s="185" t="s">
        <v>735</v>
      </c>
      <c r="F95" s="185" t="s">
        <v>1896</v>
      </c>
      <c r="G95" s="185" t="s">
        <v>771</v>
      </c>
      <c r="H95" s="185" t="s">
        <v>98</v>
      </c>
      <c r="I95" s="185" t="s">
        <v>98</v>
      </c>
      <c r="J95" s="185" t="s">
        <v>1889</v>
      </c>
      <c r="K95" s="185" t="s">
        <v>188</v>
      </c>
      <c r="L95" s="1390">
        <v>3.2340777583333332E7</v>
      </c>
      <c r="M95" s="1390">
        <v>3.2340777583333332E7</v>
      </c>
      <c r="N95" s="1390">
        <v>3.2340777583333332E7</v>
      </c>
      <c r="O95" s="1390">
        <v>3.2340777583333332E7</v>
      </c>
      <c r="P95" s="1390">
        <v>3.2340777583333332E7</v>
      </c>
      <c r="Q95" s="1390">
        <v>3.2340777583333332E7</v>
      </c>
      <c r="R95" s="1390">
        <v>3.2340777583333332E7</v>
      </c>
      <c r="S95" s="1390">
        <v>3.2340777583333332E7</v>
      </c>
      <c r="T95" s="1390">
        <v>3.2340777583333332E7</v>
      </c>
      <c r="U95" s="1390">
        <v>3.2340777583333332E7</v>
      </c>
      <c r="V95" s="1390">
        <v>3.2340777583333332E7</v>
      </c>
      <c r="W95" s="1390">
        <v>3.2340777583333332E7</v>
      </c>
      <c r="X95" s="1391">
        <v>3.8808933099999994E8</v>
      </c>
      <c r="Y95" s="1392">
        <f t="shared" si="3"/>
        <v>0</v>
      </c>
      <c r="Z95" s="1393">
        <v>550055.8066018391</v>
      </c>
      <c r="AA95" s="1393">
        <v>0.0</v>
      </c>
      <c r="AB95" s="1393">
        <v>0.0</v>
      </c>
      <c r="AC95" s="1393">
        <v>2.353013965798592E7</v>
      </c>
      <c r="AD95" s="1393">
        <v>0.0</v>
      </c>
      <c r="AE95" s="1393">
        <v>0.0</v>
      </c>
      <c r="AF95" s="1393">
        <v>0.0</v>
      </c>
      <c r="AG95" s="1393">
        <v>2429787.8744878103</v>
      </c>
      <c r="AH95" s="1393">
        <v>543538.084428996</v>
      </c>
      <c r="AI95" s="1393">
        <v>0.0</v>
      </c>
      <c r="AJ95" s="1393">
        <v>0.0</v>
      </c>
      <c r="AK95" s="1393">
        <v>2.324641802254718E7</v>
      </c>
      <c r="AL95" s="1393">
        <v>0.0</v>
      </c>
      <c r="AM95" s="1393">
        <v>0.0</v>
      </c>
      <c r="AN95" s="1393">
        <v>0.0</v>
      </c>
      <c r="AO95" s="1393">
        <v>2400996.827988926</v>
      </c>
      <c r="AP95" s="1393">
        <v>682054.4728580884</v>
      </c>
      <c r="AQ95" s="1393">
        <v>0.0</v>
      </c>
      <c r="AR95" s="1393">
        <v>0.0</v>
      </c>
      <c r="AS95" s="1393">
        <v>2.9132496634199288E7</v>
      </c>
      <c r="AT95" s="1393">
        <v>0.0</v>
      </c>
      <c r="AU95" s="1393">
        <v>0.0</v>
      </c>
      <c r="AV95" s="1393">
        <v>0.0</v>
      </c>
      <c r="AW95" s="1393">
        <v>3012871.9086322924</v>
      </c>
      <c r="AX95" s="1393">
        <v>567275.6229965707</v>
      </c>
      <c r="AY95" s="1393">
        <v>0.0</v>
      </c>
      <c r="AZ95" s="1393">
        <v>0.0</v>
      </c>
      <c r="BA95" s="1393">
        <v>2.4255045408813857E7</v>
      </c>
      <c r="BB95" s="1393">
        <v>0.0</v>
      </c>
      <c r="BC95" s="1393">
        <v>0.0</v>
      </c>
      <c r="BD95" s="1393">
        <v>0.0</v>
      </c>
      <c r="BE95" s="1393">
        <v>2505853.794662908</v>
      </c>
      <c r="BF95" s="1393">
        <v>542054.5667108094</v>
      </c>
      <c r="BG95" s="1393">
        <v>0.0</v>
      </c>
      <c r="BH95" s="1393">
        <v>0.0</v>
      </c>
      <c r="BI95" s="1393">
        <v>2.3180722266342044E7</v>
      </c>
      <c r="BJ95" s="1393">
        <v>0.0</v>
      </c>
      <c r="BK95" s="1393">
        <v>0.0</v>
      </c>
      <c r="BL95" s="1393">
        <v>0.0</v>
      </c>
      <c r="BM95" s="1393">
        <v>2394443.614078675</v>
      </c>
      <c r="BN95" s="1393">
        <v>566761.8652528074</v>
      </c>
      <c r="BO95" s="1393">
        <v>0.0</v>
      </c>
      <c r="BP95" s="1393">
        <v>0.0</v>
      </c>
      <c r="BQ95" s="1393">
        <v>2.4231609974298563E7</v>
      </c>
      <c r="BR95" s="1393">
        <v>0.0</v>
      </c>
      <c r="BS95" s="1393">
        <v>0.0</v>
      </c>
      <c r="BT95" s="1393">
        <v>0.0</v>
      </c>
      <c r="BU95" s="1393">
        <v>2503584.3479608875</v>
      </c>
      <c r="BV95" s="1393">
        <v>519617.67234382813</v>
      </c>
      <c r="BW95" s="1393">
        <v>0.0</v>
      </c>
      <c r="BX95" s="1393">
        <v>0.0</v>
      </c>
      <c r="BY95" s="1393">
        <v>2.2200062692439865E7</v>
      </c>
      <c r="BZ95" s="1393">
        <v>0.0</v>
      </c>
      <c r="CA95" s="1393">
        <v>0.0</v>
      </c>
      <c r="CB95" s="1393">
        <v>0.0</v>
      </c>
      <c r="CC95" s="1393">
        <v>2295332.045361944</v>
      </c>
      <c r="CD95" s="1393">
        <v>508335.6266897462</v>
      </c>
      <c r="CE95" s="1393">
        <v>0.0</v>
      </c>
      <c r="CF95" s="1393">
        <v>0.0</v>
      </c>
      <c r="CG95" s="1393">
        <v>2.1716526294073258E7</v>
      </c>
      <c r="CH95" s="1393">
        <v>0.0</v>
      </c>
      <c r="CI95" s="1393">
        <v>0.0</v>
      </c>
      <c r="CJ95" s="1393">
        <v>0.0</v>
      </c>
      <c r="CK95" s="1393">
        <v>2245495.324431645</v>
      </c>
      <c r="CL95" s="1393">
        <v>615773.2864332657</v>
      </c>
      <c r="CM95" s="1393">
        <v>0.0</v>
      </c>
      <c r="CN95" s="1393">
        <v>0.0</v>
      </c>
      <c r="CO95" s="1393">
        <v>2.631862912282718E7</v>
      </c>
      <c r="CP95" s="1393">
        <v>0.0</v>
      </c>
      <c r="CQ95" s="1393">
        <v>0.0</v>
      </c>
      <c r="CR95" s="1393">
        <v>0.0</v>
      </c>
      <c r="CS95" s="1393">
        <v>2720084.847485465</v>
      </c>
      <c r="CT95" s="1393">
        <v>622521.5426056084</v>
      </c>
      <c r="CU95" s="1393">
        <v>0.0</v>
      </c>
      <c r="CV95" s="1393">
        <v>0.0</v>
      </c>
      <c r="CW95" s="1393">
        <v>2.6608350579066206E7</v>
      </c>
      <c r="CX95" s="1393">
        <v>0.0</v>
      </c>
      <c r="CY95" s="1393">
        <v>0.0</v>
      </c>
      <c r="CZ95" s="1393">
        <v>0.0</v>
      </c>
      <c r="DA95" s="1393">
        <v>2749894.2428680765</v>
      </c>
      <c r="DB95" s="1393">
        <v>583043.6497669411</v>
      </c>
      <c r="DC95" s="1393">
        <v>0.0</v>
      </c>
      <c r="DD95" s="1393">
        <v>0.0</v>
      </c>
      <c r="DE95" s="1393">
        <v>2.4927335096679367E7</v>
      </c>
      <c r="DF95" s="1393">
        <v>0.0</v>
      </c>
      <c r="DG95" s="1393">
        <v>0.0</v>
      </c>
      <c r="DH95" s="1393">
        <v>0.0</v>
      </c>
      <c r="DI95" s="1393">
        <v>2575506.654957097</v>
      </c>
      <c r="DJ95" s="1393">
        <v>575909.4665395033</v>
      </c>
      <c r="DK95" s="1393">
        <v>0.0</v>
      </c>
      <c r="DL95" s="1393">
        <v>0.0</v>
      </c>
      <c r="DM95" s="1393">
        <v>2.4616424660362933E7</v>
      </c>
      <c r="DN95" s="1393">
        <v>0.0</v>
      </c>
      <c r="DO95" s="1393">
        <v>0.0</v>
      </c>
      <c r="DP95" s="1393">
        <v>0.0</v>
      </c>
      <c r="DQ95" s="1393">
        <v>2543992.485499469</v>
      </c>
      <c r="DR95" s="1379">
        <f t="shared" si="36"/>
        <v>331218546</v>
      </c>
    </row>
    <row r="96" hidden="1">
      <c r="A96" s="1401"/>
      <c r="B96" s="1394">
        <f t="shared" si="37"/>
        <v>8</v>
      </c>
      <c r="C96" s="1389" t="s">
        <v>1798</v>
      </c>
      <c r="D96" s="185" t="s">
        <v>186</v>
      </c>
      <c r="E96" s="185" t="s">
        <v>735</v>
      </c>
      <c r="F96" s="185" t="s">
        <v>1896</v>
      </c>
      <c r="G96" s="185" t="s">
        <v>306</v>
      </c>
      <c r="H96" s="185" t="s">
        <v>92</v>
      </c>
      <c r="I96" s="185" t="s">
        <v>305</v>
      </c>
      <c r="J96" s="185" t="s">
        <v>1889</v>
      </c>
      <c r="K96" s="185" t="s">
        <v>188</v>
      </c>
      <c r="L96" s="1390">
        <v>4.32912987E8</v>
      </c>
      <c r="M96" s="1390">
        <v>4.32912987E8</v>
      </c>
      <c r="N96" s="1390">
        <v>4.32912987E8</v>
      </c>
      <c r="O96" s="1390">
        <v>4.32912987E8</v>
      </c>
      <c r="P96" s="1390">
        <v>4.32912987E8</v>
      </c>
      <c r="Q96" s="1390">
        <v>4.32912987E8</v>
      </c>
      <c r="R96" s="1390">
        <v>4.32912987E8</v>
      </c>
      <c r="S96" s="1390">
        <v>4.32912987E8</v>
      </c>
      <c r="T96" s="1390">
        <v>4.32912987E8</v>
      </c>
      <c r="U96" s="1390">
        <v>4.32912987E8</v>
      </c>
      <c r="V96" s="1390">
        <v>4.32912987E8</v>
      </c>
      <c r="W96" s="1390">
        <v>4.32912987E8</v>
      </c>
      <c r="X96" s="1391">
        <v>5.194955844E9</v>
      </c>
      <c r="Y96" s="1392">
        <f t="shared" si="3"/>
        <v>0</v>
      </c>
      <c r="Z96" s="1393">
        <v>2.7400647439175147E8</v>
      </c>
      <c r="AA96" s="1393">
        <v>0.0</v>
      </c>
      <c r="AB96" s="1393">
        <v>0.0</v>
      </c>
      <c r="AC96" s="1393">
        <v>6.0477844039599404E7</v>
      </c>
      <c r="AD96" s="1393">
        <v>0.0</v>
      </c>
      <c r="AE96" s="1393">
        <v>0.0</v>
      </c>
      <c r="AF96" s="1393">
        <v>0.0</v>
      </c>
      <c r="AG96" s="1393">
        <v>2.0084016958606996E7</v>
      </c>
      <c r="AH96" s="1393">
        <v>2.711485062070988E8</v>
      </c>
      <c r="AI96" s="1393">
        <v>0.0</v>
      </c>
      <c r="AJ96" s="1393">
        <v>0.0</v>
      </c>
      <c r="AK96" s="1393">
        <v>5.996549899001581E7</v>
      </c>
      <c r="AL96" s="1393">
        <v>0.0</v>
      </c>
      <c r="AM96" s="1393">
        <v>0.0</v>
      </c>
      <c r="AN96" s="1393">
        <v>0.0</v>
      </c>
      <c r="AO96" s="1393">
        <v>1.9851847774170827E7</v>
      </c>
      <c r="AP96" s="1393">
        <v>3.087490348299867E8</v>
      </c>
      <c r="AQ96" s="1393">
        <v>0.0</v>
      </c>
      <c r="AR96" s="1393">
        <v>0.0</v>
      </c>
      <c r="AS96" s="1393">
        <v>6.6706107512221634E7</v>
      </c>
      <c r="AT96" s="1393">
        <v>0.0</v>
      </c>
      <c r="AU96" s="1393">
        <v>0.0</v>
      </c>
      <c r="AV96" s="1393">
        <v>0.0</v>
      </c>
      <c r="AW96" s="1393">
        <v>2.2906354857777935E7</v>
      </c>
      <c r="AX96" s="1393">
        <v>2.7686984921554375E8</v>
      </c>
      <c r="AY96" s="1393">
        <v>0.0</v>
      </c>
      <c r="AZ96" s="1393">
        <v>0.0</v>
      </c>
      <c r="BA96" s="1393">
        <v>6.0991158331882395E7</v>
      </c>
      <c r="BB96" s="1393">
        <v>0.0</v>
      </c>
      <c r="BC96" s="1393">
        <v>0.0</v>
      </c>
      <c r="BD96" s="1393">
        <v>0.0</v>
      </c>
      <c r="BE96" s="1393">
        <v>2.031662535542011E7</v>
      </c>
      <c r="BF96" s="1393">
        <v>2.729148750301961E8</v>
      </c>
      <c r="BG96" s="1393">
        <v>0.0</v>
      </c>
      <c r="BH96" s="1393">
        <v>0.0</v>
      </c>
      <c r="BI96" s="1393">
        <v>6.016696254951161E7</v>
      </c>
      <c r="BJ96" s="1393">
        <v>0.0</v>
      </c>
      <c r="BK96" s="1393">
        <v>0.0</v>
      </c>
      <c r="BL96" s="1393">
        <v>0.0</v>
      </c>
      <c r="BM96" s="1393">
        <v>2.001740171009947E7</v>
      </c>
      <c r="BN96" s="1393">
        <v>3.073745931952669E8</v>
      </c>
      <c r="BO96" s="1393">
        <v>0.0</v>
      </c>
      <c r="BP96" s="1393">
        <v>0.0</v>
      </c>
      <c r="BQ96" s="1393">
        <v>4.717973234349468E7</v>
      </c>
      <c r="BR96" s="1393">
        <v>0.0</v>
      </c>
      <c r="BS96" s="1393">
        <v>0.0</v>
      </c>
      <c r="BT96" s="1393">
        <v>0.0</v>
      </c>
      <c r="BU96" s="1393">
        <v>1.580232451587725E7</v>
      </c>
      <c r="BV96" s="1393">
        <v>2.985858186621503E8</v>
      </c>
      <c r="BW96" s="1393">
        <v>0.0</v>
      </c>
      <c r="BX96" s="1393">
        <v>0.0</v>
      </c>
      <c r="BY96" s="1393">
        <v>6.4757204513538316E7</v>
      </c>
      <c r="BZ96" s="1393">
        <v>0.0</v>
      </c>
      <c r="CA96" s="1393">
        <v>0.0</v>
      </c>
      <c r="CB96" s="1393">
        <v>0.0</v>
      </c>
      <c r="CC96" s="1393">
        <v>2.2105052700470824E7</v>
      </c>
      <c r="CD96" s="1393">
        <v>3.0149288346369237E8</v>
      </c>
      <c r="CE96" s="1393">
        <v>0.0</v>
      </c>
      <c r="CF96" s="1393">
        <v>0.0</v>
      </c>
      <c r="CG96" s="1393">
        <v>6.5230911065285474E7</v>
      </c>
      <c r="CH96" s="1393">
        <v>0.0</v>
      </c>
      <c r="CI96" s="1393">
        <v>0.0</v>
      </c>
      <c r="CJ96" s="1393">
        <v>0.0</v>
      </c>
      <c r="CK96" s="1393">
        <v>2.235029605586704E7</v>
      </c>
      <c r="CL96" s="1393">
        <v>2.868621176150294E8</v>
      </c>
      <c r="CM96" s="1393">
        <v>0.0</v>
      </c>
      <c r="CN96" s="1393">
        <v>0.0</v>
      </c>
      <c r="CO96" s="1393">
        <v>6.256052520220538E7</v>
      </c>
      <c r="CP96" s="1393">
        <v>0.0</v>
      </c>
      <c r="CQ96" s="1393">
        <v>0.0</v>
      </c>
      <c r="CR96" s="1393">
        <v>0.0</v>
      </c>
      <c r="CS96" s="1393">
        <v>2.1170860406895254E7</v>
      </c>
      <c r="CT96" s="1393">
        <v>2.858989151678538E8</v>
      </c>
      <c r="CU96" s="1393">
        <v>0.0</v>
      </c>
      <c r="CV96" s="1393">
        <v>0.0</v>
      </c>
      <c r="CW96" s="1393">
        <v>6.2387852879186794E7</v>
      </c>
      <c r="CX96" s="1393">
        <v>0.0</v>
      </c>
      <c r="CY96" s="1393">
        <v>0.0</v>
      </c>
      <c r="CZ96" s="1393">
        <v>0.0</v>
      </c>
      <c r="DA96" s="1393">
        <v>2.1092613935220465E7</v>
      </c>
      <c r="DB96" s="1393">
        <v>2.787876260177392E8</v>
      </c>
      <c r="DC96" s="1393">
        <v>0.0</v>
      </c>
      <c r="DD96" s="1393">
        <v>0.0</v>
      </c>
      <c r="DE96" s="1393">
        <v>6.111301930623659E7</v>
      </c>
      <c r="DF96" s="1393">
        <v>0.0</v>
      </c>
      <c r="DG96" s="1393">
        <v>0.0</v>
      </c>
      <c r="DH96" s="1393">
        <v>0.0</v>
      </c>
      <c r="DI96" s="1393">
        <v>2.0514923038891423E7</v>
      </c>
      <c r="DJ96" s="1393">
        <v>3.1217432076884E8</v>
      </c>
      <c r="DK96" s="1393">
        <v>0.0</v>
      </c>
      <c r="DL96" s="1393">
        <v>0.0</v>
      </c>
      <c r="DM96" s="1393">
        <v>4.8091899021950476E7</v>
      </c>
      <c r="DN96" s="1393">
        <v>0.0</v>
      </c>
      <c r="DO96" s="1393">
        <v>0.0</v>
      </c>
      <c r="DP96" s="1393">
        <v>0.0</v>
      </c>
      <c r="DQ96" s="1393">
        <v>1.6252082837377338E7</v>
      </c>
      <c r="DR96" s="1379">
        <f t="shared" si="36"/>
        <v>4436958130</v>
      </c>
    </row>
    <row r="97" hidden="1">
      <c r="A97" s="1401"/>
      <c r="B97" s="1394">
        <f t="shared" si="37"/>
        <v>9</v>
      </c>
      <c r="C97" s="1389" t="s">
        <v>1784</v>
      </c>
      <c r="D97" s="185" t="s">
        <v>186</v>
      </c>
      <c r="E97" s="185" t="s">
        <v>735</v>
      </c>
      <c r="F97" s="185" t="s">
        <v>1896</v>
      </c>
      <c r="G97" s="185" t="s">
        <v>203</v>
      </c>
      <c r="H97" s="185" t="s">
        <v>135</v>
      </c>
      <c r="I97" s="185" t="s">
        <v>135</v>
      </c>
      <c r="J97" s="185" t="s">
        <v>366</v>
      </c>
      <c r="K97" s="185" t="e">
        <v>#N/A</v>
      </c>
      <c r="L97" s="1390">
        <v>4.201633098E9</v>
      </c>
      <c r="M97" s="1390">
        <v>4.201633098E9</v>
      </c>
      <c r="N97" s="1390">
        <v>4.201633098E9</v>
      </c>
      <c r="O97" s="1390">
        <v>4.201633098E9</v>
      </c>
      <c r="P97" s="1390">
        <v>4.201633098E9</v>
      </c>
      <c r="Q97" s="1390">
        <v>4.201633098E9</v>
      </c>
      <c r="R97" s="1390">
        <v>4.201633098E9</v>
      </c>
      <c r="S97" s="1390">
        <v>4.201633098E9</v>
      </c>
      <c r="T97" s="1390">
        <v>4.201633098E9</v>
      </c>
      <c r="U97" s="1390">
        <v>4.201633098E9</v>
      </c>
      <c r="V97" s="1390">
        <v>4.201633098E9</v>
      </c>
      <c r="W97" s="1390">
        <v>4.201633098E9</v>
      </c>
      <c r="X97" s="1391">
        <v>5.0419597176E10</v>
      </c>
      <c r="Y97" s="1392">
        <f t="shared" si="3"/>
        <v>0</v>
      </c>
      <c r="Z97" s="1393">
        <v>7.146187740261401E7</v>
      </c>
      <c r="AA97" s="1393">
        <v>0.0</v>
      </c>
      <c r="AB97" s="1393">
        <v>0.0</v>
      </c>
      <c r="AC97" s="1393">
        <v>3.056977010920902E9</v>
      </c>
      <c r="AD97" s="1393">
        <v>0.0</v>
      </c>
      <c r="AE97" s="1393">
        <v>0.0</v>
      </c>
      <c r="AF97" s="1393">
        <v>0.0</v>
      </c>
      <c r="AG97" s="1393">
        <v>3.156719756740868E8</v>
      </c>
      <c r="AH97" s="1393">
        <v>7.061511120676662E7</v>
      </c>
      <c r="AI97" s="1393">
        <v>0.0</v>
      </c>
      <c r="AJ97" s="1393">
        <v>0.0</v>
      </c>
      <c r="AK97" s="1393">
        <v>3.0201166042406235E9</v>
      </c>
      <c r="AL97" s="1393">
        <v>0.0</v>
      </c>
      <c r="AM97" s="1393">
        <v>0.0</v>
      </c>
      <c r="AN97" s="1393">
        <v>0.0</v>
      </c>
      <c r="AO97" s="1393">
        <v>3.119315147781154E8</v>
      </c>
      <c r="AP97" s="1393">
        <v>8.861081464152347E7</v>
      </c>
      <c r="AQ97" s="1393">
        <v>0.0</v>
      </c>
      <c r="AR97" s="1393">
        <v>0.0</v>
      </c>
      <c r="AS97" s="1393">
        <v>3.7848212452599063E9</v>
      </c>
      <c r="AT97" s="1393">
        <v>0.0</v>
      </c>
      <c r="AU97" s="1393">
        <v>0.0</v>
      </c>
      <c r="AV97" s="1393">
        <v>0.0</v>
      </c>
      <c r="AW97" s="1393">
        <v>3.914247979574745E8</v>
      </c>
      <c r="AX97" s="1393">
        <v>7.369903296633407E7</v>
      </c>
      <c r="AY97" s="1393">
        <v>0.0</v>
      </c>
      <c r="AZ97" s="1393">
        <v>0.0</v>
      </c>
      <c r="BA97" s="1393">
        <v>3.1511549566354423E9</v>
      </c>
      <c r="BB97" s="1393">
        <v>0.0</v>
      </c>
      <c r="BC97" s="1393">
        <v>0.0</v>
      </c>
      <c r="BD97" s="1393">
        <v>0.0</v>
      </c>
      <c r="BE97" s="1393">
        <v>3.2555427015553504E8</v>
      </c>
      <c r="BF97" s="1393">
        <v>7.042237628781974E7</v>
      </c>
      <c r="BG97" s="1393">
        <v>0.0</v>
      </c>
      <c r="BH97" s="1393">
        <v>0.0</v>
      </c>
      <c r="BI97" s="1393">
        <v>3.0115815755772467E9</v>
      </c>
      <c r="BJ97" s="1393">
        <v>0.0</v>
      </c>
      <c r="BK97" s="1393">
        <v>0.0</v>
      </c>
      <c r="BL97" s="1393">
        <v>0.0</v>
      </c>
      <c r="BM97" s="1393">
        <v>3.110801375843346E8</v>
      </c>
      <c r="BN97" s="1393">
        <v>7.363228684265207E7</v>
      </c>
      <c r="BO97" s="1393">
        <v>0.0</v>
      </c>
      <c r="BP97" s="1393">
        <v>0.0</v>
      </c>
      <c r="BQ97" s="1393">
        <v>3.148110283480267E9</v>
      </c>
      <c r="BR97" s="1393">
        <v>0.0</v>
      </c>
      <c r="BS97" s="1393">
        <v>0.0</v>
      </c>
      <c r="BT97" s="1393">
        <v>0.0</v>
      </c>
      <c r="BU97" s="1393">
        <v>3.252594293047612E8</v>
      </c>
      <c r="BV97" s="1393">
        <v>6.750743097626297E7</v>
      </c>
      <c r="BW97" s="1393">
        <v>0.0</v>
      </c>
      <c r="BX97" s="1393">
        <v>0.0</v>
      </c>
      <c r="BY97" s="1393">
        <v>2.884176731554529E9</v>
      </c>
      <c r="BZ97" s="1393">
        <v>0.0</v>
      </c>
      <c r="CA97" s="1393">
        <v>0.0</v>
      </c>
      <c r="CB97" s="1393">
        <v>0.0</v>
      </c>
      <c r="CC97" s="1393">
        <v>2.982038099684667E8</v>
      </c>
      <c r="CD97" s="1393">
        <v>6.6041695765933126E7</v>
      </c>
      <c r="CE97" s="1393">
        <v>0.0</v>
      </c>
      <c r="CF97" s="1393">
        <v>0.0</v>
      </c>
      <c r="CG97" s="1393">
        <v>2.821356889631129E9</v>
      </c>
      <c r="CH97" s="1393">
        <v>0.0</v>
      </c>
      <c r="CI97" s="1393">
        <v>0.0</v>
      </c>
      <c r="CJ97" s="1393">
        <v>0.0</v>
      </c>
      <c r="CK97" s="1393">
        <v>2.917291475823513E8</v>
      </c>
      <c r="CL97" s="1393">
        <v>7.99997283452941E7</v>
      </c>
      <c r="CM97" s="1393">
        <v>0.0</v>
      </c>
      <c r="CN97" s="1393">
        <v>0.0</v>
      </c>
      <c r="CO97" s="1393">
        <v>3.419250601860757E9</v>
      </c>
      <c r="CP97" s="1393">
        <v>0.0</v>
      </c>
      <c r="CQ97" s="1393">
        <v>0.0</v>
      </c>
      <c r="CR97" s="1393">
        <v>0.0</v>
      </c>
      <c r="CS97" s="1393">
        <v>3.5338663379735774E8</v>
      </c>
      <c r="CT97" s="1393">
        <v>8.087644494292192E7</v>
      </c>
      <c r="CU97" s="1393">
        <v>0.0</v>
      </c>
      <c r="CV97" s="1393">
        <v>0.0</v>
      </c>
      <c r="CW97" s="1393">
        <v>3.4568904902832913E9</v>
      </c>
      <c r="CX97" s="1393">
        <v>0.0</v>
      </c>
      <c r="CY97" s="1393">
        <v>0.0</v>
      </c>
      <c r="CZ97" s="1393">
        <v>0.0</v>
      </c>
      <c r="DA97" s="1393">
        <v>3.5725939603840834E8</v>
      </c>
      <c r="DB97" s="1393">
        <v>7.574757564586076E7</v>
      </c>
      <c r="DC97" s="1393">
        <v>0.0</v>
      </c>
      <c r="DD97" s="1393">
        <v>0.0</v>
      </c>
      <c r="DE97" s="1393">
        <v>3.2384971547845535E9</v>
      </c>
      <c r="DF97" s="1393">
        <v>0.0</v>
      </c>
      <c r="DG97" s="1393">
        <v>0.0</v>
      </c>
      <c r="DH97" s="1393">
        <v>0.0</v>
      </c>
      <c r="DI97" s="1393">
        <v>3.346033959048569E8</v>
      </c>
      <c r="DJ97" s="1393">
        <v>7.482072036854526E7</v>
      </c>
      <c r="DK97" s="1393">
        <v>0.0</v>
      </c>
      <c r="DL97" s="1393">
        <v>0.0</v>
      </c>
      <c r="DM97" s="1393">
        <v>3.1981044469600525E9</v>
      </c>
      <c r="DN97" s="1393">
        <v>0.0</v>
      </c>
      <c r="DO97" s="1393">
        <v>0.0</v>
      </c>
      <c r="DP97" s="1393">
        <v>0.0</v>
      </c>
      <c r="DQ97" s="1393">
        <v>3.3050915367125684E8</v>
      </c>
      <c r="DR97" s="1379">
        <f t="shared" si="36"/>
        <v>43031086749</v>
      </c>
    </row>
    <row r="98" hidden="1">
      <c r="A98" s="1401"/>
      <c r="B98" s="1394">
        <f t="shared" si="37"/>
        <v>10</v>
      </c>
      <c r="C98" s="1389" t="s">
        <v>1785</v>
      </c>
      <c r="D98" s="185" t="s">
        <v>186</v>
      </c>
      <c r="E98" s="185" t="s">
        <v>735</v>
      </c>
      <c r="F98" s="185" t="s">
        <v>1896</v>
      </c>
      <c r="G98" s="185" t="s">
        <v>218</v>
      </c>
      <c r="H98" s="185" t="s">
        <v>88</v>
      </c>
      <c r="I98" s="185" t="s">
        <v>88</v>
      </c>
      <c r="J98" s="185" t="s">
        <v>1889</v>
      </c>
      <c r="K98" s="185" t="s">
        <v>188</v>
      </c>
      <c r="L98" s="1390">
        <v>1.1910380209E10</v>
      </c>
      <c r="M98" s="1390">
        <v>1.1910380209E10</v>
      </c>
      <c r="N98" s="1390">
        <v>1.1910380209E10</v>
      </c>
      <c r="O98" s="1390">
        <v>1.1910380209E10</v>
      </c>
      <c r="P98" s="1390">
        <v>1.1910380209E10</v>
      </c>
      <c r="Q98" s="1390">
        <v>1.1910380209E10</v>
      </c>
      <c r="R98" s="1390">
        <v>1.1910380209E10</v>
      </c>
      <c r="S98" s="1390">
        <v>1.1910380209E10</v>
      </c>
      <c r="T98" s="1390">
        <v>1.1910380209E10</v>
      </c>
      <c r="U98" s="1390">
        <v>1.1910380209E10</v>
      </c>
      <c r="V98" s="1390">
        <v>1.1910380209E10</v>
      </c>
      <c r="W98" s="1390">
        <v>1.1910380209E10</v>
      </c>
      <c r="X98" s="1391">
        <v>1.42924562508E11</v>
      </c>
      <c r="Y98" s="1392">
        <f t="shared" si="3"/>
        <v>0</v>
      </c>
      <c r="Z98" s="1393">
        <v>2.1429188470852482E8</v>
      </c>
      <c r="AA98" s="1393">
        <v>0.0</v>
      </c>
      <c r="AB98" s="1393">
        <v>0.0</v>
      </c>
      <c r="AC98" s="1393">
        <v>9.392890279342564E9</v>
      </c>
      <c r="AD98" s="1393">
        <v>0.0</v>
      </c>
      <c r="AE98" s="1393">
        <v>0.0</v>
      </c>
      <c r="AF98" s="1393">
        <v>0.0</v>
      </c>
      <c r="AG98" s="1393">
        <v>1.4403399812995875E9</v>
      </c>
      <c r="AH98" s="1393">
        <v>2.1429188470852482E8</v>
      </c>
      <c r="AI98" s="1393">
        <v>0.0</v>
      </c>
      <c r="AJ98" s="1393">
        <v>0.0</v>
      </c>
      <c r="AK98" s="1393">
        <v>9.392890279342564E9</v>
      </c>
      <c r="AL98" s="1393">
        <v>0.0</v>
      </c>
      <c r="AM98" s="1393">
        <v>0.0</v>
      </c>
      <c r="AN98" s="1393">
        <v>0.0</v>
      </c>
      <c r="AO98" s="1393">
        <v>1.4403399812995875E9</v>
      </c>
      <c r="AP98" s="1393">
        <v>2.1429188470852482E8</v>
      </c>
      <c r="AQ98" s="1393">
        <v>0.0</v>
      </c>
      <c r="AR98" s="1393">
        <v>0.0</v>
      </c>
      <c r="AS98" s="1393">
        <v>9.392890279342564E9</v>
      </c>
      <c r="AT98" s="1393">
        <v>0.0</v>
      </c>
      <c r="AU98" s="1393">
        <v>0.0</v>
      </c>
      <c r="AV98" s="1393">
        <v>0.0</v>
      </c>
      <c r="AW98" s="1393">
        <v>1.4403399812995875E9</v>
      </c>
      <c r="AX98" s="1393">
        <v>2.1429188470852482E8</v>
      </c>
      <c r="AY98" s="1393">
        <v>0.0</v>
      </c>
      <c r="AZ98" s="1393">
        <v>0.0</v>
      </c>
      <c r="BA98" s="1393">
        <v>9.392890279342564E9</v>
      </c>
      <c r="BB98" s="1393">
        <v>0.0</v>
      </c>
      <c r="BC98" s="1393">
        <v>0.0</v>
      </c>
      <c r="BD98" s="1393">
        <v>0.0</v>
      </c>
      <c r="BE98" s="1393">
        <v>1.4403399812995875E9</v>
      </c>
      <c r="BF98" s="1393">
        <v>2.1429188470852482E8</v>
      </c>
      <c r="BG98" s="1393">
        <v>0.0</v>
      </c>
      <c r="BH98" s="1393">
        <v>0.0</v>
      </c>
      <c r="BI98" s="1393">
        <v>9.392890279342564E9</v>
      </c>
      <c r="BJ98" s="1393">
        <v>0.0</v>
      </c>
      <c r="BK98" s="1393">
        <v>0.0</v>
      </c>
      <c r="BL98" s="1393">
        <v>0.0</v>
      </c>
      <c r="BM98" s="1393">
        <v>1.4403399812995875E9</v>
      </c>
      <c r="BN98" s="1393">
        <v>2.1429188470852482E8</v>
      </c>
      <c r="BO98" s="1393">
        <v>0.0</v>
      </c>
      <c r="BP98" s="1393">
        <v>0.0</v>
      </c>
      <c r="BQ98" s="1393">
        <v>9.392890279342564E9</v>
      </c>
      <c r="BR98" s="1393">
        <v>0.0</v>
      </c>
      <c r="BS98" s="1393">
        <v>0.0</v>
      </c>
      <c r="BT98" s="1393">
        <v>0.0</v>
      </c>
      <c r="BU98" s="1393">
        <v>1.4403399812995875E9</v>
      </c>
      <c r="BV98" s="1393">
        <v>2.1429188470852482E8</v>
      </c>
      <c r="BW98" s="1393">
        <v>0.0</v>
      </c>
      <c r="BX98" s="1393">
        <v>0.0</v>
      </c>
      <c r="BY98" s="1393">
        <v>9.392890279342564E9</v>
      </c>
      <c r="BZ98" s="1393">
        <v>0.0</v>
      </c>
      <c r="CA98" s="1393">
        <v>0.0</v>
      </c>
      <c r="CB98" s="1393">
        <v>0.0</v>
      </c>
      <c r="CC98" s="1393">
        <v>1.4403399812995875E9</v>
      </c>
      <c r="CD98" s="1393">
        <v>2.1429188470852482E8</v>
      </c>
      <c r="CE98" s="1393">
        <v>0.0</v>
      </c>
      <c r="CF98" s="1393">
        <v>0.0</v>
      </c>
      <c r="CG98" s="1393">
        <v>9.392890279342564E9</v>
      </c>
      <c r="CH98" s="1393">
        <v>0.0</v>
      </c>
      <c r="CI98" s="1393">
        <v>0.0</v>
      </c>
      <c r="CJ98" s="1393">
        <v>0.0</v>
      </c>
      <c r="CK98" s="1393">
        <v>1.4403399812995875E9</v>
      </c>
      <c r="CL98" s="1393">
        <v>2.1429188470852482E8</v>
      </c>
      <c r="CM98" s="1393">
        <v>0.0</v>
      </c>
      <c r="CN98" s="1393">
        <v>0.0</v>
      </c>
      <c r="CO98" s="1393">
        <v>9.392890279342564E9</v>
      </c>
      <c r="CP98" s="1393">
        <v>0.0</v>
      </c>
      <c r="CQ98" s="1393">
        <v>0.0</v>
      </c>
      <c r="CR98" s="1393">
        <v>0.0</v>
      </c>
      <c r="CS98" s="1393">
        <v>1.4403399812995875E9</v>
      </c>
      <c r="CT98" s="1393">
        <v>2.1429188470852482E8</v>
      </c>
      <c r="CU98" s="1393">
        <v>0.0</v>
      </c>
      <c r="CV98" s="1393">
        <v>0.0</v>
      </c>
      <c r="CW98" s="1393">
        <v>9.392890279342564E9</v>
      </c>
      <c r="CX98" s="1393">
        <v>0.0</v>
      </c>
      <c r="CY98" s="1393">
        <v>0.0</v>
      </c>
      <c r="CZ98" s="1393">
        <v>0.0</v>
      </c>
      <c r="DA98" s="1393">
        <v>1.4403399812995875E9</v>
      </c>
      <c r="DB98" s="1393">
        <v>2.1429188470852482E8</v>
      </c>
      <c r="DC98" s="1393">
        <v>0.0</v>
      </c>
      <c r="DD98" s="1393">
        <v>0.0</v>
      </c>
      <c r="DE98" s="1393">
        <v>9.392890279342564E9</v>
      </c>
      <c r="DF98" s="1393">
        <v>0.0</v>
      </c>
      <c r="DG98" s="1393">
        <v>0.0</v>
      </c>
      <c r="DH98" s="1393">
        <v>0.0</v>
      </c>
      <c r="DI98" s="1393">
        <v>1.4403399812995875E9</v>
      </c>
      <c r="DJ98" s="1393">
        <v>2.1429188470852482E8</v>
      </c>
      <c r="DK98" s="1393">
        <v>0.0</v>
      </c>
      <c r="DL98" s="1393">
        <v>0.0</v>
      </c>
      <c r="DM98" s="1393">
        <v>9.392890279342564E9</v>
      </c>
      <c r="DN98" s="1393">
        <v>0.0</v>
      </c>
      <c r="DO98" s="1393">
        <v>0.0</v>
      </c>
      <c r="DP98" s="1393">
        <v>0.0</v>
      </c>
      <c r="DQ98" s="1393">
        <v>1.4403399812995875E9</v>
      </c>
      <c r="DR98" s="1379">
        <f t="shared" si="36"/>
        <v>132570265744</v>
      </c>
    </row>
    <row r="99" hidden="1">
      <c r="A99" s="1401"/>
      <c r="B99" s="1394">
        <f t="shared" si="37"/>
        <v>11</v>
      </c>
      <c r="C99" s="1389" t="s">
        <v>794</v>
      </c>
      <c r="D99" s="185" t="s">
        <v>186</v>
      </c>
      <c r="E99" s="185" t="s">
        <v>735</v>
      </c>
      <c r="F99" s="185" t="s">
        <v>1896</v>
      </c>
      <c r="G99" s="185" t="s">
        <v>218</v>
      </c>
      <c r="H99" s="185" t="s">
        <v>88</v>
      </c>
      <c r="I99" s="185" t="s">
        <v>88</v>
      </c>
      <c r="J99" s="185" t="s">
        <v>253</v>
      </c>
      <c r="K99" s="185" t="s">
        <v>254</v>
      </c>
      <c r="L99" s="1390">
        <v>8.48209282E8</v>
      </c>
      <c r="M99" s="1390">
        <v>8.48209282E8</v>
      </c>
      <c r="N99" s="1390">
        <v>8.48209282E8</v>
      </c>
      <c r="O99" s="1390">
        <v>8.48209282E8</v>
      </c>
      <c r="P99" s="1390">
        <v>8.48209282E8</v>
      </c>
      <c r="Q99" s="1390">
        <v>8.48209282E8</v>
      </c>
      <c r="R99" s="1390">
        <v>8.48209282E8</v>
      </c>
      <c r="S99" s="1390">
        <v>8.48209282E8</v>
      </c>
      <c r="T99" s="1390">
        <v>8.48209282E8</v>
      </c>
      <c r="U99" s="1390">
        <v>8.48209282E8</v>
      </c>
      <c r="V99" s="1390">
        <v>8.48209282E8</v>
      </c>
      <c r="W99" s="1390">
        <v>8.48209282E8</v>
      </c>
      <c r="X99" s="1391">
        <v>1.0178511384E10</v>
      </c>
      <c r="Y99" s="1392">
        <f t="shared" si="3"/>
        <v>0</v>
      </c>
      <c r="Z99" s="1393">
        <v>1.5261004474877767E7</v>
      </c>
      <c r="AA99" s="1393">
        <v>0.0</v>
      </c>
      <c r="AB99" s="1393">
        <v>0.0</v>
      </c>
      <c r="AC99" s="1393">
        <v>6.689237941980745E8</v>
      </c>
      <c r="AD99" s="1393">
        <v>0.0</v>
      </c>
      <c r="AE99" s="1393">
        <v>0.0</v>
      </c>
      <c r="AF99" s="1393">
        <v>0.0</v>
      </c>
      <c r="AG99" s="1393">
        <v>1.0257520918188989E8</v>
      </c>
      <c r="AH99" s="1393">
        <v>1.5261004474877767E7</v>
      </c>
      <c r="AI99" s="1393">
        <v>0.0</v>
      </c>
      <c r="AJ99" s="1393">
        <v>0.0</v>
      </c>
      <c r="AK99" s="1393">
        <v>6.689237941980745E8</v>
      </c>
      <c r="AL99" s="1393">
        <v>0.0</v>
      </c>
      <c r="AM99" s="1393">
        <v>0.0</v>
      </c>
      <c r="AN99" s="1393">
        <v>0.0</v>
      </c>
      <c r="AO99" s="1393">
        <v>1.0257520918188989E8</v>
      </c>
      <c r="AP99" s="1393">
        <v>1.5261004474877767E7</v>
      </c>
      <c r="AQ99" s="1393">
        <v>0.0</v>
      </c>
      <c r="AR99" s="1393">
        <v>0.0</v>
      </c>
      <c r="AS99" s="1393">
        <v>6.689237941980745E8</v>
      </c>
      <c r="AT99" s="1393">
        <v>0.0</v>
      </c>
      <c r="AU99" s="1393">
        <v>0.0</v>
      </c>
      <c r="AV99" s="1393">
        <v>0.0</v>
      </c>
      <c r="AW99" s="1393">
        <v>1.0257520918188989E8</v>
      </c>
      <c r="AX99" s="1393">
        <v>1.5261004474877767E7</v>
      </c>
      <c r="AY99" s="1393">
        <v>0.0</v>
      </c>
      <c r="AZ99" s="1393">
        <v>0.0</v>
      </c>
      <c r="BA99" s="1393">
        <v>6.689237941980745E8</v>
      </c>
      <c r="BB99" s="1393">
        <v>0.0</v>
      </c>
      <c r="BC99" s="1393">
        <v>0.0</v>
      </c>
      <c r="BD99" s="1393">
        <v>0.0</v>
      </c>
      <c r="BE99" s="1393">
        <v>1.0257520918188989E8</v>
      </c>
      <c r="BF99" s="1393">
        <v>1.5261004474877767E7</v>
      </c>
      <c r="BG99" s="1393">
        <v>0.0</v>
      </c>
      <c r="BH99" s="1393">
        <v>0.0</v>
      </c>
      <c r="BI99" s="1393">
        <v>6.689237941980745E8</v>
      </c>
      <c r="BJ99" s="1393">
        <v>0.0</v>
      </c>
      <c r="BK99" s="1393">
        <v>0.0</v>
      </c>
      <c r="BL99" s="1393">
        <v>0.0</v>
      </c>
      <c r="BM99" s="1393">
        <v>1.0257520918188989E8</v>
      </c>
      <c r="BN99" s="1393">
        <v>1.5261004474877767E7</v>
      </c>
      <c r="BO99" s="1393">
        <v>0.0</v>
      </c>
      <c r="BP99" s="1393">
        <v>0.0</v>
      </c>
      <c r="BQ99" s="1393">
        <v>6.689237941980745E8</v>
      </c>
      <c r="BR99" s="1393">
        <v>0.0</v>
      </c>
      <c r="BS99" s="1393">
        <v>0.0</v>
      </c>
      <c r="BT99" s="1393">
        <v>0.0</v>
      </c>
      <c r="BU99" s="1393">
        <v>1.0257520918188989E8</v>
      </c>
      <c r="BV99" s="1393">
        <v>1.5261004474877767E7</v>
      </c>
      <c r="BW99" s="1393">
        <v>0.0</v>
      </c>
      <c r="BX99" s="1393">
        <v>0.0</v>
      </c>
      <c r="BY99" s="1393">
        <v>6.689237941980745E8</v>
      </c>
      <c r="BZ99" s="1393">
        <v>0.0</v>
      </c>
      <c r="CA99" s="1393">
        <v>0.0</v>
      </c>
      <c r="CB99" s="1393">
        <v>0.0</v>
      </c>
      <c r="CC99" s="1393">
        <v>1.0257520918188989E8</v>
      </c>
      <c r="CD99" s="1393">
        <v>1.5261004474877767E7</v>
      </c>
      <c r="CE99" s="1393">
        <v>0.0</v>
      </c>
      <c r="CF99" s="1393">
        <v>0.0</v>
      </c>
      <c r="CG99" s="1393">
        <v>6.689237941980745E8</v>
      </c>
      <c r="CH99" s="1393">
        <v>0.0</v>
      </c>
      <c r="CI99" s="1393">
        <v>0.0</v>
      </c>
      <c r="CJ99" s="1393">
        <v>0.0</v>
      </c>
      <c r="CK99" s="1393">
        <v>1.0257520918188989E8</v>
      </c>
      <c r="CL99" s="1393">
        <v>1.5261004474877767E7</v>
      </c>
      <c r="CM99" s="1393">
        <v>0.0</v>
      </c>
      <c r="CN99" s="1393">
        <v>0.0</v>
      </c>
      <c r="CO99" s="1393">
        <v>6.689237941980745E8</v>
      </c>
      <c r="CP99" s="1393">
        <v>0.0</v>
      </c>
      <c r="CQ99" s="1393">
        <v>0.0</v>
      </c>
      <c r="CR99" s="1393">
        <v>0.0</v>
      </c>
      <c r="CS99" s="1393">
        <v>1.0257520918188989E8</v>
      </c>
      <c r="CT99" s="1393">
        <v>1.5261004474877767E7</v>
      </c>
      <c r="CU99" s="1393">
        <v>0.0</v>
      </c>
      <c r="CV99" s="1393">
        <v>0.0</v>
      </c>
      <c r="CW99" s="1393">
        <v>6.689237941980745E8</v>
      </c>
      <c r="CX99" s="1393">
        <v>0.0</v>
      </c>
      <c r="CY99" s="1393">
        <v>0.0</v>
      </c>
      <c r="CZ99" s="1393">
        <v>0.0</v>
      </c>
      <c r="DA99" s="1393">
        <v>1.0257520918188989E8</v>
      </c>
      <c r="DB99" s="1393">
        <v>1.5261004474877767E7</v>
      </c>
      <c r="DC99" s="1393">
        <v>0.0</v>
      </c>
      <c r="DD99" s="1393">
        <v>0.0</v>
      </c>
      <c r="DE99" s="1393">
        <v>6.689237941980745E8</v>
      </c>
      <c r="DF99" s="1393">
        <v>0.0</v>
      </c>
      <c r="DG99" s="1393">
        <v>0.0</v>
      </c>
      <c r="DH99" s="1393">
        <v>0.0</v>
      </c>
      <c r="DI99" s="1393">
        <v>1.0257520918188989E8</v>
      </c>
      <c r="DJ99" s="1393">
        <v>1.5261004474877767E7</v>
      </c>
      <c r="DK99" s="1393">
        <v>0.0</v>
      </c>
      <c r="DL99" s="1393">
        <v>0.0</v>
      </c>
      <c r="DM99" s="1393">
        <v>6.689237941980745E8</v>
      </c>
      <c r="DN99" s="1393">
        <v>0.0</v>
      </c>
      <c r="DO99" s="1393">
        <v>0.0</v>
      </c>
      <c r="DP99" s="1393">
        <v>0.0</v>
      </c>
      <c r="DQ99" s="1393">
        <v>1.0257520918188989E8</v>
      </c>
      <c r="DR99" s="1379">
        <f t="shared" si="36"/>
        <v>9441120094</v>
      </c>
    </row>
    <row r="100" hidden="1">
      <c r="A100" s="1401"/>
      <c r="B100" s="1394">
        <f t="shared" si="37"/>
        <v>12</v>
      </c>
      <c r="C100" s="1389" t="s">
        <v>808</v>
      </c>
      <c r="D100" s="185" t="s">
        <v>186</v>
      </c>
      <c r="E100" s="185" t="s">
        <v>735</v>
      </c>
      <c r="F100" s="185" t="s">
        <v>1896</v>
      </c>
      <c r="G100" s="185" t="s">
        <v>218</v>
      </c>
      <c r="H100" s="185" t="s">
        <v>88</v>
      </c>
      <c r="I100" s="185" t="s">
        <v>88</v>
      </c>
      <c r="J100" s="185" t="s">
        <v>253</v>
      </c>
      <c r="K100" s="185" t="s">
        <v>254</v>
      </c>
      <c r="L100" s="1390">
        <v>8.83370513E8</v>
      </c>
      <c r="M100" s="1390">
        <v>8.83370513E8</v>
      </c>
      <c r="N100" s="1390">
        <v>8.83370513E8</v>
      </c>
      <c r="O100" s="1390">
        <v>8.83370513E8</v>
      </c>
      <c r="P100" s="1390">
        <v>8.83370513E8</v>
      </c>
      <c r="Q100" s="1390">
        <v>8.83370513E8</v>
      </c>
      <c r="R100" s="1390">
        <v>8.83370513E8</v>
      </c>
      <c r="S100" s="1390">
        <v>8.83370513E8</v>
      </c>
      <c r="T100" s="1390">
        <v>8.83370513E8</v>
      </c>
      <c r="U100" s="1390">
        <v>8.83370513E8</v>
      </c>
      <c r="V100" s="1390">
        <v>8.83370513E8</v>
      </c>
      <c r="W100" s="1390">
        <v>8.83370513E8</v>
      </c>
      <c r="X100" s="1391">
        <v>1.0600446156E10</v>
      </c>
      <c r="Y100" s="1392">
        <f t="shared" si="3"/>
        <v>0</v>
      </c>
      <c r="Z100" s="1393">
        <v>1.5893626299491579E7</v>
      </c>
      <c r="AA100" s="1393">
        <v>0.0</v>
      </c>
      <c r="AB100" s="1393">
        <v>0.0</v>
      </c>
      <c r="AC100" s="1393">
        <v>6.96653016865547E8</v>
      </c>
      <c r="AD100" s="1393">
        <v>0.0</v>
      </c>
      <c r="AE100" s="1393">
        <v>0.0</v>
      </c>
      <c r="AF100" s="1393">
        <v>0.0</v>
      </c>
      <c r="AG100" s="1393">
        <v>1.06827309107528E8</v>
      </c>
      <c r="AH100" s="1393">
        <v>1.5893626299491579E7</v>
      </c>
      <c r="AI100" s="1393">
        <v>0.0</v>
      </c>
      <c r="AJ100" s="1393">
        <v>0.0</v>
      </c>
      <c r="AK100" s="1393">
        <v>6.96653016865547E8</v>
      </c>
      <c r="AL100" s="1393">
        <v>0.0</v>
      </c>
      <c r="AM100" s="1393">
        <v>0.0</v>
      </c>
      <c r="AN100" s="1393">
        <v>0.0</v>
      </c>
      <c r="AO100" s="1393">
        <v>1.06827309107528E8</v>
      </c>
      <c r="AP100" s="1393">
        <v>1.5893626299491579E7</v>
      </c>
      <c r="AQ100" s="1393">
        <v>0.0</v>
      </c>
      <c r="AR100" s="1393">
        <v>0.0</v>
      </c>
      <c r="AS100" s="1393">
        <v>6.96653016865547E8</v>
      </c>
      <c r="AT100" s="1393">
        <v>0.0</v>
      </c>
      <c r="AU100" s="1393">
        <v>0.0</v>
      </c>
      <c r="AV100" s="1393">
        <v>0.0</v>
      </c>
      <c r="AW100" s="1393">
        <v>1.06827309107528E8</v>
      </c>
      <c r="AX100" s="1393">
        <v>1.5893626299491579E7</v>
      </c>
      <c r="AY100" s="1393">
        <v>0.0</v>
      </c>
      <c r="AZ100" s="1393">
        <v>0.0</v>
      </c>
      <c r="BA100" s="1393">
        <v>6.96653016865547E8</v>
      </c>
      <c r="BB100" s="1393">
        <v>0.0</v>
      </c>
      <c r="BC100" s="1393">
        <v>0.0</v>
      </c>
      <c r="BD100" s="1393">
        <v>0.0</v>
      </c>
      <c r="BE100" s="1393">
        <v>1.06827309107528E8</v>
      </c>
      <c r="BF100" s="1393">
        <v>1.5893626299491579E7</v>
      </c>
      <c r="BG100" s="1393">
        <v>0.0</v>
      </c>
      <c r="BH100" s="1393">
        <v>0.0</v>
      </c>
      <c r="BI100" s="1393">
        <v>6.96653016865547E8</v>
      </c>
      <c r="BJ100" s="1393">
        <v>0.0</v>
      </c>
      <c r="BK100" s="1393">
        <v>0.0</v>
      </c>
      <c r="BL100" s="1393">
        <v>0.0</v>
      </c>
      <c r="BM100" s="1393">
        <v>1.06827309107528E8</v>
      </c>
      <c r="BN100" s="1393">
        <v>1.5893626299491579E7</v>
      </c>
      <c r="BO100" s="1393">
        <v>0.0</v>
      </c>
      <c r="BP100" s="1393">
        <v>0.0</v>
      </c>
      <c r="BQ100" s="1393">
        <v>6.96653016865547E8</v>
      </c>
      <c r="BR100" s="1393">
        <v>0.0</v>
      </c>
      <c r="BS100" s="1393">
        <v>0.0</v>
      </c>
      <c r="BT100" s="1393">
        <v>0.0</v>
      </c>
      <c r="BU100" s="1393">
        <v>1.06827309107528E8</v>
      </c>
      <c r="BV100" s="1393">
        <v>1.5893626299491579E7</v>
      </c>
      <c r="BW100" s="1393">
        <v>0.0</v>
      </c>
      <c r="BX100" s="1393">
        <v>0.0</v>
      </c>
      <c r="BY100" s="1393">
        <v>6.96653016865547E8</v>
      </c>
      <c r="BZ100" s="1393">
        <v>0.0</v>
      </c>
      <c r="CA100" s="1393">
        <v>0.0</v>
      </c>
      <c r="CB100" s="1393">
        <v>0.0</v>
      </c>
      <c r="CC100" s="1393">
        <v>1.06827309107528E8</v>
      </c>
      <c r="CD100" s="1393">
        <v>1.5893626299491579E7</v>
      </c>
      <c r="CE100" s="1393">
        <v>0.0</v>
      </c>
      <c r="CF100" s="1393">
        <v>0.0</v>
      </c>
      <c r="CG100" s="1393">
        <v>6.96653016865547E8</v>
      </c>
      <c r="CH100" s="1393">
        <v>0.0</v>
      </c>
      <c r="CI100" s="1393">
        <v>0.0</v>
      </c>
      <c r="CJ100" s="1393">
        <v>0.0</v>
      </c>
      <c r="CK100" s="1393">
        <v>1.06827309107528E8</v>
      </c>
      <c r="CL100" s="1393">
        <v>1.5893626299491579E7</v>
      </c>
      <c r="CM100" s="1393">
        <v>0.0</v>
      </c>
      <c r="CN100" s="1393">
        <v>0.0</v>
      </c>
      <c r="CO100" s="1393">
        <v>6.96653016865547E8</v>
      </c>
      <c r="CP100" s="1393">
        <v>0.0</v>
      </c>
      <c r="CQ100" s="1393">
        <v>0.0</v>
      </c>
      <c r="CR100" s="1393">
        <v>0.0</v>
      </c>
      <c r="CS100" s="1393">
        <v>1.06827309107528E8</v>
      </c>
      <c r="CT100" s="1393">
        <v>1.5893626299491579E7</v>
      </c>
      <c r="CU100" s="1393">
        <v>0.0</v>
      </c>
      <c r="CV100" s="1393">
        <v>0.0</v>
      </c>
      <c r="CW100" s="1393">
        <v>6.96653016865547E8</v>
      </c>
      <c r="CX100" s="1393">
        <v>0.0</v>
      </c>
      <c r="CY100" s="1393">
        <v>0.0</v>
      </c>
      <c r="CZ100" s="1393">
        <v>0.0</v>
      </c>
      <c r="DA100" s="1393">
        <v>1.06827309107528E8</v>
      </c>
      <c r="DB100" s="1393">
        <v>1.5893626299491579E7</v>
      </c>
      <c r="DC100" s="1393">
        <v>0.0</v>
      </c>
      <c r="DD100" s="1393">
        <v>0.0</v>
      </c>
      <c r="DE100" s="1393">
        <v>6.96653016865547E8</v>
      </c>
      <c r="DF100" s="1393">
        <v>0.0</v>
      </c>
      <c r="DG100" s="1393">
        <v>0.0</v>
      </c>
      <c r="DH100" s="1393">
        <v>0.0</v>
      </c>
      <c r="DI100" s="1393">
        <v>1.06827309107528E8</v>
      </c>
      <c r="DJ100" s="1393">
        <v>1.5893626299491579E7</v>
      </c>
      <c r="DK100" s="1393">
        <v>0.0</v>
      </c>
      <c r="DL100" s="1393">
        <v>0.0</v>
      </c>
      <c r="DM100" s="1393">
        <v>6.96653016865547E8</v>
      </c>
      <c r="DN100" s="1393">
        <v>0.0</v>
      </c>
      <c r="DO100" s="1393">
        <v>0.0</v>
      </c>
      <c r="DP100" s="1393">
        <v>0.0</v>
      </c>
      <c r="DQ100" s="1393">
        <v>1.06827309107528E8</v>
      </c>
      <c r="DR100" s="1379">
        <f t="shared" si="36"/>
        <v>9832487427</v>
      </c>
    </row>
    <row r="101" hidden="1">
      <c r="A101" s="1401"/>
      <c r="B101" s="1394">
        <f t="shared" si="37"/>
        <v>13</v>
      </c>
      <c r="C101" s="1389" t="s">
        <v>813</v>
      </c>
      <c r="D101" s="185" t="s">
        <v>186</v>
      </c>
      <c r="E101" s="185" t="s">
        <v>735</v>
      </c>
      <c r="F101" s="185" t="s">
        <v>1896</v>
      </c>
      <c r="G101" s="185" t="s">
        <v>218</v>
      </c>
      <c r="H101" s="185" t="s">
        <v>88</v>
      </c>
      <c r="I101" s="185" t="s">
        <v>88</v>
      </c>
      <c r="J101" s="185" t="s">
        <v>253</v>
      </c>
      <c r="K101" s="185" t="s">
        <v>254</v>
      </c>
      <c r="L101" s="1390">
        <v>1.55584013E8</v>
      </c>
      <c r="M101" s="1390">
        <v>1.55584013E8</v>
      </c>
      <c r="N101" s="1390">
        <v>1.55584013E8</v>
      </c>
      <c r="O101" s="1390">
        <v>1.55584013E8</v>
      </c>
      <c r="P101" s="1390">
        <v>1.55584013E8</v>
      </c>
      <c r="Q101" s="1390">
        <v>1.55584013E8</v>
      </c>
      <c r="R101" s="1390">
        <v>1.55584013E8</v>
      </c>
      <c r="S101" s="1390">
        <v>1.55584013E8</v>
      </c>
      <c r="T101" s="1390">
        <v>1.55584013E8</v>
      </c>
      <c r="U101" s="1390">
        <v>1.55584013E8</v>
      </c>
      <c r="V101" s="1390">
        <v>1.55584013E8</v>
      </c>
      <c r="W101" s="1390">
        <v>1.55584013E8</v>
      </c>
      <c r="X101" s="1391">
        <v>1.867008156E9</v>
      </c>
      <c r="Y101" s="1392">
        <f t="shared" si="3"/>
        <v>0</v>
      </c>
      <c r="Z101" s="1393">
        <v>2799271.7941188966</v>
      </c>
      <c r="AA101" s="1393">
        <v>0.0</v>
      </c>
      <c r="AB101" s="1393">
        <v>0.0</v>
      </c>
      <c r="AC101" s="1393">
        <v>1.2269831337747909E8</v>
      </c>
      <c r="AD101" s="1393">
        <v>0.0</v>
      </c>
      <c r="AE101" s="1393">
        <v>0.0</v>
      </c>
      <c r="AF101" s="1393">
        <v>0.0</v>
      </c>
      <c r="AG101" s="1393">
        <v>1.881500593957527E7</v>
      </c>
      <c r="AH101" s="1393">
        <v>2799271.7941188966</v>
      </c>
      <c r="AI101" s="1393">
        <v>0.0</v>
      </c>
      <c r="AJ101" s="1393">
        <v>0.0</v>
      </c>
      <c r="AK101" s="1393">
        <v>1.2269831337747909E8</v>
      </c>
      <c r="AL101" s="1393">
        <v>0.0</v>
      </c>
      <c r="AM101" s="1393">
        <v>0.0</v>
      </c>
      <c r="AN101" s="1393">
        <v>0.0</v>
      </c>
      <c r="AO101" s="1393">
        <v>1.881500593957527E7</v>
      </c>
      <c r="AP101" s="1393">
        <v>2799271.7941188966</v>
      </c>
      <c r="AQ101" s="1393">
        <v>0.0</v>
      </c>
      <c r="AR101" s="1393">
        <v>0.0</v>
      </c>
      <c r="AS101" s="1393">
        <v>1.2269831337747909E8</v>
      </c>
      <c r="AT101" s="1393">
        <v>0.0</v>
      </c>
      <c r="AU101" s="1393">
        <v>0.0</v>
      </c>
      <c r="AV101" s="1393">
        <v>0.0</v>
      </c>
      <c r="AW101" s="1393">
        <v>1.881500593957527E7</v>
      </c>
      <c r="AX101" s="1393">
        <v>2799271.7941188966</v>
      </c>
      <c r="AY101" s="1393">
        <v>0.0</v>
      </c>
      <c r="AZ101" s="1393">
        <v>0.0</v>
      </c>
      <c r="BA101" s="1393">
        <v>1.2269831337747909E8</v>
      </c>
      <c r="BB101" s="1393">
        <v>0.0</v>
      </c>
      <c r="BC101" s="1393">
        <v>0.0</v>
      </c>
      <c r="BD101" s="1393">
        <v>0.0</v>
      </c>
      <c r="BE101" s="1393">
        <v>1.881500593957527E7</v>
      </c>
      <c r="BF101" s="1393">
        <v>2799271.7941188966</v>
      </c>
      <c r="BG101" s="1393">
        <v>0.0</v>
      </c>
      <c r="BH101" s="1393">
        <v>0.0</v>
      </c>
      <c r="BI101" s="1393">
        <v>1.2269831337747909E8</v>
      </c>
      <c r="BJ101" s="1393">
        <v>0.0</v>
      </c>
      <c r="BK101" s="1393">
        <v>0.0</v>
      </c>
      <c r="BL101" s="1393">
        <v>0.0</v>
      </c>
      <c r="BM101" s="1393">
        <v>1.881500593957527E7</v>
      </c>
      <c r="BN101" s="1393">
        <v>2799271.7941188966</v>
      </c>
      <c r="BO101" s="1393">
        <v>0.0</v>
      </c>
      <c r="BP101" s="1393">
        <v>0.0</v>
      </c>
      <c r="BQ101" s="1393">
        <v>1.2269831337747909E8</v>
      </c>
      <c r="BR101" s="1393">
        <v>0.0</v>
      </c>
      <c r="BS101" s="1393">
        <v>0.0</v>
      </c>
      <c r="BT101" s="1393">
        <v>0.0</v>
      </c>
      <c r="BU101" s="1393">
        <v>1.881500593957527E7</v>
      </c>
      <c r="BV101" s="1393">
        <v>2799271.7941188966</v>
      </c>
      <c r="BW101" s="1393">
        <v>0.0</v>
      </c>
      <c r="BX101" s="1393">
        <v>0.0</v>
      </c>
      <c r="BY101" s="1393">
        <v>1.2269831337747909E8</v>
      </c>
      <c r="BZ101" s="1393">
        <v>0.0</v>
      </c>
      <c r="CA101" s="1393">
        <v>0.0</v>
      </c>
      <c r="CB101" s="1393">
        <v>0.0</v>
      </c>
      <c r="CC101" s="1393">
        <v>1.881500593957527E7</v>
      </c>
      <c r="CD101" s="1393">
        <v>2799271.7941188966</v>
      </c>
      <c r="CE101" s="1393">
        <v>0.0</v>
      </c>
      <c r="CF101" s="1393">
        <v>0.0</v>
      </c>
      <c r="CG101" s="1393">
        <v>1.2269831337747909E8</v>
      </c>
      <c r="CH101" s="1393">
        <v>0.0</v>
      </c>
      <c r="CI101" s="1393">
        <v>0.0</v>
      </c>
      <c r="CJ101" s="1393">
        <v>0.0</v>
      </c>
      <c r="CK101" s="1393">
        <v>1.881500593957527E7</v>
      </c>
      <c r="CL101" s="1393">
        <v>2799271.7941188966</v>
      </c>
      <c r="CM101" s="1393">
        <v>0.0</v>
      </c>
      <c r="CN101" s="1393">
        <v>0.0</v>
      </c>
      <c r="CO101" s="1393">
        <v>1.2269831337747909E8</v>
      </c>
      <c r="CP101" s="1393">
        <v>0.0</v>
      </c>
      <c r="CQ101" s="1393">
        <v>0.0</v>
      </c>
      <c r="CR101" s="1393">
        <v>0.0</v>
      </c>
      <c r="CS101" s="1393">
        <v>1.881500593957527E7</v>
      </c>
      <c r="CT101" s="1393">
        <v>2799271.7941188966</v>
      </c>
      <c r="CU101" s="1393">
        <v>0.0</v>
      </c>
      <c r="CV101" s="1393">
        <v>0.0</v>
      </c>
      <c r="CW101" s="1393">
        <v>1.2269831337747909E8</v>
      </c>
      <c r="CX101" s="1393">
        <v>0.0</v>
      </c>
      <c r="CY101" s="1393">
        <v>0.0</v>
      </c>
      <c r="CZ101" s="1393">
        <v>0.0</v>
      </c>
      <c r="DA101" s="1393">
        <v>1.881500593957527E7</v>
      </c>
      <c r="DB101" s="1393">
        <v>2799271.7941188966</v>
      </c>
      <c r="DC101" s="1393">
        <v>0.0</v>
      </c>
      <c r="DD101" s="1393">
        <v>0.0</v>
      </c>
      <c r="DE101" s="1393">
        <v>1.2269831337747909E8</v>
      </c>
      <c r="DF101" s="1393">
        <v>0.0</v>
      </c>
      <c r="DG101" s="1393">
        <v>0.0</v>
      </c>
      <c r="DH101" s="1393">
        <v>0.0</v>
      </c>
      <c r="DI101" s="1393">
        <v>1.881500593957527E7</v>
      </c>
      <c r="DJ101" s="1393">
        <v>2799271.7941188966</v>
      </c>
      <c r="DK101" s="1393">
        <v>0.0</v>
      </c>
      <c r="DL101" s="1393">
        <v>0.0</v>
      </c>
      <c r="DM101" s="1393">
        <v>1.2269831337747909E8</v>
      </c>
      <c r="DN101" s="1393">
        <v>0.0</v>
      </c>
      <c r="DO101" s="1393">
        <v>0.0</v>
      </c>
      <c r="DP101" s="1393">
        <v>0.0</v>
      </c>
      <c r="DQ101" s="1393">
        <v>1.881500593957527E7</v>
      </c>
      <c r="DR101" s="1379">
        <f t="shared" si="36"/>
        <v>1731751093</v>
      </c>
    </row>
    <row r="102" hidden="1">
      <c r="A102" s="1401"/>
      <c r="B102" s="1394">
        <f t="shared" si="37"/>
        <v>14</v>
      </c>
      <c r="C102" s="1389" t="s">
        <v>1900</v>
      </c>
      <c r="D102" s="185" t="s">
        <v>186</v>
      </c>
      <c r="E102" s="185" t="s">
        <v>735</v>
      </c>
      <c r="F102" s="185" t="s">
        <v>1896</v>
      </c>
      <c r="G102" s="185" t="s">
        <v>203</v>
      </c>
      <c r="H102" s="185" t="s">
        <v>135</v>
      </c>
      <c r="I102" s="185" t="s">
        <v>135</v>
      </c>
      <c r="J102" s="185" t="s">
        <v>1889</v>
      </c>
      <c r="K102" s="185" t="s">
        <v>188</v>
      </c>
      <c r="L102" s="1390">
        <v>1.9164938769586965E8</v>
      </c>
      <c r="M102" s="1390">
        <v>1.9164938769586965E8</v>
      </c>
      <c r="N102" s="1390">
        <v>1.9164938769586965E8</v>
      </c>
      <c r="O102" s="1390">
        <v>1.9164938769586965E8</v>
      </c>
      <c r="P102" s="1390">
        <v>1.9164938769586965E8</v>
      </c>
      <c r="Q102" s="1390">
        <v>1.9164938769586965E8</v>
      </c>
      <c r="R102" s="1390">
        <v>1.9164938769586965E8</v>
      </c>
      <c r="S102" s="1390">
        <v>1.9164938769586965E8</v>
      </c>
      <c r="T102" s="1390">
        <v>1.9164938769586965E8</v>
      </c>
      <c r="U102" s="1390">
        <v>1.9164938769586965E8</v>
      </c>
      <c r="V102" s="1390">
        <v>1.9164938769586965E8</v>
      </c>
      <c r="W102" s="1390">
        <v>1.9164938769586965E8</v>
      </c>
      <c r="X102" s="1391">
        <v>2.2997926523504357E9</v>
      </c>
      <c r="Y102" s="1392">
        <f t="shared" si="3"/>
        <v>0</v>
      </c>
      <c r="Z102" s="1393">
        <v>3259595.6687240186</v>
      </c>
      <c r="AA102" s="1393">
        <v>0.0</v>
      </c>
      <c r="AB102" s="1393">
        <v>0.0</v>
      </c>
      <c r="AC102" s="1393">
        <v>1.3943810863024116E8</v>
      </c>
      <c r="AD102" s="1393">
        <v>0.0</v>
      </c>
      <c r="AE102" s="1393">
        <v>0.0</v>
      </c>
      <c r="AF102" s="1393">
        <v>0.0</v>
      </c>
      <c r="AG102" s="1393">
        <v>1.4398768155049458E7</v>
      </c>
      <c r="AH102" s="1393">
        <v>3220972.0623379773</v>
      </c>
      <c r="AI102" s="1393">
        <v>0.0</v>
      </c>
      <c r="AJ102" s="1393">
        <v>0.0</v>
      </c>
      <c r="AK102" s="1393">
        <v>1.3775679229306296E8</v>
      </c>
      <c r="AL102" s="1393">
        <v>0.0</v>
      </c>
      <c r="AM102" s="1393">
        <v>0.0</v>
      </c>
      <c r="AN102" s="1393">
        <v>0.0</v>
      </c>
      <c r="AO102" s="1393">
        <v>1.4228154247625103E7</v>
      </c>
      <c r="AP102" s="1393">
        <v>4041811.3560091183</v>
      </c>
      <c r="AQ102" s="1393">
        <v>0.0</v>
      </c>
      <c r="AR102" s="1393">
        <v>0.0</v>
      </c>
      <c r="AS102" s="1393">
        <v>1.7263731917421696E8</v>
      </c>
      <c r="AT102" s="1393">
        <v>0.0</v>
      </c>
      <c r="AU102" s="1393">
        <v>0.0</v>
      </c>
      <c r="AV102" s="1393">
        <v>0.0</v>
      </c>
      <c r="AW102" s="1393">
        <v>1.785408699613435E7</v>
      </c>
      <c r="AX102" s="1393">
        <v>3361639.2036941345</v>
      </c>
      <c r="AY102" s="1393">
        <v>0.0</v>
      </c>
      <c r="AZ102" s="1393">
        <v>0.0</v>
      </c>
      <c r="BA102" s="1393">
        <v>1.4373385392966723E8</v>
      </c>
      <c r="BB102" s="1393">
        <v>0.0</v>
      </c>
      <c r="BC102" s="1393">
        <v>0.0</v>
      </c>
      <c r="BD102" s="1393">
        <v>0.0</v>
      </c>
      <c r="BE102" s="1393">
        <v>1.4849529952242399E7</v>
      </c>
      <c r="BF102" s="1393">
        <v>3212180.8308472116</v>
      </c>
      <c r="BG102" s="1393">
        <v>0.0</v>
      </c>
      <c r="BH102" s="1393">
        <v>0.0</v>
      </c>
      <c r="BI102" s="1393">
        <v>1.373674834269267E8</v>
      </c>
      <c r="BJ102" s="1393">
        <v>0.0</v>
      </c>
      <c r="BK102" s="1393">
        <v>0.0</v>
      </c>
      <c r="BL102" s="1393">
        <v>0.0</v>
      </c>
      <c r="BM102" s="1393">
        <v>1.4189320319464179E7</v>
      </c>
      <c r="BN102" s="1393">
        <v>3358594.7080334304</v>
      </c>
      <c r="BO102" s="1393">
        <v>0.0</v>
      </c>
      <c r="BP102" s="1393">
        <v>0.0</v>
      </c>
      <c r="BQ102" s="1393">
        <v>1.435949770376794E8</v>
      </c>
      <c r="BR102" s="1393">
        <v>0.0</v>
      </c>
      <c r="BS102" s="1393">
        <v>0.0</v>
      </c>
      <c r="BT102" s="1393">
        <v>0.0</v>
      </c>
      <c r="BU102" s="1393">
        <v>1.4836081355660886E7</v>
      </c>
      <c r="BV102" s="1393">
        <v>3079221.224166485</v>
      </c>
      <c r="BW102" s="1393">
        <v>0.0</v>
      </c>
      <c r="BX102" s="1393">
        <v>0.0</v>
      </c>
      <c r="BY102" s="1393">
        <v>1.3155615726471037E8</v>
      </c>
      <c r="BZ102" s="1393">
        <v>0.0</v>
      </c>
      <c r="CA102" s="1393">
        <v>0.0</v>
      </c>
      <c r="CB102" s="1393">
        <v>0.0</v>
      </c>
      <c r="CC102" s="1393">
        <v>1.3601991477132093E7</v>
      </c>
      <c r="CD102" s="1393">
        <v>3012364.540340926</v>
      </c>
      <c r="CE102" s="1393">
        <v>0.0</v>
      </c>
      <c r="CF102" s="1393">
        <v>0.0</v>
      </c>
      <c r="CG102" s="1393">
        <v>1.2869075137158233E8</v>
      </c>
      <c r="CH102" s="1393">
        <v>0.0</v>
      </c>
      <c r="CI102" s="1393">
        <v>0.0</v>
      </c>
      <c r="CJ102" s="1393">
        <v>0.0</v>
      </c>
      <c r="CK102" s="1393">
        <v>1.3306662243737785E7</v>
      </c>
      <c r="CL102" s="1393">
        <v>3649033.267685746</v>
      </c>
      <c r="CM102" s="1393">
        <v>0.0</v>
      </c>
      <c r="CN102" s="1393">
        <v>0.0</v>
      </c>
      <c r="CO102" s="1393">
        <v>1.559625195587099E8</v>
      </c>
      <c r="CP102" s="1393">
        <v>0.0</v>
      </c>
      <c r="CQ102" s="1393">
        <v>0.0</v>
      </c>
      <c r="CR102" s="1393">
        <v>0.0</v>
      </c>
      <c r="CS102" s="1393">
        <v>1.61190495237212E7</v>
      </c>
      <c r="CT102" s="1393">
        <v>3689023.003866698</v>
      </c>
      <c r="CU102" s="1393">
        <v>0.0</v>
      </c>
      <c r="CV102" s="1393">
        <v>0.0</v>
      </c>
      <c r="CW102" s="1393">
        <v>1.5767939045173323E8</v>
      </c>
      <c r="CX102" s="1393">
        <v>0.0</v>
      </c>
      <c r="CY102" s="1393">
        <v>0.0</v>
      </c>
      <c r="CZ102" s="1393">
        <v>0.0</v>
      </c>
      <c r="DA102" s="1393">
        <v>1.6295698101756806E7</v>
      </c>
      <c r="DB102" s="1393">
        <v>3455079.5258362615</v>
      </c>
      <c r="DC102" s="1393">
        <v>0.0</v>
      </c>
      <c r="DD102" s="1393">
        <v>0.0</v>
      </c>
      <c r="DE102" s="1393">
        <v>1.4771779979187408E8</v>
      </c>
      <c r="DF102" s="1393">
        <v>0.0</v>
      </c>
      <c r="DG102" s="1393">
        <v>0.0</v>
      </c>
      <c r="DH102" s="1393">
        <v>0.0</v>
      </c>
      <c r="DI102" s="1393">
        <v>1.5262288365123805E7</v>
      </c>
      <c r="DJ102" s="1393">
        <v>3412802.810512224</v>
      </c>
      <c r="DK102" s="1393">
        <v>0.0</v>
      </c>
      <c r="DL102" s="1393">
        <v>0.0</v>
      </c>
      <c r="DM102" s="1393">
        <v>1.458753643527519E8</v>
      </c>
      <c r="DN102" s="1393">
        <v>0.0</v>
      </c>
      <c r="DO102" s="1393">
        <v>0.0</v>
      </c>
      <c r="DP102" s="1393">
        <v>0.0</v>
      </c>
      <c r="DQ102" s="1393">
        <v>1.5075537404521955E7</v>
      </c>
      <c r="DR102" s="1379">
        <f t="shared" si="36"/>
        <v>1962780004</v>
      </c>
    </row>
    <row r="103" hidden="1">
      <c r="A103" s="1401"/>
      <c r="B103" s="1394">
        <f t="shared" si="37"/>
        <v>15</v>
      </c>
      <c r="C103" s="1389" t="s">
        <v>1901</v>
      </c>
      <c r="D103" s="185" t="s">
        <v>186</v>
      </c>
      <c r="E103" s="185" t="s">
        <v>735</v>
      </c>
      <c r="F103" s="185" t="s">
        <v>1896</v>
      </c>
      <c r="G103" s="185" t="s">
        <v>203</v>
      </c>
      <c r="H103" s="185" t="s">
        <v>135</v>
      </c>
      <c r="I103" s="185" t="s">
        <v>135</v>
      </c>
      <c r="J103" s="185" t="s">
        <v>1889</v>
      </c>
      <c r="K103" s="185" t="s">
        <v>188</v>
      </c>
      <c r="L103" s="1390">
        <v>1.8400259311036956E8</v>
      </c>
      <c r="M103" s="1390">
        <v>1.8400259311036956E8</v>
      </c>
      <c r="N103" s="1390">
        <v>1.8400259311036956E8</v>
      </c>
      <c r="O103" s="1390">
        <v>1.8400259311036956E8</v>
      </c>
      <c r="P103" s="1390">
        <v>1.8400259311036956E8</v>
      </c>
      <c r="Q103" s="1390">
        <v>1.8400259311036956E8</v>
      </c>
      <c r="R103" s="1390">
        <v>1.8400259311036956E8</v>
      </c>
      <c r="S103" s="1390">
        <v>1.8400259311036956E8</v>
      </c>
      <c r="T103" s="1390">
        <v>1.8400259311036956E8</v>
      </c>
      <c r="U103" s="1390">
        <v>1.8400259311036956E8</v>
      </c>
      <c r="V103" s="1390">
        <v>1.8400259311036956E8</v>
      </c>
      <c r="W103" s="1390">
        <v>1.8400259311036956E8</v>
      </c>
      <c r="X103" s="1391">
        <v>2.208031117324435E9</v>
      </c>
      <c r="Y103" s="1392">
        <f t="shared" si="3"/>
        <v>0</v>
      </c>
      <c r="Z103" s="1393">
        <v>3310579.660511736</v>
      </c>
      <c r="AA103" s="1393">
        <v>0.0</v>
      </c>
      <c r="AB103" s="1393">
        <v>0.0</v>
      </c>
      <c r="AC103" s="1393">
        <v>1.451100752345609E8</v>
      </c>
      <c r="AD103" s="1393">
        <v>0.0</v>
      </c>
      <c r="AE103" s="1393">
        <v>0.0</v>
      </c>
      <c r="AF103" s="1393">
        <v>0.0</v>
      </c>
      <c r="AG103" s="1393">
        <v>2.225170707139978E7</v>
      </c>
      <c r="AH103" s="1393">
        <v>3310579.660511736</v>
      </c>
      <c r="AI103" s="1393">
        <v>0.0</v>
      </c>
      <c r="AJ103" s="1393">
        <v>0.0</v>
      </c>
      <c r="AK103" s="1393">
        <v>1.451100752345609E8</v>
      </c>
      <c r="AL103" s="1393">
        <v>0.0</v>
      </c>
      <c r="AM103" s="1393">
        <v>0.0</v>
      </c>
      <c r="AN103" s="1393">
        <v>0.0</v>
      </c>
      <c r="AO103" s="1393">
        <v>2.225170707139978E7</v>
      </c>
      <c r="AP103" s="1393">
        <v>3310579.660511736</v>
      </c>
      <c r="AQ103" s="1393">
        <v>0.0</v>
      </c>
      <c r="AR103" s="1393">
        <v>0.0</v>
      </c>
      <c r="AS103" s="1393">
        <v>1.451100752345609E8</v>
      </c>
      <c r="AT103" s="1393">
        <v>0.0</v>
      </c>
      <c r="AU103" s="1393">
        <v>0.0</v>
      </c>
      <c r="AV103" s="1393">
        <v>0.0</v>
      </c>
      <c r="AW103" s="1393">
        <v>2.225170707139978E7</v>
      </c>
      <c r="AX103" s="1393">
        <v>3310579.660511736</v>
      </c>
      <c r="AY103" s="1393">
        <v>0.0</v>
      </c>
      <c r="AZ103" s="1393">
        <v>0.0</v>
      </c>
      <c r="BA103" s="1393">
        <v>1.451100752345609E8</v>
      </c>
      <c r="BB103" s="1393">
        <v>0.0</v>
      </c>
      <c r="BC103" s="1393">
        <v>0.0</v>
      </c>
      <c r="BD103" s="1393">
        <v>0.0</v>
      </c>
      <c r="BE103" s="1393">
        <v>2.225170707139978E7</v>
      </c>
      <c r="BF103" s="1393">
        <v>3310579.660511736</v>
      </c>
      <c r="BG103" s="1393">
        <v>0.0</v>
      </c>
      <c r="BH103" s="1393">
        <v>0.0</v>
      </c>
      <c r="BI103" s="1393">
        <v>1.451100752345609E8</v>
      </c>
      <c r="BJ103" s="1393">
        <v>0.0</v>
      </c>
      <c r="BK103" s="1393">
        <v>0.0</v>
      </c>
      <c r="BL103" s="1393">
        <v>0.0</v>
      </c>
      <c r="BM103" s="1393">
        <v>2.225170707139978E7</v>
      </c>
      <c r="BN103" s="1393">
        <v>3310579.660511736</v>
      </c>
      <c r="BO103" s="1393">
        <v>0.0</v>
      </c>
      <c r="BP103" s="1393">
        <v>0.0</v>
      </c>
      <c r="BQ103" s="1393">
        <v>1.451100752345609E8</v>
      </c>
      <c r="BR103" s="1393">
        <v>0.0</v>
      </c>
      <c r="BS103" s="1393">
        <v>0.0</v>
      </c>
      <c r="BT103" s="1393">
        <v>0.0</v>
      </c>
      <c r="BU103" s="1393">
        <v>2.225170707139978E7</v>
      </c>
      <c r="BV103" s="1393">
        <v>3310579.660511736</v>
      </c>
      <c r="BW103" s="1393">
        <v>0.0</v>
      </c>
      <c r="BX103" s="1393">
        <v>0.0</v>
      </c>
      <c r="BY103" s="1393">
        <v>1.451100752345609E8</v>
      </c>
      <c r="BZ103" s="1393">
        <v>0.0</v>
      </c>
      <c r="CA103" s="1393">
        <v>0.0</v>
      </c>
      <c r="CB103" s="1393">
        <v>0.0</v>
      </c>
      <c r="CC103" s="1393">
        <v>2.225170707139978E7</v>
      </c>
      <c r="CD103" s="1393">
        <v>3310579.660511736</v>
      </c>
      <c r="CE103" s="1393">
        <v>0.0</v>
      </c>
      <c r="CF103" s="1393">
        <v>0.0</v>
      </c>
      <c r="CG103" s="1393">
        <v>1.451100752345609E8</v>
      </c>
      <c r="CH103" s="1393">
        <v>0.0</v>
      </c>
      <c r="CI103" s="1393">
        <v>0.0</v>
      </c>
      <c r="CJ103" s="1393">
        <v>0.0</v>
      </c>
      <c r="CK103" s="1393">
        <v>2.225170707139978E7</v>
      </c>
      <c r="CL103" s="1393">
        <v>3310579.660511736</v>
      </c>
      <c r="CM103" s="1393">
        <v>0.0</v>
      </c>
      <c r="CN103" s="1393">
        <v>0.0</v>
      </c>
      <c r="CO103" s="1393">
        <v>1.451100752345609E8</v>
      </c>
      <c r="CP103" s="1393">
        <v>0.0</v>
      </c>
      <c r="CQ103" s="1393">
        <v>0.0</v>
      </c>
      <c r="CR103" s="1393">
        <v>0.0</v>
      </c>
      <c r="CS103" s="1393">
        <v>2.225170707139978E7</v>
      </c>
      <c r="CT103" s="1393">
        <v>3310579.660511736</v>
      </c>
      <c r="CU103" s="1393">
        <v>0.0</v>
      </c>
      <c r="CV103" s="1393">
        <v>0.0</v>
      </c>
      <c r="CW103" s="1393">
        <v>1.451100752345609E8</v>
      </c>
      <c r="CX103" s="1393">
        <v>0.0</v>
      </c>
      <c r="CY103" s="1393">
        <v>0.0</v>
      </c>
      <c r="CZ103" s="1393">
        <v>0.0</v>
      </c>
      <c r="DA103" s="1393">
        <v>2.225170707139978E7</v>
      </c>
      <c r="DB103" s="1393">
        <v>3310579.660511736</v>
      </c>
      <c r="DC103" s="1393">
        <v>0.0</v>
      </c>
      <c r="DD103" s="1393">
        <v>0.0</v>
      </c>
      <c r="DE103" s="1393">
        <v>1.451100752345609E8</v>
      </c>
      <c r="DF103" s="1393">
        <v>0.0</v>
      </c>
      <c r="DG103" s="1393">
        <v>0.0</v>
      </c>
      <c r="DH103" s="1393">
        <v>0.0</v>
      </c>
      <c r="DI103" s="1393">
        <v>2.225170707139978E7</v>
      </c>
      <c r="DJ103" s="1393">
        <v>3310579.660511736</v>
      </c>
      <c r="DK103" s="1393">
        <v>0.0</v>
      </c>
      <c r="DL103" s="1393">
        <v>0.0</v>
      </c>
      <c r="DM103" s="1393">
        <v>1.451100752345609E8</v>
      </c>
      <c r="DN103" s="1393">
        <v>0.0</v>
      </c>
      <c r="DO103" s="1393">
        <v>0.0</v>
      </c>
      <c r="DP103" s="1393">
        <v>0.0</v>
      </c>
      <c r="DQ103" s="1393">
        <v>2.225170707139978E7</v>
      </c>
      <c r="DR103" s="1379">
        <f t="shared" si="36"/>
        <v>2048068344</v>
      </c>
    </row>
    <row r="104" hidden="1">
      <c r="A104" s="1401"/>
      <c r="B104" s="1394">
        <f t="shared" si="37"/>
        <v>16</v>
      </c>
      <c r="C104" s="1389" t="s">
        <v>1902</v>
      </c>
      <c r="D104" s="185" t="s">
        <v>186</v>
      </c>
      <c r="E104" s="185" t="s">
        <v>735</v>
      </c>
      <c r="F104" s="185" t="s">
        <v>1896</v>
      </c>
      <c r="G104" s="185" t="s">
        <v>203</v>
      </c>
      <c r="H104" s="185" t="s">
        <v>135</v>
      </c>
      <c r="I104" s="185" t="s">
        <v>135</v>
      </c>
      <c r="J104" s="185" t="s">
        <v>1889</v>
      </c>
      <c r="K104" s="185" t="s">
        <v>188</v>
      </c>
      <c r="L104" s="1390">
        <v>3.0200173213214403E8</v>
      </c>
      <c r="M104" s="1390">
        <v>3.0200173213214403E8</v>
      </c>
      <c r="N104" s="1390">
        <v>3.0200173213214403E8</v>
      </c>
      <c r="O104" s="1390">
        <v>3.0200173213214403E8</v>
      </c>
      <c r="P104" s="1390">
        <v>3.0200173213214403E8</v>
      </c>
      <c r="Q104" s="1390">
        <v>3.0200173213214403E8</v>
      </c>
      <c r="R104" s="1390">
        <v>3.0200173213214403E8</v>
      </c>
      <c r="S104" s="1390">
        <v>3.0200173213214403E8</v>
      </c>
      <c r="T104" s="1390">
        <v>3.0200173213214403E8</v>
      </c>
      <c r="U104" s="1390">
        <v>3.0200173213214403E8</v>
      </c>
      <c r="V104" s="1390">
        <v>3.0200173213214403E8</v>
      </c>
      <c r="W104" s="1390">
        <v>3.0200173213214403E8</v>
      </c>
      <c r="X104" s="1391">
        <v>3.624020785585728E9</v>
      </c>
      <c r="Y104" s="1392">
        <f t="shared" si="3"/>
        <v>0</v>
      </c>
      <c r="Z104" s="1393">
        <v>5433623.379624236</v>
      </c>
      <c r="AA104" s="1393">
        <v>0.0</v>
      </c>
      <c r="AB104" s="1393">
        <v>0.0</v>
      </c>
      <c r="AC104" s="1393">
        <v>2.3816780693072435E8</v>
      </c>
      <c r="AD104" s="1393">
        <v>0.0</v>
      </c>
      <c r="AE104" s="1393">
        <v>0.0</v>
      </c>
      <c r="AF104" s="1393">
        <v>0.0</v>
      </c>
      <c r="AG104" s="1393">
        <v>3.652151833767336E7</v>
      </c>
      <c r="AH104" s="1393">
        <v>5433623.379624236</v>
      </c>
      <c r="AI104" s="1393">
        <v>0.0</v>
      </c>
      <c r="AJ104" s="1393">
        <v>0.0</v>
      </c>
      <c r="AK104" s="1393">
        <v>2.3816780693072435E8</v>
      </c>
      <c r="AL104" s="1393">
        <v>0.0</v>
      </c>
      <c r="AM104" s="1393">
        <v>0.0</v>
      </c>
      <c r="AN104" s="1393">
        <v>0.0</v>
      </c>
      <c r="AO104" s="1393">
        <v>3.652151833767336E7</v>
      </c>
      <c r="AP104" s="1393">
        <v>5433623.379624236</v>
      </c>
      <c r="AQ104" s="1393">
        <v>0.0</v>
      </c>
      <c r="AR104" s="1393">
        <v>0.0</v>
      </c>
      <c r="AS104" s="1393">
        <v>2.3816780693072435E8</v>
      </c>
      <c r="AT104" s="1393">
        <v>0.0</v>
      </c>
      <c r="AU104" s="1393">
        <v>0.0</v>
      </c>
      <c r="AV104" s="1393">
        <v>0.0</v>
      </c>
      <c r="AW104" s="1393">
        <v>3.652151833767336E7</v>
      </c>
      <c r="AX104" s="1393">
        <v>5433623.379624236</v>
      </c>
      <c r="AY104" s="1393">
        <v>0.0</v>
      </c>
      <c r="AZ104" s="1393">
        <v>0.0</v>
      </c>
      <c r="BA104" s="1393">
        <v>2.3816780693072435E8</v>
      </c>
      <c r="BB104" s="1393">
        <v>0.0</v>
      </c>
      <c r="BC104" s="1393">
        <v>0.0</v>
      </c>
      <c r="BD104" s="1393">
        <v>0.0</v>
      </c>
      <c r="BE104" s="1393">
        <v>3.652151833767336E7</v>
      </c>
      <c r="BF104" s="1393">
        <v>5433623.379624236</v>
      </c>
      <c r="BG104" s="1393">
        <v>0.0</v>
      </c>
      <c r="BH104" s="1393">
        <v>0.0</v>
      </c>
      <c r="BI104" s="1393">
        <v>2.3816780693072435E8</v>
      </c>
      <c r="BJ104" s="1393">
        <v>0.0</v>
      </c>
      <c r="BK104" s="1393">
        <v>0.0</v>
      </c>
      <c r="BL104" s="1393">
        <v>0.0</v>
      </c>
      <c r="BM104" s="1393">
        <v>3.652151833767336E7</v>
      </c>
      <c r="BN104" s="1393">
        <v>5433623.379624236</v>
      </c>
      <c r="BO104" s="1393">
        <v>0.0</v>
      </c>
      <c r="BP104" s="1393">
        <v>0.0</v>
      </c>
      <c r="BQ104" s="1393">
        <v>2.3816780693072435E8</v>
      </c>
      <c r="BR104" s="1393">
        <v>0.0</v>
      </c>
      <c r="BS104" s="1393">
        <v>0.0</v>
      </c>
      <c r="BT104" s="1393">
        <v>0.0</v>
      </c>
      <c r="BU104" s="1393">
        <v>3.652151833767336E7</v>
      </c>
      <c r="BV104" s="1393">
        <v>5433623.379624236</v>
      </c>
      <c r="BW104" s="1393">
        <v>0.0</v>
      </c>
      <c r="BX104" s="1393">
        <v>0.0</v>
      </c>
      <c r="BY104" s="1393">
        <v>2.3816780693072435E8</v>
      </c>
      <c r="BZ104" s="1393">
        <v>0.0</v>
      </c>
      <c r="CA104" s="1393">
        <v>0.0</v>
      </c>
      <c r="CB104" s="1393">
        <v>0.0</v>
      </c>
      <c r="CC104" s="1393">
        <v>3.652151833767336E7</v>
      </c>
      <c r="CD104" s="1393">
        <v>5433623.379624236</v>
      </c>
      <c r="CE104" s="1393">
        <v>0.0</v>
      </c>
      <c r="CF104" s="1393">
        <v>0.0</v>
      </c>
      <c r="CG104" s="1393">
        <v>2.3816780693072435E8</v>
      </c>
      <c r="CH104" s="1393">
        <v>0.0</v>
      </c>
      <c r="CI104" s="1393">
        <v>0.0</v>
      </c>
      <c r="CJ104" s="1393">
        <v>0.0</v>
      </c>
      <c r="CK104" s="1393">
        <v>3.652151833767336E7</v>
      </c>
      <c r="CL104" s="1393">
        <v>5433623.379624236</v>
      </c>
      <c r="CM104" s="1393">
        <v>0.0</v>
      </c>
      <c r="CN104" s="1393">
        <v>0.0</v>
      </c>
      <c r="CO104" s="1393">
        <v>2.3816780693072435E8</v>
      </c>
      <c r="CP104" s="1393">
        <v>0.0</v>
      </c>
      <c r="CQ104" s="1393">
        <v>0.0</v>
      </c>
      <c r="CR104" s="1393">
        <v>0.0</v>
      </c>
      <c r="CS104" s="1393">
        <v>3.652151833767336E7</v>
      </c>
      <c r="CT104" s="1393">
        <v>5433623.379624236</v>
      </c>
      <c r="CU104" s="1393">
        <v>0.0</v>
      </c>
      <c r="CV104" s="1393">
        <v>0.0</v>
      </c>
      <c r="CW104" s="1393">
        <v>2.3816780693072435E8</v>
      </c>
      <c r="CX104" s="1393">
        <v>0.0</v>
      </c>
      <c r="CY104" s="1393">
        <v>0.0</v>
      </c>
      <c r="CZ104" s="1393">
        <v>0.0</v>
      </c>
      <c r="DA104" s="1393">
        <v>3.652151833767336E7</v>
      </c>
      <c r="DB104" s="1393">
        <v>5433623.379624236</v>
      </c>
      <c r="DC104" s="1393">
        <v>0.0</v>
      </c>
      <c r="DD104" s="1393">
        <v>0.0</v>
      </c>
      <c r="DE104" s="1393">
        <v>2.3816780693072435E8</v>
      </c>
      <c r="DF104" s="1393">
        <v>0.0</v>
      </c>
      <c r="DG104" s="1393">
        <v>0.0</v>
      </c>
      <c r="DH104" s="1393">
        <v>0.0</v>
      </c>
      <c r="DI104" s="1393">
        <v>3.652151833767336E7</v>
      </c>
      <c r="DJ104" s="1393">
        <v>5433623.379624236</v>
      </c>
      <c r="DK104" s="1393">
        <v>0.0</v>
      </c>
      <c r="DL104" s="1393">
        <v>0.0</v>
      </c>
      <c r="DM104" s="1393">
        <v>2.3816780693072435E8</v>
      </c>
      <c r="DN104" s="1393">
        <v>0.0</v>
      </c>
      <c r="DO104" s="1393">
        <v>0.0</v>
      </c>
      <c r="DP104" s="1393">
        <v>0.0</v>
      </c>
      <c r="DQ104" s="1393">
        <v>3.652151833767336E7</v>
      </c>
      <c r="DR104" s="1379">
        <f t="shared" si="36"/>
        <v>3361475384</v>
      </c>
    </row>
    <row r="105" hidden="1">
      <c r="A105" s="1401"/>
      <c r="B105" s="1394">
        <f t="shared" si="37"/>
        <v>17</v>
      </c>
      <c r="C105" s="1389" t="s">
        <v>1903</v>
      </c>
      <c r="D105" s="185" t="s">
        <v>186</v>
      </c>
      <c r="E105" s="185" t="s">
        <v>735</v>
      </c>
      <c r="F105" s="185" t="s">
        <v>1896</v>
      </c>
      <c r="G105" s="185" t="s">
        <v>1904</v>
      </c>
      <c r="H105" s="185" t="s">
        <v>98</v>
      </c>
      <c r="I105" s="185" t="s">
        <v>98</v>
      </c>
      <c r="J105" s="185" t="s">
        <v>1889</v>
      </c>
      <c r="K105" s="185" t="s">
        <v>188</v>
      </c>
      <c r="L105" s="1390">
        <v>5.628342E8</v>
      </c>
      <c r="M105" s="1390">
        <v>5.628342E8</v>
      </c>
      <c r="N105" s="1390">
        <v>5.628342E8</v>
      </c>
      <c r="O105" s="1390">
        <v>5.628342E8</v>
      </c>
      <c r="P105" s="1390">
        <v>5.628342E8</v>
      </c>
      <c r="Q105" s="1390">
        <v>5.628342E8</v>
      </c>
      <c r="R105" s="1390">
        <v>5.628342E8</v>
      </c>
      <c r="S105" s="1390">
        <v>5.628342E8</v>
      </c>
      <c r="T105" s="1390">
        <v>5.628342E8</v>
      </c>
      <c r="U105" s="1390">
        <v>5.628342E8</v>
      </c>
      <c r="V105" s="1390">
        <v>5.628342E8</v>
      </c>
      <c r="W105" s="1390">
        <v>5.628342E8</v>
      </c>
      <c r="X105" s="1391">
        <v>6.7540104E9</v>
      </c>
      <c r="Y105" s="1392">
        <f t="shared" si="3"/>
        <v>0</v>
      </c>
      <c r="Z105" s="1393">
        <v>9572751.275579926</v>
      </c>
      <c r="AA105" s="1393">
        <v>0.0</v>
      </c>
      <c r="AB105" s="1393">
        <v>0.0</v>
      </c>
      <c r="AC105" s="1393">
        <v>4.09500584708136E8</v>
      </c>
      <c r="AD105" s="1393">
        <v>0.0</v>
      </c>
      <c r="AE105" s="1393">
        <v>0.0</v>
      </c>
      <c r="AF105" s="1393">
        <v>0.0</v>
      </c>
      <c r="AG105" s="1393">
        <v>4.228617295868039E7</v>
      </c>
      <c r="AH105" s="1393">
        <v>9459321.815341316</v>
      </c>
      <c r="AI105" s="1393">
        <v>0.0</v>
      </c>
      <c r="AJ105" s="1393">
        <v>0.0</v>
      </c>
      <c r="AK105" s="1393">
        <v>4.0456290999411964E8</v>
      </c>
      <c r="AL105" s="1393">
        <v>0.0</v>
      </c>
      <c r="AM105" s="1393">
        <v>0.0</v>
      </c>
      <c r="AN105" s="1393">
        <v>0.0</v>
      </c>
      <c r="AO105" s="1393">
        <v>4.178511556815824E7</v>
      </c>
      <c r="AP105" s="1393">
        <v>1.1869955278543968E7</v>
      </c>
      <c r="AQ105" s="1393">
        <v>0.0</v>
      </c>
      <c r="AR105" s="1393">
        <v>0.0</v>
      </c>
      <c r="AS105" s="1393">
        <v>5.0699972797074133E8</v>
      </c>
      <c r="AT105" s="1393">
        <v>0.0</v>
      </c>
      <c r="AU105" s="1393">
        <v>0.0</v>
      </c>
      <c r="AV105" s="1393">
        <v>0.0</v>
      </c>
      <c r="AW105" s="1393">
        <v>5.243372228846547E7</v>
      </c>
      <c r="AX105" s="1393">
        <v>9872431.812317247</v>
      </c>
      <c r="AY105" s="1393">
        <v>0.0</v>
      </c>
      <c r="AZ105" s="1393">
        <v>0.0</v>
      </c>
      <c r="BA105" s="1393">
        <v>4.221162909103549E8</v>
      </c>
      <c r="BB105" s="1393">
        <v>0.0</v>
      </c>
      <c r="BC105" s="1393">
        <v>0.0</v>
      </c>
      <c r="BD105" s="1393">
        <v>0.0</v>
      </c>
      <c r="BE105" s="1393">
        <v>4.360996615501586E7</v>
      </c>
      <c r="BF105" s="1393">
        <v>9433503.805679986</v>
      </c>
      <c r="BG105" s="1393">
        <v>0.0</v>
      </c>
      <c r="BH105" s="1393">
        <v>0.0</v>
      </c>
      <c r="BI105" s="1393">
        <v>4.034195912136161E8</v>
      </c>
      <c r="BJ105" s="1393">
        <v>0.0</v>
      </c>
      <c r="BK105" s="1393">
        <v>0.0</v>
      </c>
      <c r="BL105" s="1393">
        <v>0.0</v>
      </c>
      <c r="BM105" s="1393">
        <v>4.1671068436820686E7</v>
      </c>
      <c r="BN105" s="1393">
        <v>9863490.764812753</v>
      </c>
      <c r="BO105" s="1393">
        <v>0.0</v>
      </c>
      <c r="BP105" s="1393">
        <v>0.0</v>
      </c>
      <c r="BQ105" s="1393">
        <v>4.2170843850164026E8</v>
      </c>
      <c r="BR105" s="1393">
        <v>0.0</v>
      </c>
      <c r="BS105" s="1393">
        <v>0.0</v>
      </c>
      <c r="BT105" s="1393">
        <v>0.0</v>
      </c>
      <c r="BU105" s="1393">
        <v>4.3570470437397964E7</v>
      </c>
      <c r="BV105" s="1393">
        <v>9043029.227294084</v>
      </c>
      <c r="BW105" s="1393">
        <v>0.0</v>
      </c>
      <c r="BX105" s="1393">
        <v>0.0</v>
      </c>
      <c r="BY105" s="1393">
        <v>3.863529407495895E8</v>
      </c>
      <c r="BZ105" s="1393">
        <v>0.0</v>
      </c>
      <c r="CA105" s="1393">
        <v>0.0</v>
      </c>
      <c r="CB105" s="1393">
        <v>0.0</v>
      </c>
      <c r="CC105" s="1393">
        <v>3.9946206369243994E7</v>
      </c>
      <c r="CD105" s="1393">
        <v>8846685.118878117</v>
      </c>
      <c r="CE105" s="1393">
        <v>0.0</v>
      </c>
      <c r="CF105" s="1393">
        <v>0.0</v>
      </c>
      <c r="CG105" s="1393">
        <v>3.779378424655643E8</v>
      </c>
      <c r="CH105" s="1393">
        <v>0.0</v>
      </c>
      <c r="CI105" s="1393">
        <v>0.0</v>
      </c>
      <c r="CJ105" s="1393">
        <v>0.0</v>
      </c>
      <c r="CK105" s="1393">
        <v>3.9078886129860416E7</v>
      </c>
      <c r="CL105" s="1393">
        <v>1.0716448117488846E7</v>
      </c>
      <c r="CM105" s="1393">
        <v>0.0</v>
      </c>
      <c r="CN105" s="1393">
        <v>0.0</v>
      </c>
      <c r="CO105" s="1393">
        <v>4.580293262669404E8</v>
      </c>
      <c r="CP105" s="1393">
        <v>0.0</v>
      </c>
      <c r="CQ105" s="1393">
        <v>0.0</v>
      </c>
      <c r="CR105" s="1393">
        <v>0.0</v>
      </c>
      <c r="CS105" s="1393">
        <v>4.733827982712374E7</v>
      </c>
      <c r="CT105" s="1393">
        <v>1.083388961543579E7</v>
      </c>
      <c r="CU105" s="1393">
        <v>0.0</v>
      </c>
      <c r="CV105" s="1393">
        <v>0.0</v>
      </c>
      <c r="CW105" s="1393">
        <v>4.6307141728113925E8</v>
      </c>
      <c r="CX105" s="1393">
        <v>0.0</v>
      </c>
      <c r="CY105" s="1393">
        <v>0.0</v>
      </c>
      <c r="CZ105" s="1393">
        <v>0.0</v>
      </c>
      <c r="DA105" s="1393">
        <v>4.78570597840813E7</v>
      </c>
      <c r="DB105" s="1393">
        <v>1.0146846510912916E7</v>
      </c>
      <c r="DC105" s="1393">
        <v>0.0</v>
      </c>
      <c r="DD105" s="1393">
        <v>0.0</v>
      </c>
      <c r="DE105" s="1393">
        <v>4.3381630732656616E8</v>
      </c>
      <c r="DF105" s="1393">
        <v>0.0</v>
      </c>
      <c r="DG105" s="1393">
        <v>0.0</v>
      </c>
      <c r="DH105" s="1393">
        <v>0.0</v>
      </c>
      <c r="DI105" s="1393">
        <v>4.482215135372904E7</v>
      </c>
      <c r="DJ105" s="1393">
        <v>1.0022688633164866E7</v>
      </c>
      <c r="DK105" s="1393">
        <v>0.0</v>
      </c>
      <c r="DL105" s="1393">
        <v>0.0</v>
      </c>
      <c r="DM105" s="1393">
        <v>4.2840545948146075E8</v>
      </c>
      <c r="DN105" s="1393">
        <v>0.0</v>
      </c>
      <c r="DO105" s="1393">
        <v>0.0</v>
      </c>
      <c r="DP105" s="1393">
        <v>0.0</v>
      </c>
      <c r="DQ105" s="1393">
        <v>4.42737028104111E7</v>
      </c>
      <c r="DR105" s="1379">
        <f t="shared" si="36"/>
        <v>5764274681</v>
      </c>
    </row>
    <row r="106" hidden="1">
      <c r="A106" s="1401"/>
      <c r="B106" s="1394">
        <f t="shared" si="37"/>
        <v>18</v>
      </c>
      <c r="C106" s="1389" t="s">
        <v>1905</v>
      </c>
      <c r="D106" s="185" t="s">
        <v>186</v>
      </c>
      <c r="E106" s="185" t="s">
        <v>735</v>
      </c>
      <c r="F106" s="185" t="s">
        <v>1896</v>
      </c>
      <c r="G106" s="185" t="s">
        <v>1906</v>
      </c>
      <c r="H106" s="185" t="s">
        <v>92</v>
      </c>
      <c r="I106" s="185" t="s">
        <v>305</v>
      </c>
      <c r="J106" s="185" t="s">
        <v>1889</v>
      </c>
      <c r="K106" s="185" t="s">
        <v>188</v>
      </c>
      <c r="L106" s="1390">
        <v>2.5975E8</v>
      </c>
      <c r="M106" s="1390">
        <v>2.5975E8</v>
      </c>
      <c r="N106" s="1390">
        <v>2.5975E8</v>
      </c>
      <c r="O106" s="1390">
        <v>2.5975E8</v>
      </c>
      <c r="P106" s="1390">
        <v>2.5975E8</v>
      </c>
      <c r="Q106" s="1390">
        <v>2.5975E8</v>
      </c>
      <c r="R106" s="1390">
        <v>2.5975E8</v>
      </c>
      <c r="S106" s="1390">
        <v>2.5975E8</v>
      </c>
      <c r="T106" s="1390">
        <v>2.5975E8</v>
      </c>
      <c r="U106" s="1390">
        <v>2.5975E8</v>
      </c>
      <c r="V106" s="1390">
        <v>2.5975E8</v>
      </c>
      <c r="W106" s="1390">
        <v>2.5975E8</v>
      </c>
      <c r="X106" s="1391">
        <v>3.117E9</v>
      </c>
      <c r="Y106" s="1392">
        <f t="shared" si="3"/>
        <v>0</v>
      </c>
      <c r="Z106" s="1393">
        <v>1.6440528203247792E8</v>
      </c>
      <c r="AA106" s="1393">
        <v>0.0</v>
      </c>
      <c r="AB106" s="1393">
        <v>0.0</v>
      </c>
      <c r="AC106" s="1393">
        <v>3.628701485290841E7</v>
      </c>
      <c r="AD106" s="1393">
        <v>0.0</v>
      </c>
      <c r="AE106" s="1393">
        <v>0.0</v>
      </c>
      <c r="AF106" s="1393">
        <v>0.0</v>
      </c>
      <c r="AG106" s="1393">
        <v>1.2050512601041853E7</v>
      </c>
      <c r="AH106" s="1393">
        <v>1.626904865464198E8</v>
      </c>
      <c r="AI106" s="1393">
        <v>0.0</v>
      </c>
      <c r="AJ106" s="1393">
        <v>0.0</v>
      </c>
      <c r="AK106" s="1393">
        <v>3.5979605210265055E7</v>
      </c>
      <c r="AL106" s="1393">
        <v>0.0</v>
      </c>
      <c r="AM106" s="1393">
        <v>0.0</v>
      </c>
      <c r="AN106" s="1393">
        <v>0.0</v>
      </c>
      <c r="AO106" s="1393">
        <v>1.1911209906347465E7</v>
      </c>
      <c r="AP106" s="1393">
        <v>1.8525099547796437E8</v>
      </c>
      <c r="AQ106" s="1393">
        <v>0.0</v>
      </c>
      <c r="AR106" s="1393">
        <v>0.0</v>
      </c>
      <c r="AS106" s="1393">
        <v>4.0024004699816436E7</v>
      </c>
      <c r="AT106" s="1393">
        <v>0.0</v>
      </c>
      <c r="AU106" s="1393">
        <v>0.0</v>
      </c>
      <c r="AV106" s="1393">
        <v>0.0</v>
      </c>
      <c r="AW106" s="1393">
        <v>1.3743929734101087E7</v>
      </c>
      <c r="AX106" s="1393">
        <v>1.6612332152959296E8</v>
      </c>
      <c r="AY106" s="1393">
        <v>0.0</v>
      </c>
      <c r="AZ106" s="1393">
        <v>0.0</v>
      </c>
      <c r="BA106" s="1393">
        <v>3.659500604611442E7</v>
      </c>
      <c r="BB106" s="1393">
        <v>0.0</v>
      </c>
      <c r="BC106" s="1393">
        <v>0.0</v>
      </c>
      <c r="BD106" s="1393">
        <v>0.0</v>
      </c>
      <c r="BE106" s="1393">
        <v>1.2190078825402327E7</v>
      </c>
      <c r="BF106" s="1393">
        <v>1.6375031684852973E8</v>
      </c>
      <c r="BG106" s="1393">
        <v>0.0</v>
      </c>
      <c r="BH106" s="1393">
        <v>0.0</v>
      </c>
      <c r="BI106" s="1393">
        <v>3.610048437340052E7</v>
      </c>
      <c r="BJ106" s="1393">
        <v>0.0</v>
      </c>
      <c r="BK106" s="1393">
        <v>0.0</v>
      </c>
      <c r="BL106" s="1393">
        <v>0.0</v>
      </c>
      <c r="BM106" s="1393">
        <v>1.2010543112208221E7</v>
      </c>
      <c r="BN106" s="1393">
        <v>1.8442632348765868E8</v>
      </c>
      <c r="BO106" s="1393">
        <v>0.0</v>
      </c>
      <c r="BP106" s="1393">
        <v>0.0</v>
      </c>
      <c r="BQ106" s="1393">
        <v>2.8308080016603295E7</v>
      </c>
      <c r="BR106" s="1393">
        <v>0.0</v>
      </c>
      <c r="BS106" s="1393">
        <v>0.0</v>
      </c>
      <c r="BT106" s="1393">
        <v>0.0</v>
      </c>
      <c r="BU106" s="1393">
        <v>9481475.29932872</v>
      </c>
      <c r="BV106" s="1393">
        <v>1.7915301394618025E8</v>
      </c>
      <c r="BW106" s="1393">
        <v>0.0</v>
      </c>
      <c r="BX106" s="1393">
        <v>0.0</v>
      </c>
      <c r="BY106" s="1393">
        <v>3.88546529614543E7</v>
      </c>
      <c r="BZ106" s="1393">
        <v>0.0</v>
      </c>
      <c r="CA106" s="1393">
        <v>0.0</v>
      </c>
      <c r="CB106" s="1393">
        <v>0.0</v>
      </c>
      <c r="CC106" s="1393">
        <v>1.3263144353179907E7</v>
      </c>
      <c r="CD106" s="1393">
        <v>1.8089726765275836E8</v>
      </c>
      <c r="CE106" s="1393">
        <v>0.0</v>
      </c>
      <c r="CF106" s="1393">
        <v>0.0</v>
      </c>
      <c r="CG106" s="1393">
        <v>3.9138879308344476E7</v>
      </c>
      <c r="CH106" s="1393">
        <v>0.0</v>
      </c>
      <c r="CI106" s="1393">
        <v>0.0</v>
      </c>
      <c r="CJ106" s="1393">
        <v>0.0</v>
      </c>
      <c r="CK106" s="1393">
        <v>1.3410291617126891E7</v>
      </c>
      <c r="CL106" s="1393">
        <v>1.7211873352855518E8</v>
      </c>
      <c r="CM106" s="1393">
        <v>0.0</v>
      </c>
      <c r="CN106" s="1393">
        <v>0.0</v>
      </c>
      <c r="CO106" s="1393">
        <v>3.753663417187539E7</v>
      </c>
      <c r="CP106" s="1393">
        <v>0.0</v>
      </c>
      <c r="CQ106" s="1393">
        <v>0.0</v>
      </c>
      <c r="CR106" s="1393">
        <v>0.0</v>
      </c>
      <c r="CS106" s="1393">
        <v>1.2702624212775217E7</v>
      </c>
      <c r="CT106" s="1393">
        <v>1.7154080714804247E8</v>
      </c>
      <c r="CU106" s="1393">
        <v>0.0</v>
      </c>
      <c r="CV106" s="1393">
        <v>0.0</v>
      </c>
      <c r="CW106" s="1393">
        <v>3.743302989745782E7</v>
      </c>
      <c r="CX106" s="1393">
        <v>0.0</v>
      </c>
      <c r="CY106" s="1393">
        <v>0.0</v>
      </c>
      <c r="CZ106" s="1393">
        <v>0.0</v>
      </c>
      <c r="DA106" s="1393">
        <v>1.2655675930723501E7</v>
      </c>
      <c r="DB106" s="1393">
        <v>1.672739973913228E8</v>
      </c>
      <c r="DC106" s="1393">
        <v>0.0</v>
      </c>
      <c r="DD106" s="1393">
        <v>0.0</v>
      </c>
      <c r="DE106" s="1393">
        <v>3.666812325220207E7</v>
      </c>
      <c r="DF106" s="1393">
        <v>0.0</v>
      </c>
      <c r="DG106" s="1393">
        <v>0.0</v>
      </c>
      <c r="DH106" s="1393">
        <v>0.0</v>
      </c>
      <c r="DI106" s="1393">
        <v>1.2309058446777545E7</v>
      </c>
      <c r="DJ106" s="1393">
        <v>1.873061845097897E8</v>
      </c>
      <c r="DK106" s="1393">
        <v>0.0</v>
      </c>
      <c r="DL106" s="1393">
        <v>0.0</v>
      </c>
      <c r="DM106" s="1393">
        <v>2.885538467560835E7</v>
      </c>
      <c r="DN106" s="1393">
        <v>0.0</v>
      </c>
      <c r="DO106" s="1393">
        <v>0.0</v>
      </c>
      <c r="DP106" s="1393">
        <v>0.0</v>
      </c>
      <c r="DQ106" s="1393">
        <v>9751332.585937792</v>
      </c>
      <c r="DR106" s="1379">
        <f t="shared" si="36"/>
        <v>2662197506</v>
      </c>
    </row>
    <row r="107" hidden="1">
      <c r="A107" s="1401"/>
      <c r="B107" s="1394">
        <f t="shared" si="37"/>
        <v>19</v>
      </c>
      <c r="C107" s="1389" t="s">
        <v>1791</v>
      </c>
      <c r="D107" s="185" t="s">
        <v>186</v>
      </c>
      <c r="E107" s="185" t="s">
        <v>735</v>
      </c>
      <c r="F107" s="185" t="s">
        <v>1896</v>
      </c>
      <c r="G107" s="185" t="s">
        <v>306</v>
      </c>
      <c r="H107" s="185" t="s">
        <v>92</v>
      </c>
      <c r="I107" s="185" t="s">
        <v>305</v>
      </c>
      <c r="J107" s="185" t="s">
        <v>1889</v>
      </c>
      <c r="K107" s="185" t="s">
        <v>188</v>
      </c>
      <c r="L107" s="1390">
        <v>1.28854546E8</v>
      </c>
      <c r="M107" s="1390">
        <v>1.28854546E8</v>
      </c>
      <c r="N107" s="1390">
        <v>1.28854546E8</v>
      </c>
      <c r="O107" s="1390">
        <v>1.28854546E8</v>
      </c>
      <c r="P107" s="1390">
        <v>1.28854546E8</v>
      </c>
      <c r="Q107" s="1390">
        <v>1.28854546E8</v>
      </c>
      <c r="R107" s="1390">
        <v>1.28854546E8</v>
      </c>
      <c r="S107" s="1390">
        <v>1.28854546E8</v>
      </c>
      <c r="T107" s="1390">
        <v>1.28854546E8</v>
      </c>
      <c r="U107" s="1390">
        <v>1.28854546E8</v>
      </c>
      <c r="V107" s="1390">
        <v>1.28854546E8</v>
      </c>
      <c r="W107" s="1390">
        <v>1.28854546E8</v>
      </c>
      <c r="X107" s="1391">
        <v>1.546254552E9</v>
      </c>
      <c r="Y107" s="1392">
        <f t="shared" si="3"/>
        <v>0</v>
      </c>
      <c r="Z107" s="1393">
        <v>8.155675833030567E7</v>
      </c>
      <c r="AA107" s="1393">
        <v>0.0</v>
      </c>
      <c r="AB107" s="1393">
        <v>0.0</v>
      </c>
      <c r="AC107" s="1393">
        <v>1.8000950238948103E7</v>
      </c>
      <c r="AD107" s="1393">
        <v>0.0</v>
      </c>
      <c r="AE107" s="1393">
        <v>0.0</v>
      </c>
      <c r="AF107" s="1393">
        <v>0.0</v>
      </c>
      <c r="AG107" s="1393">
        <v>5977914.649757563</v>
      </c>
      <c r="AH107" s="1393">
        <v>8.070609733381341E7</v>
      </c>
      <c r="AI107" s="1393">
        <v>0.0</v>
      </c>
      <c r="AJ107" s="1393">
        <v>0.0</v>
      </c>
      <c r="AK107" s="1393">
        <v>1.784845310732604E7</v>
      </c>
      <c r="AL107" s="1393">
        <v>0.0</v>
      </c>
      <c r="AM107" s="1393">
        <v>0.0</v>
      </c>
      <c r="AN107" s="1393">
        <v>0.0</v>
      </c>
      <c r="AO107" s="1393">
        <v>5908810.56705719</v>
      </c>
      <c r="AP107" s="1393">
        <v>9.189772057116902E7</v>
      </c>
      <c r="AQ107" s="1393">
        <v>0.0</v>
      </c>
      <c r="AR107" s="1393">
        <v>0.0</v>
      </c>
      <c r="AS107" s="1393">
        <v>1.9854764021931525E7</v>
      </c>
      <c r="AT107" s="1393">
        <v>0.0</v>
      </c>
      <c r="AU107" s="1393">
        <v>0.0</v>
      </c>
      <c r="AV107" s="1393">
        <v>0.0</v>
      </c>
      <c r="AW107" s="1393">
        <v>6817970.456760333</v>
      </c>
      <c r="AX107" s="1393">
        <v>8.240902858790271E7</v>
      </c>
      <c r="AY107" s="1393">
        <v>0.0</v>
      </c>
      <c r="AZ107" s="1393">
        <v>0.0</v>
      </c>
      <c r="BA107" s="1393">
        <v>1.815373586117162E7</v>
      </c>
      <c r="BB107" s="1393">
        <v>0.0</v>
      </c>
      <c r="BC107" s="1393">
        <v>0.0</v>
      </c>
      <c r="BD107" s="1393">
        <v>0.0</v>
      </c>
      <c r="BE107" s="1393">
        <v>6047149.461988181</v>
      </c>
      <c r="BF107" s="1393">
        <v>8.123184883493146E7</v>
      </c>
      <c r="BG107" s="1393">
        <v>0.0</v>
      </c>
      <c r="BH107" s="1393">
        <v>0.0</v>
      </c>
      <c r="BI107" s="1393">
        <v>1.790841780294367E7</v>
      </c>
      <c r="BJ107" s="1393">
        <v>0.0</v>
      </c>
      <c r="BK107" s="1393">
        <v>0.0</v>
      </c>
      <c r="BL107" s="1393">
        <v>0.0</v>
      </c>
      <c r="BM107" s="1393">
        <v>5958086.929497661</v>
      </c>
      <c r="BN107" s="1393">
        <v>9.148862438287352E7</v>
      </c>
      <c r="BO107" s="1393">
        <v>0.0</v>
      </c>
      <c r="BP107" s="1393">
        <v>0.0</v>
      </c>
      <c r="BQ107" s="1393">
        <v>1.4042828868801117E7</v>
      </c>
      <c r="BR107" s="1393">
        <v>0.0</v>
      </c>
      <c r="BS107" s="1393">
        <v>0.0</v>
      </c>
      <c r="BT107" s="1393">
        <v>0.0</v>
      </c>
      <c r="BU107" s="1393">
        <v>4703488.720328071</v>
      </c>
      <c r="BV107" s="1393">
        <v>8.887268633904418E7</v>
      </c>
      <c r="BW107" s="1393">
        <v>0.0</v>
      </c>
      <c r="BX107" s="1393">
        <v>0.0</v>
      </c>
      <c r="BY107" s="1393">
        <v>1.927468206866506E7</v>
      </c>
      <c r="BZ107" s="1393">
        <v>0.0</v>
      </c>
      <c r="CA107" s="1393">
        <v>0.0</v>
      </c>
      <c r="CB107" s="1393">
        <v>0.0</v>
      </c>
      <c r="CC107" s="1393">
        <v>6579466.580024873</v>
      </c>
      <c r="CD107" s="1393">
        <v>8.97379607162143E7</v>
      </c>
      <c r="CE107" s="1393">
        <v>0.0</v>
      </c>
      <c r="CF107" s="1393">
        <v>0.0</v>
      </c>
      <c r="CG107" s="1393">
        <v>1.941567863031962E7</v>
      </c>
      <c r="CH107" s="1393">
        <v>0.0</v>
      </c>
      <c r="CI107" s="1393">
        <v>0.0</v>
      </c>
      <c r="CJ107" s="1393">
        <v>0.0</v>
      </c>
      <c r="CK107" s="1393">
        <v>6652462.129172248</v>
      </c>
      <c r="CL107" s="1393">
        <v>8.538318100834249E7</v>
      </c>
      <c r="CM107" s="1393">
        <v>0.0</v>
      </c>
      <c r="CN107" s="1393">
        <v>0.0</v>
      </c>
      <c r="CO107" s="1393">
        <v>1.8620850643253475E7</v>
      </c>
      <c r="CP107" s="1393">
        <v>0.0</v>
      </c>
      <c r="CQ107" s="1393">
        <v>0.0</v>
      </c>
      <c r="CR107" s="1393">
        <v>0.0</v>
      </c>
      <c r="CS107" s="1393">
        <v>6301408.569569809</v>
      </c>
      <c r="CT107" s="1393">
        <v>8.509648825999835E7</v>
      </c>
      <c r="CU107" s="1393">
        <v>0.0</v>
      </c>
      <c r="CV107" s="1393">
        <v>0.0</v>
      </c>
      <c r="CW107" s="1393">
        <v>1.8569455525856994E7</v>
      </c>
      <c r="CX107" s="1393">
        <v>0.0</v>
      </c>
      <c r="CY107" s="1393">
        <v>0.0</v>
      </c>
      <c r="CZ107" s="1393">
        <v>0.0</v>
      </c>
      <c r="DA107" s="1393">
        <v>6278118.869591932</v>
      </c>
      <c r="DB107" s="1393">
        <v>8.297984597291273E7</v>
      </c>
      <c r="DC107" s="1393">
        <v>0.0</v>
      </c>
      <c r="DD107" s="1393">
        <v>0.0</v>
      </c>
      <c r="DE107" s="1393">
        <v>1.819000721591739E7</v>
      </c>
      <c r="DF107" s="1393">
        <v>0.0</v>
      </c>
      <c r="DG107" s="1393">
        <v>0.0</v>
      </c>
      <c r="DH107" s="1393">
        <v>0.0</v>
      </c>
      <c r="DI107" s="1393">
        <v>6106171.849266547</v>
      </c>
      <c r="DJ107" s="1393">
        <v>9.291724107026443E7</v>
      </c>
      <c r="DK107" s="1393">
        <v>0.0</v>
      </c>
      <c r="DL107" s="1393">
        <v>0.0</v>
      </c>
      <c r="DM107" s="1393">
        <v>1.4314331056904221E7</v>
      </c>
      <c r="DN107" s="1393">
        <v>0.0</v>
      </c>
      <c r="DO107" s="1393">
        <v>0.0</v>
      </c>
      <c r="DP107" s="1393">
        <v>0.0</v>
      </c>
      <c r="DQ107" s="1393">
        <v>4837357.202140598</v>
      </c>
      <c r="DR107" s="1379">
        <f t="shared" si="36"/>
        <v>1320640042</v>
      </c>
    </row>
    <row r="108" hidden="1">
      <c r="A108" s="1401"/>
      <c r="B108" s="1394">
        <f t="shared" si="37"/>
        <v>20</v>
      </c>
      <c r="C108" s="1389" t="s">
        <v>1907</v>
      </c>
      <c r="D108" s="185" t="s">
        <v>186</v>
      </c>
      <c r="E108" s="185" t="s">
        <v>735</v>
      </c>
      <c r="F108" s="185" t="s">
        <v>1896</v>
      </c>
      <c r="G108" s="185" t="s">
        <v>1906</v>
      </c>
      <c r="H108" s="185" t="s">
        <v>92</v>
      </c>
      <c r="I108" s="185" t="s">
        <v>305</v>
      </c>
      <c r="J108" s="185" t="s">
        <v>1889</v>
      </c>
      <c r="K108" s="185" t="s">
        <v>188</v>
      </c>
      <c r="L108" s="1390">
        <v>4.171235067666666E9</v>
      </c>
      <c r="M108" s="1390">
        <v>4.171235067666666E9</v>
      </c>
      <c r="N108" s="1390">
        <v>4.171235067666666E9</v>
      </c>
      <c r="O108" s="1390">
        <v>4.171235067666666E9</v>
      </c>
      <c r="P108" s="1390">
        <v>4.171235067666666E9</v>
      </c>
      <c r="Q108" s="1390">
        <v>4.171235067666666E9</v>
      </c>
      <c r="R108" s="1390">
        <v>4.171235067666666E9</v>
      </c>
      <c r="S108" s="1390">
        <v>4.171235067666666E9</v>
      </c>
      <c r="T108" s="1390">
        <v>4.171235067666666E9</v>
      </c>
      <c r="U108" s="1390">
        <v>4.171235067666666E9</v>
      </c>
      <c r="V108" s="1390">
        <v>4.171235067666666E9</v>
      </c>
      <c r="W108" s="1390">
        <v>4.171235067666666E9</v>
      </c>
      <c r="X108" s="1391">
        <v>5.005482081199998E10</v>
      </c>
      <c r="Y108" s="1392">
        <f t="shared" si="3"/>
        <v>0</v>
      </c>
      <c r="Z108" s="1393">
        <v>2.6401273444600587E9</v>
      </c>
      <c r="AA108" s="1393">
        <v>0.0</v>
      </c>
      <c r="AB108" s="1393">
        <v>0.0</v>
      </c>
      <c r="AC108" s="1393">
        <v>5.827205730717719E8</v>
      </c>
      <c r="AD108" s="1393">
        <v>0.0</v>
      </c>
      <c r="AE108" s="1393">
        <v>0.0</v>
      </c>
      <c r="AF108" s="1393">
        <v>0.0</v>
      </c>
      <c r="AG108" s="1393">
        <v>1.9351499805514848E8</v>
      </c>
      <c r="AH108" s="1393">
        <v>2.6125900391075196E9</v>
      </c>
      <c r="AI108" s="1393">
        <v>0.0</v>
      </c>
      <c r="AJ108" s="1393">
        <v>0.0</v>
      </c>
      <c r="AK108" s="1393">
        <v>5.777839883497975E8</v>
      </c>
      <c r="AL108" s="1393">
        <v>0.0</v>
      </c>
      <c r="AM108" s="1393">
        <v>0.0</v>
      </c>
      <c r="AN108" s="1393">
        <v>0.0</v>
      </c>
      <c r="AO108" s="1393">
        <v>1.9127798444540957E8</v>
      </c>
      <c r="AP108" s="1393">
        <v>2.974881419279476E9</v>
      </c>
      <c r="AQ108" s="1393">
        <v>0.0</v>
      </c>
      <c r="AR108" s="1393">
        <v>0.0</v>
      </c>
      <c r="AS108" s="1393">
        <v>6.427315955816352E8</v>
      </c>
      <c r="AT108" s="1393">
        <v>0.0</v>
      </c>
      <c r="AU108" s="1393">
        <v>0.0</v>
      </c>
      <c r="AV108" s="1393">
        <v>0.0</v>
      </c>
      <c r="AW108" s="1393">
        <v>2.2070899585920715E8</v>
      </c>
      <c r="AX108" s="1393">
        <v>2.6677167442598767E9</v>
      </c>
      <c r="AY108" s="1393">
        <v>0.0</v>
      </c>
      <c r="AZ108" s="1393">
        <v>0.0</v>
      </c>
      <c r="BA108" s="1393">
        <v>5.876664967123239E8</v>
      </c>
      <c r="BB108" s="1393">
        <v>0.0</v>
      </c>
      <c r="BC108" s="1393">
        <v>0.0</v>
      </c>
      <c r="BD108" s="1393">
        <v>0.0</v>
      </c>
      <c r="BE108" s="1393">
        <v>1.9575624359630057E8</v>
      </c>
      <c r="BF108" s="1393">
        <v>2.6296094859677186E9</v>
      </c>
      <c r="BG108" s="1393">
        <v>0.0</v>
      </c>
      <c r="BH108" s="1393">
        <v>0.0</v>
      </c>
      <c r="BI108" s="1393">
        <v>5.797251448626784E8</v>
      </c>
      <c r="BJ108" s="1393">
        <v>0.0</v>
      </c>
      <c r="BK108" s="1393">
        <v>0.0</v>
      </c>
      <c r="BL108" s="1393">
        <v>0.0</v>
      </c>
      <c r="BM108" s="1393">
        <v>1.9287314191093466E8</v>
      </c>
      <c r="BN108" s="1393">
        <v>2.961638298104171E9</v>
      </c>
      <c r="BO108" s="1393">
        <v>0.0</v>
      </c>
      <c r="BP108" s="1393">
        <v>0.0</v>
      </c>
      <c r="BQ108" s="1393">
        <v>4.5458962873366565E8</v>
      </c>
      <c r="BR108" s="1393">
        <v>0.0</v>
      </c>
      <c r="BS108" s="1393">
        <v>0.0</v>
      </c>
      <c r="BT108" s="1393">
        <v>0.0</v>
      </c>
      <c r="BU108" s="1393">
        <v>1.5225971996833596E8</v>
      </c>
      <c r="BV108" s="1393">
        <v>2.876956051012444E9</v>
      </c>
      <c r="BW108" s="1393">
        <v>0.0</v>
      </c>
      <c r="BX108" s="1393">
        <v>0.0</v>
      </c>
      <c r="BY108" s="1393">
        <v>6.23953382001296E8</v>
      </c>
      <c r="BZ108" s="1393">
        <v>0.0</v>
      </c>
      <c r="CA108" s="1393">
        <v>0.0</v>
      </c>
      <c r="CB108" s="1393">
        <v>0.0</v>
      </c>
      <c r="CC108" s="1393">
        <v>2.129882303503721E8</v>
      </c>
      <c r="CD108" s="1393">
        <v>2.904966415700745E9</v>
      </c>
      <c r="CE108" s="1393">
        <v>0.0</v>
      </c>
      <c r="CF108" s="1393">
        <v>0.0</v>
      </c>
      <c r="CG108" s="1393">
        <v>6.285176742257546E8</v>
      </c>
      <c r="CH108" s="1393">
        <v>0.0</v>
      </c>
      <c r="CI108" s="1393">
        <v>0.0</v>
      </c>
      <c r="CJ108" s="1393">
        <v>0.0</v>
      </c>
      <c r="CK108" s="1393">
        <v>2.153512171741906E8</v>
      </c>
      <c r="CL108" s="1393">
        <v>2.763994984010332E9</v>
      </c>
      <c r="CM108" s="1393">
        <v>0.0</v>
      </c>
      <c r="CN108" s="1393">
        <v>0.0</v>
      </c>
      <c r="CO108" s="1393">
        <v>6.027877758610262E8</v>
      </c>
      <c r="CP108" s="1393">
        <v>0.0</v>
      </c>
      <c r="CQ108" s="1393">
        <v>0.0</v>
      </c>
      <c r="CR108" s="1393">
        <v>0.0</v>
      </c>
      <c r="CS108" s="1393">
        <v>2.0398703202201986E8</v>
      </c>
      <c r="CT108" s="1393">
        <v>2.7547142649153395E9</v>
      </c>
      <c r="CU108" s="1393">
        <v>0.0</v>
      </c>
      <c r="CV108" s="1393">
        <v>0.0</v>
      </c>
      <c r="CW108" s="1393">
        <v>6.011240307884151E8</v>
      </c>
      <c r="CX108" s="1393">
        <v>0.0</v>
      </c>
      <c r="CY108" s="1393">
        <v>0.0</v>
      </c>
      <c r="CZ108" s="1393">
        <v>0.0</v>
      </c>
      <c r="DA108" s="1393">
        <v>2.0323310586047676E8</v>
      </c>
      <c r="DB108" s="1393">
        <v>2.686195048421436E9</v>
      </c>
      <c r="DC108" s="1393">
        <v>0.0</v>
      </c>
      <c r="DD108" s="1393">
        <v>0.0</v>
      </c>
      <c r="DE108" s="1393">
        <v>5.888406605393984E8</v>
      </c>
      <c r="DF108" s="1393">
        <v>0.0</v>
      </c>
      <c r="DG108" s="1393">
        <v>0.0</v>
      </c>
      <c r="DH108" s="1393">
        <v>0.0</v>
      </c>
      <c r="DI108" s="1393">
        <v>1.976668960275537E8</v>
      </c>
      <c r="DJ108" s="1393">
        <v>3.007884986402609E9</v>
      </c>
      <c r="DK108" s="1393">
        <v>0.0</v>
      </c>
      <c r="DL108" s="1393">
        <v>0.0</v>
      </c>
      <c r="DM108" s="1393">
        <v>4.6337860423449033E8</v>
      </c>
      <c r="DN108" s="1393">
        <v>0.0</v>
      </c>
      <c r="DO108" s="1393">
        <v>0.0</v>
      </c>
      <c r="DP108" s="1393">
        <v>0.0</v>
      </c>
      <c r="DQ108" s="1393">
        <v>1.565932644425193E8</v>
      </c>
      <c r="DR108" s="1379">
        <f t="shared" si="36"/>
        <v>42751305466</v>
      </c>
    </row>
    <row r="109" hidden="1">
      <c r="A109" s="1401"/>
      <c r="B109" s="1394">
        <f t="shared" si="37"/>
        <v>21</v>
      </c>
      <c r="C109" s="1389" t="s">
        <v>1792</v>
      </c>
      <c r="D109" s="185" t="s">
        <v>186</v>
      </c>
      <c r="E109" s="185" t="s">
        <v>735</v>
      </c>
      <c r="F109" s="185" t="s">
        <v>1896</v>
      </c>
      <c r="G109" s="185" t="s">
        <v>306</v>
      </c>
      <c r="H109" s="185" t="s">
        <v>92</v>
      </c>
      <c r="I109" s="185" t="s">
        <v>305</v>
      </c>
      <c r="J109" s="185" t="s">
        <v>1889</v>
      </c>
      <c r="K109" s="185" t="s">
        <v>188</v>
      </c>
      <c r="L109" s="1390">
        <v>1.724175425E8</v>
      </c>
      <c r="M109" s="1390">
        <v>1.724175425E8</v>
      </c>
      <c r="N109" s="1390">
        <v>1.724175425E8</v>
      </c>
      <c r="O109" s="1390">
        <v>1.724175425E8</v>
      </c>
      <c r="P109" s="1390">
        <v>1.724175425E8</v>
      </c>
      <c r="Q109" s="1390">
        <v>1.724175425E8</v>
      </c>
      <c r="R109" s="1390">
        <v>1.724175425E8</v>
      </c>
      <c r="S109" s="1390">
        <v>1.724175425E8</v>
      </c>
      <c r="T109" s="1390">
        <v>1.724175425E8</v>
      </c>
      <c r="U109" s="1390">
        <v>1.724175425E8</v>
      </c>
      <c r="V109" s="1390">
        <v>1.724175425E8</v>
      </c>
      <c r="W109" s="1390">
        <v>1.724175425E8</v>
      </c>
      <c r="X109" s="1391">
        <v>2.06901051E9</v>
      </c>
      <c r="Y109" s="1392">
        <f t="shared" si="3"/>
        <v>0</v>
      </c>
      <c r="Z109" s="1393">
        <v>1.0912937325143117E8</v>
      </c>
      <c r="AA109" s="1393">
        <v>0.0</v>
      </c>
      <c r="AB109" s="1393">
        <v>0.0</v>
      </c>
      <c r="AC109" s="1393">
        <v>2.408669076265435E7</v>
      </c>
      <c r="AD109" s="1393">
        <v>0.0</v>
      </c>
      <c r="AE109" s="1393">
        <v>0.0</v>
      </c>
      <c r="AF109" s="1393">
        <v>0.0</v>
      </c>
      <c r="AG109" s="1393">
        <v>7998921.149324039</v>
      </c>
      <c r="AH109" s="1393">
        <v>1.0799112176501642E8</v>
      </c>
      <c r="AI109" s="1393">
        <v>0.0</v>
      </c>
      <c r="AJ109" s="1393">
        <v>0.0</v>
      </c>
      <c r="AK109" s="1393">
        <v>2.3882637576416153E7</v>
      </c>
      <c r="AL109" s="1393">
        <v>0.0</v>
      </c>
      <c r="AM109" s="1393">
        <v>0.0</v>
      </c>
      <c r="AN109" s="1393">
        <v>0.0</v>
      </c>
      <c r="AO109" s="1393">
        <v>7906454.437936805</v>
      </c>
      <c r="AP109" s="1393">
        <v>1.2296639609620492E8</v>
      </c>
      <c r="AQ109" s="1393">
        <v>0.0</v>
      </c>
      <c r="AR109" s="1393">
        <v>0.0</v>
      </c>
      <c r="AS109" s="1393">
        <v>2.6567239774209045E7</v>
      </c>
      <c r="AT109" s="1393">
        <v>0.0</v>
      </c>
      <c r="AU109" s="1393">
        <v>0.0</v>
      </c>
      <c r="AV109" s="1393">
        <v>0.0</v>
      </c>
      <c r="AW109" s="1393">
        <v>9122982.056001494</v>
      </c>
      <c r="AX109" s="1393">
        <v>1.1026977805609147E8</v>
      </c>
      <c r="AY109" s="1393">
        <v>0.0</v>
      </c>
      <c r="AZ109" s="1393">
        <v>0.0</v>
      </c>
      <c r="BA109" s="1393">
        <v>2.4291129972064253E7</v>
      </c>
      <c r="BB109" s="1393">
        <v>0.0</v>
      </c>
      <c r="BC109" s="1393">
        <v>0.0</v>
      </c>
      <c r="BD109" s="1393">
        <v>0.0</v>
      </c>
      <c r="BE109" s="1393">
        <v>8091562.787130533</v>
      </c>
      <c r="BF109" s="1393">
        <v>1.0869461872808409E8</v>
      </c>
      <c r="BG109" s="1393">
        <v>0.0</v>
      </c>
      <c r="BH109" s="1393">
        <v>0.0</v>
      </c>
      <c r="BI109" s="1393">
        <v>2.396287506726225E7</v>
      </c>
      <c r="BJ109" s="1393">
        <v>0.0</v>
      </c>
      <c r="BK109" s="1393">
        <v>0.0</v>
      </c>
      <c r="BL109" s="1393">
        <v>0.0</v>
      </c>
      <c r="BM109" s="1393">
        <v>7972390.096235778</v>
      </c>
      <c r="BN109" s="1393">
        <v>1.2241899313975799E8</v>
      </c>
      <c r="BO109" s="1393">
        <v>0.0</v>
      </c>
      <c r="BP109" s="1393">
        <v>0.0</v>
      </c>
      <c r="BQ109" s="1393">
        <v>1.8790412278560538E7</v>
      </c>
      <c r="BR109" s="1393">
        <v>0.0</v>
      </c>
      <c r="BS109" s="1393">
        <v>0.0</v>
      </c>
      <c r="BT109" s="1393">
        <v>0.0</v>
      </c>
      <c r="BU109" s="1393">
        <v>6293638.769527276</v>
      </c>
      <c r="BV109" s="1393">
        <v>1.1891866177504764E8</v>
      </c>
      <c r="BW109" s="1393">
        <v>0.0</v>
      </c>
      <c r="BX109" s="1393">
        <v>0.0</v>
      </c>
      <c r="BY109" s="1393">
        <v>2.5791044382307213E7</v>
      </c>
      <c r="BZ109" s="1393">
        <v>0.0</v>
      </c>
      <c r="CA109" s="1393">
        <v>0.0</v>
      </c>
      <c r="CB109" s="1393">
        <v>0.0</v>
      </c>
      <c r="CC109" s="1393">
        <v>8803845.063322548</v>
      </c>
      <c r="CD109" s="1393">
        <v>1.2007646711704846E8</v>
      </c>
      <c r="CE109" s="1393">
        <v>0.0</v>
      </c>
      <c r="CF109" s="1393">
        <v>0.0</v>
      </c>
      <c r="CG109" s="1393">
        <v>2.5979708899129372E7</v>
      </c>
      <c r="CH109" s="1393">
        <v>0.0</v>
      </c>
      <c r="CI109" s="1393">
        <v>0.0</v>
      </c>
      <c r="CJ109" s="1393">
        <v>0.0</v>
      </c>
      <c r="CK109" s="1393">
        <v>8901518.863651086</v>
      </c>
      <c r="CL109" s="1393">
        <v>1.1424942850127369E8</v>
      </c>
      <c r="CM109" s="1393">
        <v>0.0</v>
      </c>
      <c r="CN109" s="1393">
        <v>0.0</v>
      </c>
      <c r="CO109" s="1393">
        <v>2.4916166381660357E7</v>
      </c>
      <c r="CP109" s="1393">
        <v>0.0</v>
      </c>
      <c r="CQ109" s="1393">
        <v>0.0</v>
      </c>
      <c r="CR109" s="1393">
        <v>0.0</v>
      </c>
      <c r="CS109" s="1393">
        <v>8431781.520953609</v>
      </c>
      <c r="CT109" s="1393">
        <v>1.1386581099877544E8</v>
      </c>
      <c r="CU109" s="1393">
        <v>0.0</v>
      </c>
      <c r="CV109" s="1393">
        <v>0.0</v>
      </c>
      <c r="CW109" s="1393">
        <v>2.484739566217018E7</v>
      </c>
      <c r="CX109" s="1393">
        <v>0.0</v>
      </c>
      <c r="CY109" s="1393">
        <v>0.0</v>
      </c>
      <c r="CZ109" s="1393">
        <v>0.0</v>
      </c>
      <c r="DA109" s="1393">
        <v>8400618.066031748</v>
      </c>
      <c r="DB109" s="1393">
        <v>1.1103357672517146E8</v>
      </c>
      <c r="DC109" s="1393">
        <v>0.0</v>
      </c>
      <c r="DD109" s="1393">
        <v>0.0</v>
      </c>
      <c r="DE109" s="1393">
        <v>2.4339663904645965E7</v>
      </c>
      <c r="DF109" s="1393">
        <v>0.0</v>
      </c>
      <c r="DG109" s="1393">
        <v>0.0</v>
      </c>
      <c r="DH109" s="1393">
        <v>0.0</v>
      </c>
      <c r="DI109" s="1393">
        <v>8170539.3951193495</v>
      </c>
      <c r="DJ109" s="1393">
        <v>1.2433059491137443E8</v>
      </c>
      <c r="DK109" s="1393">
        <v>0.0</v>
      </c>
      <c r="DL109" s="1393">
        <v>0.0</v>
      </c>
      <c r="DM109" s="1393">
        <v>1.915370361370761E7</v>
      </c>
      <c r="DN109" s="1393">
        <v>0.0</v>
      </c>
      <c r="DO109" s="1393">
        <v>0.0</v>
      </c>
      <c r="DP109" s="1393">
        <v>0.0</v>
      </c>
      <c r="DQ109" s="1393">
        <v>6472765.353484366</v>
      </c>
      <c r="DR109" s="1379">
        <f t="shared" si="36"/>
        <v>1767120507</v>
      </c>
    </row>
    <row r="110" hidden="1">
      <c r="A110" s="1401"/>
      <c r="B110" s="1394">
        <f t="shared" si="37"/>
        <v>22</v>
      </c>
      <c r="C110" s="1389" t="s">
        <v>1793</v>
      </c>
      <c r="D110" s="185" t="s">
        <v>186</v>
      </c>
      <c r="E110" s="185" t="s">
        <v>735</v>
      </c>
      <c r="F110" s="185" t="s">
        <v>1896</v>
      </c>
      <c r="G110" s="185" t="s">
        <v>306</v>
      </c>
      <c r="H110" s="185" t="s">
        <v>92</v>
      </c>
      <c r="I110" s="185" t="s">
        <v>305</v>
      </c>
      <c r="J110" s="185" t="s">
        <v>1889</v>
      </c>
      <c r="K110" s="185" t="s">
        <v>188</v>
      </c>
      <c r="L110" s="1390">
        <v>3.3038485157285726E8</v>
      </c>
      <c r="M110" s="1390">
        <v>3.3038485157285726E8</v>
      </c>
      <c r="N110" s="1390">
        <v>3.3038485157285726E8</v>
      </c>
      <c r="O110" s="1390">
        <v>3.3038485157285726E8</v>
      </c>
      <c r="P110" s="1390">
        <v>3.3038485157285726E8</v>
      </c>
      <c r="Q110" s="1390">
        <v>3.3038485157285726E8</v>
      </c>
      <c r="R110" s="1390">
        <v>3.3038485157285726E8</v>
      </c>
      <c r="S110" s="1390">
        <v>3.3038485157285726E8</v>
      </c>
      <c r="T110" s="1390">
        <v>3.3038485157285726E8</v>
      </c>
      <c r="U110" s="1390">
        <v>3.3038485157285726E8</v>
      </c>
      <c r="V110" s="1390">
        <v>3.3038485157285726E8</v>
      </c>
      <c r="W110" s="1390">
        <v>3.3038485157285726E8</v>
      </c>
      <c r="X110" s="1391">
        <v>3.964618218874288E9</v>
      </c>
      <c r="Y110" s="1392">
        <f t="shared" si="3"/>
        <v>0</v>
      </c>
      <c r="Z110" s="1393">
        <v>2.091126648781288E8</v>
      </c>
      <c r="AA110" s="1393">
        <v>0.0</v>
      </c>
      <c r="AB110" s="1393">
        <v>0.0</v>
      </c>
      <c r="AC110" s="1393">
        <v>4.6154687261598505E7</v>
      </c>
      <c r="AD110" s="1393">
        <v>0.0</v>
      </c>
      <c r="AE110" s="1393">
        <v>0.0</v>
      </c>
      <c r="AF110" s="1393">
        <v>0.0</v>
      </c>
      <c r="AG110" s="1393">
        <v>1.5327456466109945E7</v>
      </c>
      <c r="AH110" s="1393">
        <v>2.0693155822889253E8</v>
      </c>
      <c r="AI110" s="1393">
        <v>0.0</v>
      </c>
      <c r="AJ110" s="1393">
        <v>0.0</v>
      </c>
      <c r="AK110" s="1393">
        <v>4.576368249102376E7</v>
      </c>
      <c r="AL110" s="1393">
        <v>0.0</v>
      </c>
      <c r="AM110" s="1393">
        <v>0.0</v>
      </c>
      <c r="AN110" s="1393">
        <v>0.0</v>
      </c>
      <c r="AO110" s="1393">
        <v>1.515027263507894E7</v>
      </c>
      <c r="AP110" s="1393">
        <v>2.356270361682822E8</v>
      </c>
      <c r="AQ110" s="1393">
        <v>0.0</v>
      </c>
      <c r="AR110" s="1393">
        <v>0.0</v>
      </c>
      <c r="AS110" s="1393">
        <v>5.090789163464945E7</v>
      </c>
      <c r="AT110" s="1393">
        <v>0.0</v>
      </c>
      <c r="AU110" s="1393">
        <v>0.0</v>
      </c>
      <c r="AV110" s="1393">
        <v>0.0</v>
      </c>
      <c r="AW110" s="1393">
        <v>1.7481371261708442E7</v>
      </c>
      <c r="AX110" s="1393">
        <v>2.1129789769526318E8</v>
      </c>
      <c r="AY110" s="1393">
        <v>0.0</v>
      </c>
      <c r="AZ110" s="1393">
        <v>0.0</v>
      </c>
      <c r="BA110" s="1393">
        <v>4.654643172609558E7</v>
      </c>
      <c r="BB110" s="1393">
        <v>0.0</v>
      </c>
      <c r="BC110" s="1393">
        <v>0.0</v>
      </c>
      <c r="BD110" s="1393">
        <v>0.0</v>
      </c>
      <c r="BE110" s="1393">
        <v>1.550497548947826E7</v>
      </c>
      <c r="BF110" s="1393">
        <v>2.082795924042727E8</v>
      </c>
      <c r="BG110" s="1393">
        <v>0.0</v>
      </c>
      <c r="BH110" s="1393">
        <v>0.0</v>
      </c>
      <c r="BI110" s="1393">
        <v>4.591743280621437E7</v>
      </c>
      <c r="BJ110" s="1393">
        <v>0.0</v>
      </c>
      <c r="BK110" s="1393">
        <v>0.0</v>
      </c>
      <c r="BL110" s="1393">
        <v>0.0</v>
      </c>
      <c r="BM110" s="1393">
        <v>1.5276617915058006E7</v>
      </c>
      <c r="BN110" s="1393">
        <v>2.3457810784060776E8</v>
      </c>
      <c r="BO110" s="1393">
        <v>0.0</v>
      </c>
      <c r="BP110" s="1393">
        <v>0.0</v>
      </c>
      <c r="BQ110" s="1393">
        <v>3.6006008910868324E7</v>
      </c>
      <c r="BR110" s="1393">
        <v>0.0</v>
      </c>
      <c r="BS110" s="1393">
        <v>0.0</v>
      </c>
      <c r="BT110" s="1393">
        <v>0.0</v>
      </c>
      <c r="BU110" s="1393">
        <v>1.205981062352428E7</v>
      </c>
      <c r="BV110" s="1393">
        <v>2.2787080624230525E8</v>
      </c>
      <c r="BW110" s="1393">
        <v>0.0</v>
      </c>
      <c r="BX110" s="1393">
        <v>0.0</v>
      </c>
      <c r="BY110" s="1393">
        <v>4.942055342284873E7</v>
      </c>
      <c r="BZ110" s="1393">
        <v>0.0</v>
      </c>
      <c r="CA110" s="1393">
        <v>0.0</v>
      </c>
      <c r="CB110" s="1393">
        <v>0.0</v>
      </c>
      <c r="CC110" s="1393">
        <v>1.6869843998131756E7</v>
      </c>
      <c r="CD110" s="1393">
        <v>2.3008938180324158E8</v>
      </c>
      <c r="CE110" s="1393">
        <v>0.0</v>
      </c>
      <c r="CF110" s="1393">
        <v>0.0</v>
      </c>
      <c r="CG110" s="1393">
        <v>4.978207057176271E7</v>
      </c>
      <c r="CH110" s="1393">
        <v>0.0</v>
      </c>
      <c r="CI110" s="1393">
        <v>0.0</v>
      </c>
      <c r="CJ110" s="1393">
        <v>0.0</v>
      </c>
      <c r="CK110" s="1393">
        <v>1.7057005603361692E7</v>
      </c>
      <c r="CL110" s="1393">
        <v>2.1892366594702554E8</v>
      </c>
      <c r="CM110" s="1393">
        <v>0.0</v>
      </c>
      <c r="CN110" s="1393">
        <v>0.0</v>
      </c>
      <c r="CO110" s="1393">
        <v>4.774412053674569E7</v>
      </c>
      <c r="CP110" s="1393">
        <v>0.0</v>
      </c>
      <c r="CQ110" s="1393">
        <v>0.0</v>
      </c>
      <c r="CR110" s="1393">
        <v>0.0</v>
      </c>
      <c r="CS110" s="1393">
        <v>1.6156899384498645E7</v>
      </c>
      <c r="CT110" s="1393">
        <v>2.18188581745117E8</v>
      </c>
      <c r="CU110" s="1393">
        <v>0.0</v>
      </c>
      <c r="CV110" s="1393">
        <v>0.0</v>
      </c>
      <c r="CW110" s="1393">
        <v>4.76123427395339E7</v>
      </c>
      <c r="CX110" s="1393">
        <v>0.0</v>
      </c>
      <c r="CY110" s="1393">
        <v>0.0</v>
      </c>
      <c r="CZ110" s="1393">
        <v>0.0</v>
      </c>
      <c r="DA110" s="1393">
        <v>1.609718426920603E7</v>
      </c>
      <c r="DB110" s="1393">
        <v>2.1276148142494974E8</v>
      </c>
      <c r="DC110" s="1393">
        <v>0.0</v>
      </c>
      <c r="DD110" s="1393">
        <v>0.0</v>
      </c>
      <c r="DE110" s="1393">
        <v>4.663943198511653E7</v>
      </c>
      <c r="DF110" s="1393">
        <v>0.0</v>
      </c>
      <c r="DG110" s="1393">
        <v>0.0</v>
      </c>
      <c r="DH110" s="1393">
        <v>0.0</v>
      </c>
      <c r="DI110" s="1393">
        <v>1.5656309712955626E7</v>
      </c>
      <c r="DJ110" s="1393">
        <v>2.3824110093530348E8</v>
      </c>
      <c r="DK110" s="1393">
        <v>0.0</v>
      </c>
      <c r="DL110" s="1393">
        <v>0.0</v>
      </c>
      <c r="DM110" s="1393">
        <v>3.670214430463355E7</v>
      </c>
      <c r="DN110" s="1393">
        <v>0.0</v>
      </c>
      <c r="DO110" s="1393">
        <v>0.0</v>
      </c>
      <c r="DP110" s="1393">
        <v>0.0</v>
      </c>
      <c r="DQ110" s="1393">
        <v>1.2403051276391236E7</v>
      </c>
      <c r="DR110" s="1379">
        <f t="shared" si="36"/>
        <v>3386139472</v>
      </c>
    </row>
    <row r="111" hidden="1">
      <c r="A111" s="1401"/>
      <c r="B111" s="1394">
        <f t="shared" si="37"/>
        <v>23</v>
      </c>
      <c r="C111" s="1389" t="s">
        <v>1794</v>
      </c>
      <c r="D111" s="185" t="s">
        <v>186</v>
      </c>
      <c r="E111" s="185" t="s">
        <v>735</v>
      </c>
      <c r="F111" s="185" t="s">
        <v>1896</v>
      </c>
      <c r="G111" s="185" t="s">
        <v>306</v>
      </c>
      <c r="H111" s="185" t="s">
        <v>92</v>
      </c>
      <c r="I111" s="185" t="s">
        <v>305</v>
      </c>
      <c r="J111" s="185" t="s">
        <v>1889</v>
      </c>
      <c r="K111" s="185" t="s">
        <v>188</v>
      </c>
      <c r="L111" s="1390">
        <v>2.164983701168334E9</v>
      </c>
      <c r="M111" s="1390">
        <v>2.164983701168334E9</v>
      </c>
      <c r="N111" s="1390">
        <v>2.164983701168334E9</v>
      </c>
      <c r="O111" s="1390">
        <v>2.164983701168334E9</v>
      </c>
      <c r="P111" s="1390">
        <v>2.164983701168334E9</v>
      </c>
      <c r="Q111" s="1390">
        <v>2.164983701168334E9</v>
      </c>
      <c r="R111" s="1390">
        <v>2.164983701168334E9</v>
      </c>
      <c r="S111" s="1390">
        <v>2.164983701168334E9</v>
      </c>
      <c r="T111" s="1390">
        <v>2.164983701168334E9</v>
      </c>
      <c r="U111" s="1390">
        <v>2.164983701168334E9</v>
      </c>
      <c r="V111" s="1390">
        <v>2.164983701168334E9</v>
      </c>
      <c r="W111" s="1390">
        <v>2.164983701168334E9</v>
      </c>
      <c r="X111" s="1391">
        <v>2.5979804414020016E10</v>
      </c>
      <c r="Y111" s="1392">
        <f t="shared" si="3"/>
        <v>0</v>
      </c>
      <c r="Z111" s="1393">
        <v>1.3702974243938317E9</v>
      </c>
      <c r="AA111" s="1393">
        <v>0.0</v>
      </c>
      <c r="AB111" s="1393">
        <v>0.0</v>
      </c>
      <c r="AC111" s="1393">
        <v>3.024477217347448E8</v>
      </c>
      <c r="AD111" s="1393">
        <v>0.0</v>
      </c>
      <c r="AE111" s="1393">
        <v>0.0</v>
      </c>
      <c r="AF111" s="1393">
        <v>0.0</v>
      </c>
      <c r="AG111" s="1393">
        <v>1.004395125004013E8</v>
      </c>
      <c r="AH111" s="1393">
        <v>1.3560048188956497E9</v>
      </c>
      <c r="AI111" s="1393">
        <v>0.0</v>
      </c>
      <c r="AJ111" s="1393">
        <v>0.0</v>
      </c>
      <c r="AK111" s="1393">
        <v>2.99885500884293E8</v>
      </c>
      <c r="AL111" s="1393">
        <v>0.0</v>
      </c>
      <c r="AM111" s="1393">
        <v>0.0</v>
      </c>
      <c r="AN111" s="1393">
        <v>0.0</v>
      </c>
      <c r="AO111" s="1393">
        <v>9.927844199590784E7</v>
      </c>
      <c r="AP111" s="1393">
        <v>1.5440438338209877E9</v>
      </c>
      <c r="AQ111" s="1393">
        <v>0.0</v>
      </c>
      <c r="AR111" s="1393">
        <v>0.0</v>
      </c>
      <c r="AS111" s="1393">
        <v>3.335950638328677E8</v>
      </c>
      <c r="AT111" s="1393">
        <v>0.0</v>
      </c>
      <c r="AU111" s="1393">
        <v>0.0</v>
      </c>
      <c r="AV111" s="1393">
        <v>0.0</v>
      </c>
      <c r="AW111" s="1393">
        <v>1.1455393210522306E8</v>
      </c>
      <c r="AX111" s="1393">
        <v>1.384617068317672E9</v>
      </c>
      <c r="AY111" s="1393">
        <v>0.0</v>
      </c>
      <c r="AZ111" s="1393">
        <v>0.0</v>
      </c>
      <c r="BA111" s="1393">
        <v>3.0501478973626316E8</v>
      </c>
      <c r="BB111" s="1393">
        <v>0.0</v>
      </c>
      <c r="BC111" s="1393">
        <v>0.0</v>
      </c>
      <c r="BD111" s="1393">
        <v>0.0</v>
      </c>
      <c r="BE111" s="1393">
        <v>1.0160277949163915E8</v>
      </c>
      <c r="BF111" s="1393">
        <v>1.3648383716581993E9</v>
      </c>
      <c r="BG111" s="1393">
        <v>0.0</v>
      </c>
      <c r="BH111" s="1393">
        <v>0.0</v>
      </c>
      <c r="BI111" s="1393">
        <v>3.008930135618643E8</v>
      </c>
      <c r="BJ111" s="1393">
        <v>0.0</v>
      </c>
      <c r="BK111" s="1393">
        <v>0.0</v>
      </c>
      <c r="BL111" s="1393">
        <v>0.0</v>
      </c>
      <c r="BM111" s="1393">
        <v>1.0010637181948179E8</v>
      </c>
      <c r="BN111" s="1393">
        <v>1.5371702961200376E9</v>
      </c>
      <c r="BO111" s="1393">
        <v>0.0</v>
      </c>
      <c r="BP111" s="1393">
        <v>0.0</v>
      </c>
      <c r="BQ111" s="1393">
        <v>2.3594429970092458E8</v>
      </c>
      <c r="BR111" s="1393">
        <v>0.0</v>
      </c>
      <c r="BS111" s="1393">
        <v>0.0</v>
      </c>
      <c r="BT111" s="1393">
        <v>0.0</v>
      </c>
      <c r="BU111" s="1393">
        <v>7.90269085123266E7</v>
      </c>
      <c r="BV111" s="1393">
        <v>1.493217921881284E9</v>
      </c>
      <c r="BW111" s="1393">
        <v>0.0</v>
      </c>
      <c r="BX111" s="1393">
        <v>0.0</v>
      </c>
      <c r="BY111" s="1393">
        <v>3.2384866362310106E8</v>
      </c>
      <c r="BZ111" s="1393">
        <v>0.0</v>
      </c>
      <c r="CA111" s="1393">
        <v>0.0</v>
      </c>
      <c r="CB111" s="1393">
        <v>0.0</v>
      </c>
      <c r="CC111" s="1393">
        <v>1.1054664620164515E8</v>
      </c>
      <c r="CD111" s="1393">
        <v>1.5077560579561405E9</v>
      </c>
      <c r="CE111" s="1393">
        <v>0.0</v>
      </c>
      <c r="CF111" s="1393">
        <v>0.0</v>
      </c>
      <c r="CG111" s="1393">
        <v>3.2621765460850954E8</v>
      </c>
      <c r="CH111" s="1393">
        <v>0.0</v>
      </c>
      <c r="CI111" s="1393">
        <v>0.0</v>
      </c>
      <c r="CJ111" s="1393">
        <v>0.0</v>
      </c>
      <c r="CK111" s="1393">
        <v>1.1177310020786934E8</v>
      </c>
      <c r="CL111" s="1393">
        <v>1.43458807605412E9</v>
      </c>
      <c r="CM111" s="1393">
        <v>0.0</v>
      </c>
      <c r="CN111" s="1393">
        <v>0.0</v>
      </c>
      <c r="CO111" s="1393">
        <v>3.128631421706585E8</v>
      </c>
      <c r="CP111" s="1393">
        <v>0.0</v>
      </c>
      <c r="CQ111" s="1393">
        <v>0.0</v>
      </c>
      <c r="CR111" s="1393">
        <v>0.0</v>
      </c>
      <c r="CS111" s="1393">
        <v>1.0587478106919956E8</v>
      </c>
      <c r="CT111" s="1393">
        <v>1.4297711320915203E9</v>
      </c>
      <c r="CU111" s="1393">
        <v>0.0</v>
      </c>
      <c r="CV111" s="1393">
        <v>0.0</v>
      </c>
      <c r="CW111" s="1393">
        <v>3.119996135258639E8</v>
      </c>
      <c r="CX111" s="1393">
        <v>0.0</v>
      </c>
      <c r="CY111" s="1393">
        <v>0.0</v>
      </c>
      <c r="CZ111" s="1393">
        <v>0.0</v>
      </c>
      <c r="DA111" s="1393">
        <v>1.0548347302130806E8</v>
      </c>
      <c r="DB111" s="1393">
        <v>1.394207807435951E9</v>
      </c>
      <c r="DC111" s="1393">
        <v>0.0</v>
      </c>
      <c r="DD111" s="1393">
        <v>0.0</v>
      </c>
      <c r="DE111" s="1393">
        <v>3.0562421248681074E8</v>
      </c>
      <c r="DF111" s="1393">
        <v>0.0</v>
      </c>
      <c r="DG111" s="1393">
        <v>0.0</v>
      </c>
      <c r="DH111" s="1393">
        <v>0.0</v>
      </c>
      <c r="DI111" s="1393">
        <v>1.0259445972666715E8</v>
      </c>
      <c r="DJ111" s="1393">
        <v>1.5611735768690023E9</v>
      </c>
      <c r="DK111" s="1393">
        <v>0.0</v>
      </c>
      <c r="DL111" s="1393">
        <v>0.0</v>
      </c>
      <c r="DM111" s="1393">
        <v>2.405060154519137E8</v>
      </c>
      <c r="DN111" s="1393">
        <v>0.0</v>
      </c>
      <c r="DO111" s="1393">
        <v>0.0</v>
      </c>
      <c r="DP111" s="1393">
        <v>0.0</v>
      </c>
      <c r="DQ111" s="1393">
        <v>8.12761351808546E7</v>
      </c>
      <c r="DR111" s="1379">
        <f t="shared" si="36"/>
        <v>22189082619</v>
      </c>
    </row>
    <row r="112" hidden="1">
      <c r="A112" s="1401"/>
      <c r="B112" s="1394">
        <f t="shared" si="37"/>
        <v>24</v>
      </c>
      <c r="C112" s="1389" t="s">
        <v>1796</v>
      </c>
      <c r="D112" s="185" t="s">
        <v>186</v>
      </c>
      <c r="E112" s="185" t="s">
        <v>735</v>
      </c>
      <c r="F112" s="185" t="s">
        <v>1896</v>
      </c>
      <c r="G112" s="185" t="s">
        <v>306</v>
      </c>
      <c r="H112" s="185" t="s">
        <v>92</v>
      </c>
      <c r="I112" s="185" t="s">
        <v>305</v>
      </c>
      <c r="J112" s="185" t="s">
        <v>1889</v>
      </c>
      <c r="K112" s="185" t="s">
        <v>188</v>
      </c>
      <c r="L112" s="1390">
        <v>5.361845774020001E8</v>
      </c>
      <c r="M112" s="1390">
        <v>5.361845774020001E8</v>
      </c>
      <c r="N112" s="1390">
        <v>5.361845774020001E8</v>
      </c>
      <c r="O112" s="1390">
        <v>5.361845774020001E8</v>
      </c>
      <c r="P112" s="1390">
        <v>5.361845774020001E8</v>
      </c>
      <c r="Q112" s="1390">
        <v>5.361845774020001E8</v>
      </c>
      <c r="R112" s="1390">
        <v>5.361845774020001E8</v>
      </c>
      <c r="S112" s="1390">
        <v>5.361845774020001E8</v>
      </c>
      <c r="T112" s="1390">
        <v>5.361845774020001E8</v>
      </c>
      <c r="U112" s="1390">
        <v>5.361845774020001E8</v>
      </c>
      <c r="V112" s="1390">
        <v>5.361845774020001E8</v>
      </c>
      <c r="W112" s="1390">
        <v>5.361845774020001E8</v>
      </c>
      <c r="X112" s="1391">
        <v>6.434214928824002E9</v>
      </c>
      <c r="Y112" s="1392">
        <f t="shared" si="3"/>
        <v>0</v>
      </c>
      <c r="Z112" s="1393">
        <v>3.393708437699357E8</v>
      </c>
      <c r="AA112" s="1393">
        <v>0.0</v>
      </c>
      <c r="AB112" s="1393">
        <v>0.0</v>
      </c>
      <c r="AC112" s="1393">
        <v>7.490486130543523E7</v>
      </c>
      <c r="AD112" s="1393">
        <v>0.0</v>
      </c>
      <c r="AE112" s="1393">
        <v>0.0</v>
      </c>
      <c r="AF112" s="1393">
        <v>0.0</v>
      </c>
      <c r="AG112" s="1393">
        <v>2.4875068359834854E7</v>
      </c>
      <c r="AH112" s="1393">
        <v>3.358311059719649E8</v>
      </c>
      <c r="AI112" s="1393">
        <v>0.0</v>
      </c>
      <c r="AJ112" s="1393">
        <v>0.0</v>
      </c>
      <c r="AK112" s="1393">
        <v>7.427029611070941E7</v>
      </c>
      <c r="AL112" s="1393">
        <v>0.0</v>
      </c>
      <c r="AM112" s="1393">
        <v>0.0</v>
      </c>
      <c r="AN112" s="1393">
        <v>0.0</v>
      </c>
      <c r="AO112" s="1393">
        <v>2.458751511061187E7</v>
      </c>
      <c r="AP112" s="1393">
        <v>3.8240125783889186E8</v>
      </c>
      <c r="AQ112" s="1393">
        <v>0.0</v>
      </c>
      <c r="AR112" s="1393">
        <v>0.0</v>
      </c>
      <c r="AS112" s="1393">
        <v>8.261887986874588E7</v>
      </c>
      <c r="AT112" s="1393">
        <v>0.0</v>
      </c>
      <c r="AU112" s="1393">
        <v>0.0</v>
      </c>
      <c r="AV112" s="1393">
        <v>0.0</v>
      </c>
      <c r="AW112" s="1393">
        <v>2.837067625147941E7</v>
      </c>
      <c r="AX112" s="1393">
        <v>3.4291727796327776E8</v>
      </c>
      <c r="AY112" s="1393">
        <v>0.0</v>
      </c>
      <c r="AZ112" s="1393">
        <v>0.0</v>
      </c>
      <c r="BA112" s="1393">
        <v>7.554062695614822E7</v>
      </c>
      <c r="BB112" s="1393">
        <v>0.0</v>
      </c>
      <c r="BC112" s="1393">
        <v>0.0</v>
      </c>
      <c r="BD112" s="1393">
        <v>0.0</v>
      </c>
      <c r="BE112" s="1393">
        <v>2.516316559574751E7</v>
      </c>
      <c r="BF112" s="1393">
        <v>3.380188428830511E8</v>
      </c>
      <c r="BG112" s="1393">
        <v>0.0</v>
      </c>
      <c r="BH112" s="1393">
        <v>0.0</v>
      </c>
      <c r="BI112" s="1393">
        <v>7.451981889416465E7</v>
      </c>
      <c r="BJ112" s="1393">
        <v>0.0</v>
      </c>
      <c r="BK112" s="1393">
        <v>0.0</v>
      </c>
      <c r="BL112" s="1393">
        <v>0.0</v>
      </c>
      <c r="BM112" s="1393">
        <v>2.479256201342779E7</v>
      </c>
      <c r="BN112" s="1393">
        <v>3.806989425256394E8</v>
      </c>
      <c r="BO112" s="1393">
        <v>0.0</v>
      </c>
      <c r="BP112" s="1393">
        <v>0.0</v>
      </c>
      <c r="BQ112" s="1393">
        <v>5.8434479001980536E7</v>
      </c>
      <c r="BR112" s="1393">
        <v>0.0</v>
      </c>
      <c r="BS112" s="1393">
        <v>0.0</v>
      </c>
      <c r="BT112" s="1393">
        <v>0.0</v>
      </c>
      <c r="BU112" s="1393">
        <v>1.9571976232985847E7</v>
      </c>
      <c r="BV112" s="1393">
        <v>3.698136018210868E8</v>
      </c>
      <c r="BW112" s="1393">
        <v>0.0</v>
      </c>
      <c r="BX112" s="1393">
        <v>0.0</v>
      </c>
      <c r="BY112" s="1393">
        <v>8.020506517127526E7</v>
      </c>
      <c r="BZ112" s="1393">
        <v>0.0</v>
      </c>
      <c r="CA112" s="1393">
        <v>0.0</v>
      </c>
      <c r="CB112" s="1393">
        <v>0.0</v>
      </c>
      <c r="CC112" s="1393">
        <v>2.7378223099255025E7</v>
      </c>
      <c r="CD112" s="1393">
        <v>3.7341414825628775E8</v>
      </c>
      <c r="CE112" s="1393">
        <v>0.0</v>
      </c>
      <c r="CF112" s="1393">
        <v>0.0</v>
      </c>
      <c r="CG112" s="1393">
        <v>8.079177463689151E7</v>
      </c>
      <c r="CH112" s="1393">
        <v>0.0</v>
      </c>
      <c r="CI112" s="1393">
        <v>0.0</v>
      </c>
      <c r="CJ112" s="1393">
        <v>0.0</v>
      </c>
      <c r="CK112" s="1393">
        <v>2.7681969368880723E7</v>
      </c>
      <c r="CL112" s="1393">
        <v>3.552932065446616E8</v>
      </c>
      <c r="CM112" s="1393">
        <v>0.0</v>
      </c>
      <c r="CN112" s="1393">
        <v>0.0</v>
      </c>
      <c r="CO112" s="1393">
        <v>7.748436700881803E7</v>
      </c>
      <c r="CP112" s="1393">
        <v>0.0</v>
      </c>
      <c r="CQ112" s="1393">
        <v>0.0</v>
      </c>
      <c r="CR112" s="1393">
        <v>0.0</v>
      </c>
      <c r="CS112" s="1393">
        <v>2.6221178808174375E7</v>
      </c>
      <c r="CT112" s="1393">
        <v>3.541002317146147E8</v>
      </c>
      <c r="CU112" s="1393">
        <v>0.0</v>
      </c>
      <c r="CV112" s="1393">
        <v>0.0</v>
      </c>
      <c r="CW112" s="1393">
        <v>7.72705036244268E7</v>
      </c>
      <c r="CX112" s="1393">
        <v>0.0</v>
      </c>
      <c r="CY112" s="1393">
        <v>0.0</v>
      </c>
      <c r="CZ112" s="1393">
        <v>0.0</v>
      </c>
      <c r="DA112" s="1393">
        <v>2.6124266605011147E7</v>
      </c>
      <c r="DB112" s="1393">
        <v>3.452925412958987E8</v>
      </c>
      <c r="DC112" s="1393">
        <v>0.0</v>
      </c>
      <c r="DD112" s="1393">
        <v>0.0</v>
      </c>
      <c r="DE112" s="1393">
        <v>7.569155792148767E7</v>
      </c>
      <c r="DF112" s="1393">
        <v>0.0</v>
      </c>
      <c r="DG112" s="1393">
        <v>0.0</v>
      </c>
      <c r="DH112" s="1393">
        <v>0.0</v>
      </c>
      <c r="DI112" s="1393">
        <v>2.540876728200938E7</v>
      </c>
      <c r="DJ112" s="1393">
        <v>3.866436472999525E8</v>
      </c>
      <c r="DK112" s="1393">
        <v>0.0</v>
      </c>
      <c r="DL112" s="1393">
        <v>0.0</v>
      </c>
      <c r="DM112" s="1393">
        <v>5.956424345741372E7</v>
      </c>
      <c r="DN112" s="1393">
        <v>0.0</v>
      </c>
      <c r="DO112" s="1393">
        <v>0.0</v>
      </c>
      <c r="DP112" s="1393">
        <v>0.0</v>
      </c>
      <c r="DQ112" s="1393">
        <v>2.0129024607112255E7</v>
      </c>
      <c r="DR112" s="1379">
        <f t="shared" si="36"/>
        <v>5495396515</v>
      </c>
    </row>
    <row r="113" hidden="1">
      <c r="A113" s="1401"/>
      <c r="B113" s="1394">
        <f t="shared" si="37"/>
        <v>25</v>
      </c>
      <c r="C113" s="1389" t="s">
        <v>1797</v>
      </c>
      <c r="D113" s="185" t="s">
        <v>186</v>
      </c>
      <c r="E113" s="185" t="s">
        <v>735</v>
      </c>
      <c r="F113" s="185" t="s">
        <v>1896</v>
      </c>
      <c r="G113" s="185" t="s">
        <v>306</v>
      </c>
      <c r="H113" s="185" t="s">
        <v>92</v>
      </c>
      <c r="I113" s="185" t="s">
        <v>305</v>
      </c>
      <c r="J113" s="185" t="s">
        <v>1889</v>
      </c>
      <c r="K113" s="185" t="s">
        <v>188</v>
      </c>
      <c r="L113" s="1390">
        <v>2.4807824001000008E8</v>
      </c>
      <c r="M113" s="1390">
        <v>2.4807824001000008E8</v>
      </c>
      <c r="N113" s="1390">
        <v>2.4807824001000008E8</v>
      </c>
      <c r="O113" s="1390">
        <v>2.4807824001000008E8</v>
      </c>
      <c r="P113" s="1390">
        <v>2.4807824001000008E8</v>
      </c>
      <c r="Q113" s="1390">
        <v>2.4807824001000008E8</v>
      </c>
      <c r="R113" s="1390">
        <v>2.4807824001000008E8</v>
      </c>
      <c r="S113" s="1390">
        <v>2.4807824001000008E8</v>
      </c>
      <c r="T113" s="1390">
        <v>2.4807824001000008E8</v>
      </c>
      <c r="U113" s="1390">
        <v>2.4807824001000008E8</v>
      </c>
      <c r="V113" s="1390">
        <v>2.4807824001000008E8</v>
      </c>
      <c r="W113" s="1390">
        <v>2.4807824001000008E8</v>
      </c>
      <c r="X113" s="1391">
        <v>2.9769388801200013E9</v>
      </c>
      <c r="Y113" s="1392">
        <f t="shared" si="3"/>
        <v>0</v>
      </c>
      <c r="Z113" s="1393">
        <v>1.5701779794019178E8</v>
      </c>
      <c r="AA113" s="1393">
        <v>0.0</v>
      </c>
      <c r="AB113" s="1393">
        <v>0.0</v>
      </c>
      <c r="AC113" s="1393">
        <v>3.4656472684990376E7</v>
      </c>
      <c r="AD113" s="1393">
        <v>0.0</v>
      </c>
      <c r="AE113" s="1393">
        <v>0.0</v>
      </c>
      <c r="AF113" s="1393">
        <v>0.0</v>
      </c>
      <c r="AG113" s="1393">
        <v>1.1509027747005934E7</v>
      </c>
      <c r="AH113" s="1393">
        <v>1.5538005608780143E8</v>
      </c>
      <c r="AI113" s="1393">
        <v>0.0</v>
      </c>
      <c r="AJ113" s="1393">
        <v>0.0</v>
      </c>
      <c r="AK113" s="1393">
        <v>3.436287636888232E7</v>
      </c>
      <c r="AL113" s="1393">
        <v>0.0</v>
      </c>
      <c r="AM113" s="1393">
        <v>0.0</v>
      </c>
      <c r="AN113" s="1393">
        <v>0.0</v>
      </c>
      <c r="AO113" s="1393">
        <v>1.1375984561910905E7</v>
      </c>
      <c r="AP113" s="1393">
        <v>1.769268177796877E8</v>
      </c>
      <c r="AQ113" s="1393">
        <v>0.0</v>
      </c>
      <c r="AR113" s="1393">
        <v>0.0</v>
      </c>
      <c r="AS113" s="1393">
        <v>3.822554242187654E7</v>
      </c>
      <c r="AT113" s="1393">
        <v>0.0</v>
      </c>
      <c r="AU113" s="1393">
        <v>0.0</v>
      </c>
      <c r="AV113" s="1393">
        <v>0.0</v>
      </c>
      <c r="AW113" s="1393">
        <v>1.3126351873943817E7</v>
      </c>
      <c r="AX113" s="1393">
        <v>1.5865863803532925E8</v>
      </c>
      <c r="AY113" s="1393">
        <v>0.0</v>
      </c>
      <c r="AZ113" s="1393">
        <v>0.0</v>
      </c>
      <c r="BA113" s="1393">
        <v>3.495062441992445E7</v>
      </c>
      <c r="BB113" s="1393">
        <v>0.0</v>
      </c>
      <c r="BC113" s="1393">
        <v>0.0</v>
      </c>
      <c r="BD113" s="1393">
        <v>0.0</v>
      </c>
      <c r="BE113" s="1393">
        <v>1.1642322620169312E7</v>
      </c>
      <c r="BF113" s="1393">
        <v>1.563922633488474E8</v>
      </c>
      <c r="BG113" s="1393">
        <v>0.0</v>
      </c>
      <c r="BH113" s="1393">
        <v>0.0</v>
      </c>
      <c r="BI113" s="1393">
        <v>3.4478323876272224E7</v>
      </c>
      <c r="BJ113" s="1393">
        <v>0.0</v>
      </c>
      <c r="BK113" s="1393">
        <v>0.0</v>
      </c>
      <c r="BL113" s="1393">
        <v>0.0</v>
      </c>
      <c r="BM113" s="1393">
        <v>1.1470854270802097E7</v>
      </c>
      <c r="BN113" s="1393">
        <v>1.7613920208790493E8</v>
      </c>
      <c r="BO113" s="1393">
        <v>0.0</v>
      </c>
      <c r="BP113" s="1393">
        <v>0.0</v>
      </c>
      <c r="BQ113" s="1393">
        <v>2.703606802148681E7</v>
      </c>
      <c r="BR113" s="1393">
        <v>0.0</v>
      </c>
      <c r="BS113" s="1393">
        <v>0.0</v>
      </c>
      <c r="BT113" s="1393">
        <v>0.0</v>
      </c>
      <c r="BU113" s="1393">
        <v>9055429.085488962</v>
      </c>
      <c r="BV113" s="1393">
        <v>1.7110284655343753E8</v>
      </c>
      <c r="BW113" s="1393">
        <v>0.0</v>
      </c>
      <c r="BX113" s="1393">
        <v>0.0</v>
      </c>
      <c r="BY113" s="1393">
        <v>3.710873502551268E7</v>
      </c>
      <c r="BZ113" s="1393">
        <v>0.0</v>
      </c>
      <c r="CA113" s="1393">
        <v>0.0</v>
      </c>
      <c r="CB113" s="1393">
        <v>0.0</v>
      </c>
      <c r="CC113" s="1393">
        <v>1.2667170387431925E7</v>
      </c>
      <c r="CD113" s="1393">
        <v>1.7276872293325973E8</v>
      </c>
      <c r="CE113" s="1393">
        <v>0.0</v>
      </c>
      <c r="CF113" s="1393">
        <v>0.0</v>
      </c>
      <c r="CG113" s="1393">
        <v>3.7380189777778275E7</v>
      </c>
      <c r="CH113" s="1393">
        <v>0.0</v>
      </c>
      <c r="CI113" s="1393">
        <v>0.0</v>
      </c>
      <c r="CJ113" s="1393">
        <v>0.0</v>
      </c>
      <c r="CK113" s="1393">
        <v>1.2807705649269285E7</v>
      </c>
      <c r="CL113" s="1393">
        <v>1.6438464864875522E8</v>
      </c>
      <c r="CM113" s="1393">
        <v>0.0</v>
      </c>
      <c r="CN113" s="1393">
        <v>0.0</v>
      </c>
      <c r="CO113" s="1393">
        <v>3.584994087106092E7</v>
      </c>
      <c r="CP113" s="1393">
        <v>0.0</v>
      </c>
      <c r="CQ113" s="1393">
        <v>0.0</v>
      </c>
      <c r="CR113" s="1393">
        <v>0.0</v>
      </c>
      <c r="CS113" s="1393">
        <v>1.2131836990235567E7</v>
      </c>
      <c r="CT113" s="1393">
        <v>1.638326911537294E8</v>
      </c>
      <c r="CU113" s="1393">
        <v>0.0</v>
      </c>
      <c r="CV113" s="1393">
        <v>0.0</v>
      </c>
      <c r="CW113" s="1393">
        <v>3.575099201233128E7</v>
      </c>
      <c r="CX113" s="1393">
        <v>0.0</v>
      </c>
      <c r="CY113" s="1393">
        <v>0.0</v>
      </c>
      <c r="CZ113" s="1393">
        <v>0.0</v>
      </c>
      <c r="DA113" s="1393">
        <v>1.2086998310031978E7</v>
      </c>
      <c r="DB113" s="1393">
        <v>1.5975760874793723E8</v>
      </c>
      <c r="DC113" s="1393">
        <v>0.0</v>
      </c>
      <c r="DD113" s="1393">
        <v>0.0</v>
      </c>
      <c r="DE113" s="1393">
        <v>3.5020456134267755E7</v>
      </c>
      <c r="DF113" s="1393">
        <v>0.0</v>
      </c>
      <c r="DG113" s="1393">
        <v>0.0</v>
      </c>
      <c r="DH113" s="1393">
        <v>0.0</v>
      </c>
      <c r="DI113" s="1393">
        <v>1.1755955940930888E7</v>
      </c>
      <c r="DJ113" s="1393">
        <v>1.7888965773311633E8</v>
      </c>
      <c r="DK113" s="1393">
        <v>0.0</v>
      </c>
      <c r="DL113" s="1393">
        <v>0.0</v>
      </c>
      <c r="DM113" s="1393">
        <v>2.7558779769533962E7</v>
      </c>
      <c r="DN113" s="1393">
        <v>0.0</v>
      </c>
      <c r="DO113" s="1393">
        <v>0.0</v>
      </c>
      <c r="DP113" s="1393">
        <v>0.0</v>
      </c>
      <c r="DQ113" s="1393">
        <v>9313160.445319</v>
      </c>
      <c r="DR113" s="1379">
        <f t="shared" si="36"/>
        <v>2542572750</v>
      </c>
    </row>
    <row r="114" hidden="1">
      <c r="A114" s="1401"/>
      <c r="B114" s="1394">
        <f t="shared" si="37"/>
        <v>26</v>
      </c>
      <c r="C114" s="1389" t="s">
        <v>1795</v>
      </c>
      <c r="D114" s="185" t="s">
        <v>186</v>
      </c>
      <c r="E114" s="185" t="s">
        <v>735</v>
      </c>
      <c r="F114" s="185" t="s">
        <v>1896</v>
      </c>
      <c r="G114" s="185" t="s">
        <v>306</v>
      </c>
      <c r="H114" s="185" t="s">
        <v>92</v>
      </c>
      <c r="I114" s="185" t="s">
        <v>305</v>
      </c>
      <c r="J114" s="185" t="s">
        <v>1889</v>
      </c>
      <c r="K114" s="185" t="s">
        <v>188</v>
      </c>
      <c r="L114" s="1390">
        <v>6.247247245766667E9</v>
      </c>
      <c r="M114" s="1390">
        <v>6.247247245766667E9</v>
      </c>
      <c r="N114" s="1390">
        <v>6.247247245766667E9</v>
      </c>
      <c r="O114" s="1390">
        <v>6.247247245766667E9</v>
      </c>
      <c r="P114" s="1390">
        <v>6.247247245766667E9</v>
      </c>
      <c r="Q114" s="1390">
        <v>6.247247245766667E9</v>
      </c>
      <c r="R114" s="1390">
        <v>6.247247245766667E9</v>
      </c>
      <c r="S114" s="1390">
        <v>6.247247245766667E9</v>
      </c>
      <c r="T114" s="1390">
        <v>6.247247245766667E9</v>
      </c>
      <c r="U114" s="1390">
        <v>6.247247245766667E9</v>
      </c>
      <c r="V114" s="1390">
        <v>6.247247245766667E9</v>
      </c>
      <c r="W114" s="1390">
        <v>6.247247245766667E9</v>
      </c>
      <c r="X114" s="1391">
        <v>7.496696694920001E10</v>
      </c>
      <c r="Y114" s="1392">
        <f t="shared" si="3"/>
        <v>0</v>
      </c>
      <c r="Z114" s="1393">
        <v>3.954111435483695E9</v>
      </c>
      <c r="AA114" s="1393">
        <v>0.0</v>
      </c>
      <c r="AB114" s="1393">
        <v>0.0</v>
      </c>
      <c r="AC114" s="1393">
        <v>8.727389936359047E8</v>
      </c>
      <c r="AD114" s="1393">
        <v>0.0</v>
      </c>
      <c r="AE114" s="1393">
        <v>0.0</v>
      </c>
      <c r="AF114" s="1393">
        <v>0.0</v>
      </c>
      <c r="AG114" s="1393">
        <v>2.898268783712617E8</v>
      </c>
      <c r="AH114" s="1393">
        <v>3.912868889276459E9</v>
      </c>
      <c r="AI114" s="1393">
        <v>0.0</v>
      </c>
      <c r="AJ114" s="1393">
        <v>0.0</v>
      </c>
      <c r="AK114" s="1393">
        <v>8.653454843256993E8</v>
      </c>
      <c r="AL114" s="1393">
        <v>0.0</v>
      </c>
      <c r="AM114" s="1393">
        <v>0.0</v>
      </c>
      <c r="AN114" s="1393">
        <v>0.0</v>
      </c>
      <c r="AO114" s="1393">
        <v>2.864765092634374E8</v>
      </c>
      <c r="AP114" s="1393">
        <v>4.455471689221352E9</v>
      </c>
      <c r="AQ114" s="1393">
        <v>0.0</v>
      </c>
      <c r="AR114" s="1393">
        <v>0.0</v>
      </c>
      <c r="AS114" s="1393">
        <v>9.626173363829851E8</v>
      </c>
      <c r="AT114" s="1393">
        <v>0.0</v>
      </c>
      <c r="AU114" s="1393">
        <v>0.0</v>
      </c>
      <c r="AV114" s="1393">
        <v>0.0</v>
      </c>
      <c r="AW114" s="1393">
        <v>3.305552538108706E8</v>
      </c>
      <c r="AX114" s="1393">
        <v>3.995432003400809E9</v>
      </c>
      <c r="AY114" s="1393">
        <v>0.0</v>
      </c>
      <c r="AZ114" s="1393">
        <v>0.0</v>
      </c>
      <c r="BA114" s="1393">
        <v>8.801464898186827E8</v>
      </c>
      <c r="BB114" s="1393">
        <v>0.0</v>
      </c>
      <c r="BC114" s="1393">
        <v>0.0</v>
      </c>
      <c r="BD114" s="1393">
        <v>0.0</v>
      </c>
      <c r="BE114" s="1393">
        <v>2.931835856310809E8</v>
      </c>
      <c r="BF114" s="1393">
        <v>3.938358867855232E9</v>
      </c>
      <c r="BG114" s="1393">
        <v>0.0</v>
      </c>
      <c r="BH114" s="1393">
        <v>0.0</v>
      </c>
      <c r="BI114" s="1393">
        <v>8.682527490763003E8</v>
      </c>
      <c r="BJ114" s="1393">
        <v>0.0</v>
      </c>
      <c r="BK114" s="1393">
        <v>0.0</v>
      </c>
      <c r="BL114" s="1393">
        <v>0.0</v>
      </c>
      <c r="BM114" s="1393">
        <v>2.888655721959755E8</v>
      </c>
      <c r="BN114" s="1393">
        <v>4.4356375031959505E9</v>
      </c>
      <c r="BO114" s="1393">
        <v>0.0</v>
      </c>
      <c r="BP114" s="1393">
        <v>0.0</v>
      </c>
      <c r="BQ114" s="1393">
        <v>6.808376320179688E8</v>
      </c>
      <c r="BR114" s="1393">
        <v>0.0</v>
      </c>
      <c r="BS114" s="1393">
        <v>0.0</v>
      </c>
      <c r="BT114" s="1393">
        <v>0.0</v>
      </c>
      <c r="BU114" s="1393">
        <v>2.280389622696286E8</v>
      </c>
      <c r="BV114" s="1393">
        <v>4.308809135499796E9</v>
      </c>
      <c r="BW114" s="1393">
        <v>0.0</v>
      </c>
      <c r="BX114" s="1393">
        <v>0.0</v>
      </c>
      <c r="BY114" s="1393">
        <v>9.344932577426952E8</v>
      </c>
      <c r="BZ114" s="1393">
        <v>0.0</v>
      </c>
      <c r="CA114" s="1393">
        <v>0.0</v>
      </c>
      <c r="CB114" s="1393">
        <v>0.0</v>
      </c>
      <c r="CC114" s="1393">
        <v>3.18991884622171E8</v>
      </c>
      <c r="CD114" s="1393">
        <v>4.350760181368278E9</v>
      </c>
      <c r="CE114" s="1393">
        <v>0.0</v>
      </c>
      <c r="CF114" s="1393">
        <v>0.0</v>
      </c>
      <c r="CG114" s="1393">
        <v>9.413291856071186E8</v>
      </c>
      <c r="CH114" s="1393">
        <v>0.0</v>
      </c>
      <c r="CI114" s="1393">
        <v>0.0</v>
      </c>
      <c r="CJ114" s="1393">
        <v>0.0</v>
      </c>
      <c r="CK114" s="1393">
        <v>3.225309234649617E8</v>
      </c>
      <c r="CL114" s="1393">
        <v>4.1396276572901387E9</v>
      </c>
      <c r="CM114" s="1393">
        <v>0.0</v>
      </c>
      <c r="CN114" s="1393">
        <v>0.0</v>
      </c>
      <c r="CO114" s="1393">
        <v>9.027935878560135E8</v>
      </c>
      <c r="CP114" s="1393">
        <v>0.0</v>
      </c>
      <c r="CQ114" s="1393">
        <v>0.0</v>
      </c>
      <c r="CR114" s="1393">
        <v>0.0</v>
      </c>
      <c r="CS114" s="1393">
        <v>3.0551081473443294E8</v>
      </c>
      <c r="CT114" s="1393">
        <v>4.125727949921846E9</v>
      </c>
      <c r="CU114" s="1393">
        <v>0.0</v>
      </c>
      <c r="CV114" s="1393">
        <v>0.0</v>
      </c>
      <c r="CW114" s="1393">
        <v>9.00301801453685E8</v>
      </c>
      <c r="CX114" s="1393">
        <v>0.0</v>
      </c>
      <c r="CY114" s="1393">
        <v>0.0</v>
      </c>
      <c r="CZ114" s="1393">
        <v>0.0</v>
      </c>
      <c r="DA114" s="1393">
        <v>3.043816616035723E8</v>
      </c>
      <c r="DB114" s="1393">
        <v>4.02310690853252E9</v>
      </c>
      <c r="DC114" s="1393">
        <v>0.0</v>
      </c>
      <c r="DD114" s="1393">
        <v>0.0</v>
      </c>
      <c r="DE114" s="1393">
        <v>8.819050317411052E8</v>
      </c>
      <c r="DF114" s="1393">
        <v>0.0</v>
      </c>
      <c r="DG114" s="1393">
        <v>0.0</v>
      </c>
      <c r="DH114" s="1393">
        <v>0.0</v>
      </c>
      <c r="DI114" s="1393">
        <v>2.960451645028371E8</v>
      </c>
      <c r="DJ114" s="1393">
        <v>4.504901040592289E9</v>
      </c>
      <c r="DK114" s="1393">
        <v>0.0</v>
      </c>
      <c r="DL114" s="1393">
        <v>0.0</v>
      </c>
      <c r="DM114" s="1393">
        <v>6.940008563627795E8</v>
      </c>
      <c r="DN114" s="1393">
        <v>0.0</v>
      </c>
      <c r="DO114" s="1393">
        <v>0.0</v>
      </c>
      <c r="DP114" s="1393">
        <v>0.0</v>
      </c>
      <c r="DQ114" s="1393">
        <v>2.3452929986546537E8</v>
      </c>
      <c r="DR114" s="1379">
        <f t="shared" si="36"/>
        <v>64028512178</v>
      </c>
    </row>
    <row r="115" hidden="1">
      <c r="A115" s="1401"/>
      <c r="B115" s="1394">
        <f t="shared" si="37"/>
        <v>27</v>
      </c>
      <c r="C115" s="1389" t="s">
        <v>1790</v>
      </c>
      <c r="D115" s="185" t="s">
        <v>186</v>
      </c>
      <c r="E115" s="185" t="s">
        <v>735</v>
      </c>
      <c r="F115" s="185" t="s">
        <v>1896</v>
      </c>
      <c r="G115" s="185" t="s">
        <v>203</v>
      </c>
      <c r="H115" s="185" t="s">
        <v>135</v>
      </c>
      <c r="I115" s="185" t="s">
        <v>135</v>
      </c>
      <c r="J115" s="185" t="s">
        <v>1889</v>
      </c>
      <c r="K115" s="185" t="s">
        <v>188</v>
      </c>
      <c r="L115" s="1390">
        <v>2.8439239482149906E9</v>
      </c>
      <c r="M115" s="1390">
        <v>2.8439239482149906E9</v>
      </c>
      <c r="N115" s="1390">
        <v>2.8439239482149906E9</v>
      </c>
      <c r="O115" s="1390">
        <v>2.8439239482149906E9</v>
      </c>
      <c r="P115" s="1390">
        <v>2.8439239482149906E9</v>
      </c>
      <c r="Q115" s="1390">
        <v>2.8439239482149906E9</v>
      </c>
      <c r="R115" s="1390">
        <v>2.8439239482149906E9</v>
      </c>
      <c r="S115" s="1390">
        <v>2.8439239482149906E9</v>
      </c>
      <c r="T115" s="1390">
        <v>2.8439239482149906E9</v>
      </c>
      <c r="U115" s="1390">
        <v>2.8439239482149906E9</v>
      </c>
      <c r="V115" s="1390">
        <v>2.8439239482149906E9</v>
      </c>
      <c r="W115" s="1390">
        <v>2.8439239482149906E9</v>
      </c>
      <c r="X115" s="1391">
        <v>3.412708737857988E10</v>
      </c>
      <c r="Y115" s="1392">
        <f t="shared" si="3"/>
        <v>0</v>
      </c>
      <c r="Z115" s="1393">
        <v>5.116795703718911E7</v>
      </c>
      <c r="AA115" s="1393">
        <v>0.0</v>
      </c>
      <c r="AB115" s="1393">
        <v>0.0</v>
      </c>
      <c r="AC115" s="1393">
        <v>2.2428054469825287E9</v>
      </c>
      <c r="AD115" s="1393">
        <v>0.0</v>
      </c>
      <c r="AE115" s="1393">
        <v>0.0</v>
      </c>
      <c r="AF115" s="1393">
        <v>0.0</v>
      </c>
      <c r="AG115" s="1393">
        <v>3.439199500360323E8</v>
      </c>
      <c r="AH115" s="1393">
        <v>5.116795703718911E7</v>
      </c>
      <c r="AI115" s="1393">
        <v>0.0</v>
      </c>
      <c r="AJ115" s="1393">
        <v>0.0</v>
      </c>
      <c r="AK115" s="1393">
        <v>2.2428054469825287E9</v>
      </c>
      <c r="AL115" s="1393">
        <v>0.0</v>
      </c>
      <c r="AM115" s="1393">
        <v>0.0</v>
      </c>
      <c r="AN115" s="1393">
        <v>0.0</v>
      </c>
      <c r="AO115" s="1393">
        <v>3.439199500360323E8</v>
      </c>
      <c r="AP115" s="1393">
        <v>5.116795703718911E7</v>
      </c>
      <c r="AQ115" s="1393">
        <v>0.0</v>
      </c>
      <c r="AR115" s="1393">
        <v>0.0</v>
      </c>
      <c r="AS115" s="1393">
        <v>2.2428054469825287E9</v>
      </c>
      <c r="AT115" s="1393">
        <v>0.0</v>
      </c>
      <c r="AU115" s="1393">
        <v>0.0</v>
      </c>
      <c r="AV115" s="1393">
        <v>0.0</v>
      </c>
      <c r="AW115" s="1393">
        <v>3.439199500360323E8</v>
      </c>
      <c r="AX115" s="1393">
        <v>5.116795703718911E7</v>
      </c>
      <c r="AY115" s="1393">
        <v>0.0</v>
      </c>
      <c r="AZ115" s="1393">
        <v>0.0</v>
      </c>
      <c r="BA115" s="1393">
        <v>2.2428054469825287E9</v>
      </c>
      <c r="BB115" s="1393">
        <v>0.0</v>
      </c>
      <c r="BC115" s="1393">
        <v>0.0</v>
      </c>
      <c r="BD115" s="1393">
        <v>0.0</v>
      </c>
      <c r="BE115" s="1393">
        <v>3.439199500360323E8</v>
      </c>
      <c r="BF115" s="1393">
        <v>5.116795703718911E7</v>
      </c>
      <c r="BG115" s="1393">
        <v>0.0</v>
      </c>
      <c r="BH115" s="1393">
        <v>0.0</v>
      </c>
      <c r="BI115" s="1393">
        <v>2.2428054469825287E9</v>
      </c>
      <c r="BJ115" s="1393">
        <v>0.0</v>
      </c>
      <c r="BK115" s="1393">
        <v>0.0</v>
      </c>
      <c r="BL115" s="1393">
        <v>0.0</v>
      </c>
      <c r="BM115" s="1393">
        <v>3.439199500360323E8</v>
      </c>
      <c r="BN115" s="1393">
        <v>5.116795703718911E7</v>
      </c>
      <c r="BO115" s="1393">
        <v>0.0</v>
      </c>
      <c r="BP115" s="1393">
        <v>0.0</v>
      </c>
      <c r="BQ115" s="1393">
        <v>2.2428054469825287E9</v>
      </c>
      <c r="BR115" s="1393">
        <v>0.0</v>
      </c>
      <c r="BS115" s="1393">
        <v>0.0</v>
      </c>
      <c r="BT115" s="1393">
        <v>0.0</v>
      </c>
      <c r="BU115" s="1393">
        <v>3.439199500360323E8</v>
      </c>
      <c r="BV115" s="1393">
        <v>5.116795703718911E7</v>
      </c>
      <c r="BW115" s="1393">
        <v>0.0</v>
      </c>
      <c r="BX115" s="1393">
        <v>0.0</v>
      </c>
      <c r="BY115" s="1393">
        <v>2.2428054469825287E9</v>
      </c>
      <c r="BZ115" s="1393">
        <v>0.0</v>
      </c>
      <c r="CA115" s="1393">
        <v>0.0</v>
      </c>
      <c r="CB115" s="1393">
        <v>0.0</v>
      </c>
      <c r="CC115" s="1393">
        <v>3.439199500360323E8</v>
      </c>
      <c r="CD115" s="1393">
        <v>5.116795703718911E7</v>
      </c>
      <c r="CE115" s="1393">
        <v>0.0</v>
      </c>
      <c r="CF115" s="1393">
        <v>0.0</v>
      </c>
      <c r="CG115" s="1393">
        <v>2.2428054469825287E9</v>
      </c>
      <c r="CH115" s="1393">
        <v>0.0</v>
      </c>
      <c r="CI115" s="1393">
        <v>0.0</v>
      </c>
      <c r="CJ115" s="1393">
        <v>0.0</v>
      </c>
      <c r="CK115" s="1393">
        <v>3.439199500360323E8</v>
      </c>
      <c r="CL115" s="1393">
        <v>5.116795703718911E7</v>
      </c>
      <c r="CM115" s="1393">
        <v>0.0</v>
      </c>
      <c r="CN115" s="1393">
        <v>0.0</v>
      </c>
      <c r="CO115" s="1393">
        <v>2.2428054469825287E9</v>
      </c>
      <c r="CP115" s="1393">
        <v>0.0</v>
      </c>
      <c r="CQ115" s="1393">
        <v>0.0</v>
      </c>
      <c r="CR115" s="1393">
        <v>0.0</v>
      </c>
      <c r="CS115" s="1393">
        <v>3.439199500360323E8</v>
      </c>
      <c r="CT115" s="1393">
        <v>5.116795703718911E7</v>
      </c>
      <c r="CU115" s="1393">
        <v>0.0</v>
      </c>
      <c r="CV115" s="1393">
        <v>0.0</v>
      </c>
      <c r="CW115" s="1393">
        <v>2.2428054469825287E9</v>
      </c>
      <c r="CX115" s="1393">
        <v>0.0</v>
      </c>
      <c r="CY115" s="1393">
        <v>0.0</v>
      </c>
      <c r="CZ115" s="1393">
        <v>0.0</v>
      </c>
      <c r="DA115" s="1393">
        <v>3.439199500360323E8</v>
      </c>
      <c r="DB115" s="1393">
        <v>5.116795703718911E7</v>
      </c>
      <c r="DC115" s="1393">
        <v>0.0</v>
      </c>
      <c r="DD115" s="1393">
        <v>0.0</v>
      </c>
      <c r="DE115" s="1393">
        <v>2.2428054469825287E9</v>
      </c>
      <c r="DF115" s="1393">
        <v>0.0</v>
      </c>
      <c r="DG115" s="1393">
        <v>0.0</v>
      </c>
      <c r="DH115" s="1393">
        <v>0.0</v>
      </c>
      <c r="DI115" s="1393">
        <v>3.439199500360323E8</v>
      </c>
      <c r="DJ115" s="1393">
        <v>5.116795703718911E7</v>
      </c>
      <c r="DK115" s="1393">
        <v>0.0</v>
      </c>
      <c r="DL115" s="1393">
        <v>0.0</v>
      </c>
      <c r="DM115" s="1393">
        <v>2.2428054469825287E9</v>
      </c>
      <c r="DN115" s="1393">
        <v>0.0</v>
      </c>
      <c r="DO115" s="1393">
        <v>0.0</v>
      </c>
      <c r="DP115" s="1393">
        <v>0.0</v>
      </c>
      <c r="DQ115" s="1393">
        <v>3.439199500360323E8</v>
      </c>
      <c r="DR115" s="1379">
        <f t="shared" si="36"/>
        <v>31654720249</v>
      </c>
    </row>
    <row r="116" hidden="1">
      <c r="A116" s="1401"/>
      <c r="B116" s="1394">
        <f t="shared" si="37"/>
        <v>28</v>
      </c>
      <c r="C116" s="1397" t="s">
        <v>1799</v>
      </c>
      <c r="D116" s="185" t="s">
        <v>186</v>
      </c>
      <c r="E116" s="185" t="s">
        <v>735</v>
      </c>
      <c r="F116" s="185" t="s">
        <v>1896</v>
      </c>
      <c r="G116" s="185" t="s">
        <v>132</v>
      </c>
      <c r="H116" s="185" t="s">
        <v>132</v>
      </c>
      <c r="I116" s="185" t="s">
        <v>103</v>
      </c>
      <c r="J116" s="185" t="s">
        <v>1889</v>
      </c>
      <c r="K116" s="185" t="s">
        <v>188</v>
      </c>
      <c r="L116" s="1390">
        <v>6.217620427602739E8</v>
      </c>
      <c r="M116" s="1390">
        <v>5.615915224931507E8</v>
      </c>
      <c r="N116" s="1390">
        <v>6.217620427602739E8</v>
      </c>
      <c r="O116" s="1390">
        <v>6.017052026712328E8</v>
      </c>
      <c r="P116" s="1390">
        <v>6.217620427602739E8</v>
      </c>
      <c r="Q116" s="1390">
        <v>6.017052026712328E8</v>
      </c>
      <c r="R116" s="1390">
        <v>6.217620427602739E8</v>
      </c>
      <c r="S116" s="1390">
        <v>6.217620427602739E8</v>
      </c>
      <c r="T116" s="1390">
        <v>6.017052026712328E8</v>
      </c>
      <c r="U116" s="1390">
        <v>6.217620427602739E8</v>
      </c>
      <c r="V116" s="1390">
        <v>6.017052026712328E8</v>
      </c>
      <c r="W116" s="1390">
        <v>6.217620427602739E8</v>
      </c>
      <c r="X116" s="1391">
        <v>7.3207466325E9</v>
      </c>
      <c r="Y116" s="1392">
        <f t="shared" si="3"/>
        <v>0</v>
      </c>
      <c r="Z116" s="1393">
        <v>0.0</v>
      </c>
      <c r="AA116" s="1393">
        <v>1.1319057116023165E8</v>
      </c>
      <c r="AB116" s="1393">
        <v>0.0</v>
      </c>
      <c r="AC116" s="1393">
        <v>1.4299187652858144E8</v>
      </c>
      <c r="AD116" s="1393">
        <v>8.10325457003535E7</v>
      </c>
      <c r="AE116" s="1393">
        <v>1.2062659814912634E7</v>
      </c>
      <c r="AF116" s="1393">
        <v>0.0</v>
      </c>
      <c r="AG116" s="1393">
        <v>5.243417039463722E7</v>
      </c>
      <c r="AH116" s="1393">
        <v>0.0</v>
      </c>
      <c r="AI116" s="1393">
        <v>1.088411973622859E8</v>
      </c>
      <c r="AJ116" s="1393">
        <v>0.0</v>
      </c>
      <c r="AK116" s="1393">
        <v>1.4211116080977076E8</v>
      </c>
      <c r="AL116" s="1393">
        <v>7.791885144616474E7</v>
      </c>
      <c r="AM116" s="1393">
        <v>1.1599149329942599E7</v>
      </c>
      <c r="AN116" s="1393">
        <v>0.0</v>
      </c>
      <c r="AO116" s="1393">
        <v>4.949661928421059E7</v>
      </c>
      <c r="AP116" s="1393">
        <v>0.0</v>
      </c>
      <c r="AQ116" s="1393">
        <v>1.1320887811430827E8</v>
      </c>
      <c r="AR116" s="1393">
        <v>0.0</v>
      </c>
      <c r="AS116" s="1393">
        <v>1.4299187652858144E8</v>
      </c>
      <c r="AT116" s="1393">
        <v>8.104565155429207E7</v>
      </c>
      <c r="AU116" s="1393">
        <v>1.2064610777408978E7</v>
      </c>
      <c r="AV116" s="1393">
        <v>0.0</v>
      </c>
      <c r="AW116" s="1393">
        <v>5.244727624857579E7</v>
      </c>
      <c r="AX116" s="1393">
        <v>0.0</v>
      </c>
      <c r="AY116" s="1393">
        <v>1.1196763380871913E8</v>
      </c>
      <c r="AZ116" s="1393">
        <v>0.0</v>
      </c>
      <c r="BA116" s="1393">
        <v>1.429918765285814E8</v>
      </c>
      <c r="BB116" s="1393">
        <v>8.015705116216598E7</v>
      </c>
      <c r="BC116" s="1393">
        <v>1.193233202263245E7</v>
      </c>
      <c r="BD116" s="1393">
        <v>0.0</v>
      </c>
      <c r="BE116" s="1393">
        <v>5.155867585644969E7</v>
      </c>
      <c r="BF116" s="1393">
        <v>0.0</v>
      </c>
      <c r="BG116" s="1393">
        <v>1.1318965223875934E8</v>
      </c>
      <c r="BH116" s="1393">
        <v>0.0</v>
      </c>
      <c r="BI116" s="1393">
        <v>1.4299187652858144E8</v>
      </c>
      <c r="BJ116" s="1393">
        <v>8.103188784921415E7</v>
      </c>
      <c r="BK116" s="1393">
        <v>1.2062561885933181E7</v>
      </c>
      <c r="BL116" s="1393">
        <v>0.0</v>
      </c>
      <c r="BM116" s="1393">
        <v>5.243351254349787E7</v>
      </c>
      <c r="BN116" s="1393">
        <v>0.0</v>
      </c>
      <c r="BO116" s="1393">
        <v>1.1132448125897357E8</v>
      </c>
      <c r="BP116" s="1393">
        <v>0.0</v>
      </c>
      <c r="BQ116" s="1393">
        <v>1.4216953752760786E8</v>
      </c>
      <c r="BR116" s="1393">
        <v>7.969662157120846E7</v>
      </c>
      <c r="BS116" s="1393">
        <v>1.1863791592655366E7</v>
      </c>
      <c r="BT116" s="1393">
        <v>0.0</v>
      </c>
      <c r="BU116" s="1393">
        <v>5.126271406568689E7</v>
      </c>
      <c r="BV116" s="1393">
        <v>0.0</v>
      </c>
      <c r="BW116" s="1393">
        <v>1.1320329649585478E8</v>
      </c>
      <c r="BX116" s="1393">
        <v>0.0</v>
      </c>
      <c r="BY116" s="1393">
        <v>1.4299187652858144E8</v>
      </c>
      <c r="BZ116" s="1393">
        <v>8.104165570244879E7</v>
      </c>
      <c r="CA116" s="1393">
        <v>1.206401594725722E7</v>
      </c>
      <c r="CB116" s="1393">
        <v>0.0</v>
      </c>
      <c r="CC116" s="1393">
        <v>5.24432803967325E7</v>
      </c>
      <c r="CD116" s="1393">
        <v>0.0</v>
      </c>
      <c r="CE116" s="1393">
        <v>1.1320476632728548E8</v>
      </c>
      <c r="CF116" s="1393">
        <v>0.0</v>
      </c>
      <c r="CG116" s="1393">
        <v>1.4299187652858144E8</v>
      </c>
      <c r="CH116" s="1393">
        <v>8.1042707947184E7</v>
      </c>
      <c r="CI116" s="1393">
        <v>1.2064172586422054E7</v>
      </c>
      <c r="CJ116" s="1393">
        <v>0.0</v>
      </c>
      <c r="CK116" s="1393">
        <v>5.2444332641467705E7</v>
      </c>
      <c r="CL116" s="1393">
        <v>0.0</v>
      </c>
      <c r="CM116" s="1393">
        <v>1.1197237693958773E8</v>
      </c>
      <c r="CN116" s="1393">
        <v>0.0</v>
      </c>
      <c r="CO116" s="1393">
        <v>1.429918765285814E8</v>
      </c>
      <c r="CP116" s="1393">
        <v>8.016044674507482E7</v>
      </c>
      <c r="CQ116" s="1393">
        <v>1.1932837495601967E7</v>
      </c>
      <c r="CR116" s="1393">
        <v>0.0</v>
      </c>
      <c r="CS116" s="1393">
        <v>5.156207143935854E7</v>
      </c>
      <c r="CT116" s="1393">
        <v>0.0</v>
      </c>
      <c r="CU116" s="1393">
        <v>1.1319630543601798E8</v>
      </c>
      <c r="CV116" s="1393">
        <v>0.0</v>
      </c>
      <c r="CW116" s="1393">
        <v>1.4299187652858144E8</v>
      </c>
      <c r="CX116" s="1393">
        <v>8.103665083879347E7</v>
      </c>
      <c r="CY116" s="1393">
        <v>1.2063270913676303E7</v>
      </c>
      <c r="CZ116" s="1393">
        <v>0.0</v>
      </c>
      <c r="DA116" s="1393">
        <v>5.243827553307719E7</v>
      </c>
      <c r="DB116" s="1393">
        <v>0.0</v>
      </c>
      <c r="DC116" s="1393">
        <v>1.1196803743236819E8</v>
      </c>
      <c r="DD116" s="1393">
        <v>0.0</v>
      </c>
      <c r="DE116" s="1393">
        <v>1.429918765285814E8</v>
      </c>
      <c r="DF116" s="1393">
        <v>8.01573401142532E7</v>
      </c>
      <c r="DG116" s="1393">
        <v>1.1932375036593083E7</v>
      </c>
      <c r="DH116" s="1393">
        <v>0.0</v>
      </c>
      <c r="DI116" s="1393">
        <v>5.155896480853692E7</v>
      </c>
      <c r="DJ116" s="1393">
        <v>0.0</v>
      </c>
      <c r="DK116" s="1393">
        <v>1.1319606124932757E8</v>
      </c>
      <c r="DL116" s="1393">
        <v>0.0</v>
      </c>
      <c r="DM116" s="1393">
        <v>1.4299187652858144E8</v>
      </c>
      <c r="DN116" s="1393">
        <v>8.103647602680214E7</v>
      </c>
      <c r="DO116" s="1393">
        <v>1.2063244890828753E7</v>
      </c>
      <c r="DP116" s="1393">
        <v>0.0</v>
      </c>
      <c r="DQ116" s="1393">
        <v>5.243810072108585E7</v>
      </c>
      <c r="DR116" s="1379">
        <f t="shared" si="36"/>
        <v>4794243624</v>
      </c>
    </row>
    <row r="117" hidden="1">
      <c r="A117" s="1401"/>
      <c r="B117" s="1394">
        <f t="shared" si="37"/>
        <v>29</v>
      </c>
      <c r="C117" s="1397" t="s">
        <v>1800</v>
      </c>
      <c r="D117" s="185" t="s">
        <v>186</v>
      </c>
      <c r="E117" s="185" t="s">
        <v>735</v>
      </c>
      <c r="F117" s="185" t="s">
        <v>1896</v>
      </c>
      <c r="G117" s="185" t="s">
        <v>132</v>
      </c>
      <c r="H117" s="185" t="s">
        <v>132</v>
      </c>
      <c r="I117" s="185" t="s">
        <v>103</v>
      </c>
      <c r="J117" s="185" t="s">
        <v>1889</v>
      </c>
      <c r="K117" s="185" t="s">
        <v>188</v>
      </c>
      <c r="L117" s="1390">
        <v>8.756129526626712E8</v>
      </c>
      <c r="M117" s="1390">
        <v>7.908762153082192E8</v>
      </c>
      <c r="N117" s="1390">
        <v>8.756129526626712E8</v>
      </c>
      <c r="O117" s="1390">
        <v>8.473673735445205E8</v>
      </c>
      <c r="P117" s="1390">
        <v>8.756129526626712E8</v>
      </c>
      <c r="Q117" s="1390">
        <v>8.473673735445205E8</v>
      </c>
      <c r="R117" s="1390">
        <v>8.756129526626712E8</v>
      </c>
      <c r="S117" s="1390">
        <v>8.756129526626712E8</v>
      </c>
      <c r="T117" s="1390">
        <v>8.473673735445205E8</v>
      </c>
      <c r="U117" s="1390">
        <v>8.756129526626712E8</v>
      </c>
      <c r="V117" s="1390">
        <v>8.473673735445205E8</v>
      </c>
      <c r="W117" s="1390">
        <v>8.756129526626712E8</v>
      </c>
      <c r="X117" s="1391">
        <v>1.0309636378125E10</v>
      </c>
      <c r="Y117" s="1392">
        <f t="shared" si="3"/>
        <v>0</v>
      </c>
      <c r="Z117" s="1393">
        <v>0.0</v>
      </c>
      <c r="AA117" s="1393">
        <v>1.5940363581409207E8</v>
      </c>
      <c r="AB117" s="1393">
        <v>0.0</v>
      </c>
      <c r="AC117" s="1393">
        <v>2.013721176322136E8</v>
      </c>
      <c r="AD117" s="1393">
        <v>1.1411624017359968E8</v>
      </c>
      <c r="AE117" s="1393">
        <v>1.698756188237332E7</v>
      </c>
      <c r="AF117" s="1393">
        <v>0.0</v>
      </c>
      <c r="AG117" s="1393">
        <v>7.384181664715697E7</v>
      </c>
      <c r="AH117" s="1393">
        <v>0.0</v>
      </c>
      <c r="AI117" s="1393">
        <v>1.5327851435034695E8</v>
      </c>
      <c r="AJ117" s="1393">
        <v>0.0</v>
      </c>
      <c r="AK117" s="1393">
        <v>2.001318262699736E8</v>
      </c>
      <c r="AL117" s="1393">
        <v>1.0973129733036116E8</v>
      </c>
      <c r="AM117" s="1393">
        <v>1.6334810899806187E7</v>
      </c>
      <c r="AN117" s="1393">
        <v>0.0</v>
      </c>
      <c r="AO117" s="1393">
        <v>6.970493207636645E7</v>
      </c>
      <c r="AP117" s="1393">
        <v>0.0</v>
      </c>
      <c r="AQ117" s="1393">
        <v>1.594294170696382E8</v>
      </c>
      <c r="AR117" s="1393">
        <v>0.0</v>
      </c>
      <c r="AS117" s="1393">
        <v>2.013721176322136E8</v>
      </c>
      <c r="AT117" s="1393">
        <v>1.141346968413843E8</v>
      </c>
      <c r="AU117" s="1393">
        <v>1.699030937725798E7</v>
      </c>
      <c r="AV117" s="1393">
        <v>0.0</v>
      </c>
      <c r="AW117" s="1393">
        <v>7.38602733149416E7</v>
      </c>
      <c r="AX117" s="1393">
        <v>0.0</v>
      </c>
      <c r="AY117" s="1393">
        <v>1.57681401725106E8</v>
      </c>
      <c r="AZ117" s="1393">
        <v>0.0</v>
      </c>
      <c r="BA117" s="1393">
        <v>2.013721176322136E8</v>
      </c>
      <c r="BB117" s="1393">
        <v>1.1288330167799905E8</v>
      </c>
      <c r="BC117" s="1393">
        <v>1.6804024298596345E7</v>
      </c>
      <c r="BD117" s="1393">
        <v>0.0</v>
      </c>
      <c r="BE117" s="1393">
        <v>7.260887815155636E7</v>
      </c>
      <c r="BF117" s="1393">
        <v>0.0</v>
      </c>
      <c r="BG117" s="1393">
        <v>1.594023417184601E8</v>
      </c>
      <c r="BH117" s="1393">
        <v>0.0</v>
      </c>
      <c r="BI117" s="1393">
        <v>2.013721176322136E8</v>
      </c>
      <c r="BJ117" s="1393">
        <v>1.1411531373721579E8</v>
      </c>
      <c r="BK117" s="1393">
        <v>1.698742397128041E7</v>
      </c>
      <c r="BL117" s="1393">
        <v>0.0</v>
      </c>
      <c r="BM117" s="1393">
        <v>7.384089021077307E7</v>
      </c>
      <c r="BN117" s="1393">
        <v>0.0</v>
      </c>
      <c r="BO117" s="1393">
        <v>1.5677566502140635E8</v>
      </c>
      <c r="BP117" s="1393">
        <v>0.0</v>
      </c>
      <c r="BQ117" s="1393">
        <v>2.002140368372916E8</v>
      </c>
      <c r="BR117" s="1393">
        <v>1.1223488944646144E8</v>
      </c>
      <c r="BS117" s="1393">
        <v>1.6707500413023384E7</v>
      </c>
      <c r="BT117" s="1393">
        <v>0.0</v>
      </c>
      <c r="BU117" s="1393">
        <v>7.219208207900313E7</v>
      </c>
      <c r="BV117" s="1393">
        <v>0.0</v>
      </c>
      <c r="BW117" s="1393">
        <v>1.5942155660682672E8</v>
      </c>
      <c r="BX117" s="1393">
        <v>0.0</v>
      </c>
      <c r="BY117" s="1393">
        <v>2.013721176322136E8</v>
      </c>
      <c r="BZ117" s="1393">
        <v>1.1412906957662658E8</v>
      </c>
      <c r="CA117" s="1393">
        <v>1.6989471691857953E7</v>
      </c>
      <c r="CB117" s="1393">
        <v>0.0</v>
      </c>
      <c r="CC117" s="1393">
        <v>7.385464605018389E7</v>
      </c>
      <c r="CD117" s="1393">
        <v>0.0</v>
      </c>
      <c r="CE117" s="1393">
        <v>1.594236265360769E8</v>
      </c>
      <c r="CF117" s="1393">
        <v>0.0</v>
      </c>
      <c r="CG117" s="1393">
        <v>2.013721176322136E8</v>
      </c>
      <c r="CH117" s="1393">
        <v>1.1413055142829356E8</v>
      </c>
      <c r="CI117" s="1393">
        <v>1.6989692283132732E7</v>
      </c>
      <c r="CJ117" s="1393">
        <v>0.0</v>
      </c>
      <c r="CK117" s="1393">
        <v>7.385612790185085E7</v>
      </c>
      <c r="CL117" s="1393">
        <v>0.0</v>
      </c>
      <c r="CM117" s="1393">
        <v>1.5768808136544925E8</v>
      </c>
      <c r="CN117" s="1393">
        <v>0.0</v>
      </c>
      <c r="CO117" s="1393">
        <v>2.013721176322136E8</v>
      </c>
      <c r="CP117" s="1393">
        <v>1.1288808359804621E8</v>
      </c>
      <c r="CQ117" s="1393">
        <v>1.6804736144365128E7</v>
      </c>
      <c r="CR117" s="1393">
        <v>0.0</v>
      </c>
      <c r="CS117" s="1393">
        <v>7.261366007160348E7</v>
      </c>
      <c r="CT117" s="1393">
        <v>0.0</v>
      </c>
      <c r="CU117" s="1393">
        <v>1.5941171126065734E8</v>
      </c>
      <c r="CV117" s="1393">
        <v>0.0</v>
      </c>
      <c r="CW117" s="1393">
        <v>2.013721176322136E8</v>
      </c>
      <c r="CX117" s="1393">
        <v>1.141220213441172E8</v>
      </c>
      <c r="CY117" s="1393">
        <v>1.6988422478479274E7</v>
      </c>
      <c r="CZ117" s="1393">
        <v>0.0</v>
      </c>
      <c r="DA117" s="1393">
        <v>7.384759781767446E7</v>
      </c>
      <c r="DB117" s="1393">
        <v>0.0</v>
      </c>
      <c r="DC117" s="1393">
        <v>1.5768197013885725E8</v>
      </c>
      <c r="DD117" s="1393">
        <v>0.0</v>
      </c>
      <c r="DE117" s="1393">
        <v>2.013721176322136E8</v>
      </c>
      <c r="DF117" s="1393">
        <v>1.1288370860246994E8</v>
      </c>
      <c r="DG117" s="1393">
        <v>1.680408487415176E7</v>
      </c>
      <c r="DH117" s="1393">
        <v>0.0</v>
      </c>
      <c r="DI117" s="1393">
        <v>7.260928507602724E7</v>
      </c>
      <c r="DJ117" s="1393">
        <v>0.0</v>
      </c>
      <c r="DK117" s="1393">
        <v>1.594113673782485E8</v>
      </c>
      <c r="DL117" s="1393">
        <v>0.0</v>
      </c>
      <c r="DM117" s="1393">
        <v>2.013721176322136E8</v>
      </c>
      <c r="DN117" s="1393">
        <v>1.1412177516047557E8</v>
      </c>
      <c r="DO117" s="1393">
        <v>1.6988385831111286E7</v>
      </c>
      <c r="DP117" s="1393">
        <v>0.0</v>
      </c>
      <c r="DQ117" s="1393">
        <v>7.384735163403286E7</v>
      </c>
      <c r="DR117" s="1379">
        <f t="shared" si="36"/>
        <v>6751621243</v>
      </c>
    </row>
    <row r="118" hidden="1">
      <c r="A118" s="1401"/>
      <c r="B118" s="1394">
        <f t="shared" si="37"/>
        <v>30</v>
      </c>
      <c r="C118" s="1397" t="s">
        <v>1801</v>
      </c>
      <c r="D118" s="185" t="s">
        <v>186</v>
      </c>
      <c r="E118" s="185" t="s">
        <v>735</v>
      </c>
      <c r="F118" s="185" t="s">
        <v>1896</v>
      </c>
      <c r="G118" s="185" t="s">
        <v>86</v>
      </c>
      <c r="H118" s="185" t="s">
        <v>86</v>
      </c>
      <c r="I118" s="185" t="s">
        <v>103</v>
      </c>
      <c r="J118" s="185" t="s">
        <v>1889</v>
      </c>
      <c r="K118" s="185" t="s">
        <v>188</v>
      </c>
      <c r="L118" s="1390">
        <v>8.55E8</v>
      </c>
      <c r="M118" s="1390">
        <v>8.55E8</v>
      </c>
      <c r="N118" s="1390">
        <v>8.55E8</v>
      </c>
      <c r="O118" s="1390">
        <v>8.55E8</v>
      </c>
      <c r="P118" s="1390">
        <v>8.55E8</v>
      </c>
      <c r="Q118" s="1390">
        <v>8.55E8</v>
      </c>
      <c r="R118" s="1390">
        <v>8.55E8</v>
      </c>
      <c r="S118" s="1390">
        <v>8.55E8</v>
      </c>
      <c r="T118" s="1390">
        <v>8.55E8</v>
      </c>
      <c r="U118" s="1390">
        <v>8.55E8</v>
      </c>
      <c r="V118" s="1390">
        <v>8.55E8</v>
      </c>
      <c r="W118" s="1390">
        <v>8.55E8</v>
      </c>
      <c r="X118" s="1391">
        <v>1.026E10</v>
      </c>
      <c r="Y118" s="1392">
        <f t="shared" si="3"/>
        <v>0</v>
      </c>
      <c r="Z118" s="1393">
        <v>1.5219005859542367E8</v>
      </c>
      <c r="AA118" s="1393">
        <v>0.0</v>
      </c>
      <c r="AB118" s="1393">
        <v>0.0</v>
      </c>
      <c r="AC118" s="1393">
        <v>3.9202569524292403E8</v>
      </c>
      <c r="AD118" s="1393">
        <v>7.609502929771183E7</v>
      </c>
      <c r="AE118" s="1393">
        <v>0.0</v>
      </c>
      <c r="AF118" s="1393">
        <v>0.0</v>
      </c>
      <c r="AG118" s="1393">
        <v>6.162790533299887E7</v>
      </c>
      <c r="AH118" s="1393">
        <v>1.5298047452892712E8</v>
      </c>
      <c r="AI118" s="1393">
        <v>0.0</v>
      </c>
      <c r="AJ118" s="1393">
        <v>0.0</v>
      </c>
      <c r="AK118" s="1393">
        <v>3.937461965339535E8</v>
      </c>
      <c r="AL118" s="1393">
        <v>7.649023726446356E7</v>
      </c>
      <c r="AM118" s="1393">
        <v>0.0</v>
      </c>
      <c r="AN118" s="1393">
        <v>0.0</v>
      </c>
      <c r="AO118" s="1393">
        <v>6.2023113299750604E7</v>
      </c>
      <c r="AP118" s="1393">
        <v>1.5219005859542367E8</v>
      </c>
      <c r="AQ118" s="1393">
        <v>0.0</v>
      </c>
      <c r="AR118" s="1393">
        <v>0.0</v>
      </c>
      <c r="AS118" s="1393">
        <v>3.9202569524292403E8</v>
      </c>
      <c r="AT118" s="1393">
        <v>7.609502929771183E7</v>
      </c>
      <c r="AU118" s="1393">
        <v>0.0</v>
      </c>
      <c r="AV118" s="1393">
        <v>0.0</v>
      </c>
      <c r="AW118" s="1393">
        <v>6.162790533299887E7</v>
      </c>
      <c r="AX118" s="1393">
        <v>1.5300432003465098E8</v>
      </c>
      <c r="AY118" s="1393">
        <v>0.0</v>
      </c>
      <c r="AZ118" s="1393">
        <v>0.0</v>
      </c>
      <c r="BA118" s="1393">
        <v>3.931032781608546E8</v>
      </c>
      <c r="BB118" s="1393">
        <v>7.650216001732549E7</v>
      </c>
      <c r="BC118" s="1393">
        <v>0.0</v>
      </c>
      <c r="BD118" s="1393">
        <v>0.0</v>
      </c>
      <c r="BE118" s="1393">
        <v>6.220049430151754E7</v>
      </c>
      <c r="BF118" s="1393">
        <v>1.5353254673268703E8</v>
      </c>
      <c r="BG118" s="1393">
        <v>0.0</v>
      </c>
      <c r="BH118" s="1393">
        <v>0.0</v>
      </c>
      <c r="BI118" s="1393">
        <v>3.932635550972398E8</v>
      </c>
      <c r="BJ118" s="1393">
        <v>7.676627336634351E7</v>
      </c>
      <c r="BK118" s="1393">
        <v>0.0</v>
      </c>
      <c r="BL118" s="1393">
        <v>0.0</v>
      </c>
      <c r="BM118" s="1393">
        <v>6.270024119046031E7</v>
      </c>
      <c r="BN118" s="1393">
        <v>1.547686957196882E8</v>
      </c>
      <c r="BO118" s="1393">
        <v>0.0</v>
      </c>
      <c r="BP118" s="1393">
        <v>0.0</v>
      </c>
      <c r="BQ118" s="1393">
        <v>3.947180347109289E8</v>
      </c>
      <c r="BR118" s="1393">
        <v>7.73843478598441E7</v>
      </c>
      <c r="BS118" s="1393">
        <v>0.0</v>
      </c>
      <c r="BT118" s="1393">
        <v>0.0</v>
      </c>
      <c r="BU118" s="1393">
        <v>6.361270410388919E7</v>
      </c>
      <c r="BV118" s="1393">
        <v>1.545178896695525E8</v>
      </c>
      <c r="BW118" s="1393">
        <v>0.0</v>
      </c>
      <c r="BX118" s="1393">
        <v>0.0</v>
      </c>
      <c r="BY118" s="1393">
        <v>3.9417210425233626E8</v>
      </c>
      <c r="BZ118" s="1393">
        <v>7.725894483477625E7</v>
      </c>
      <c r="CA118" s="1393">
        <v>0.0</v>
      </c>
      <c r="CB118" s="1393">
        <v>0.0</v>
      </c>
      <c r="CC118" s="1393">
        <v>6.3487301078821346E7</v>
      </c>
      <c r="CD118" s="1393">
        <v>1.545178896720497E8</v>
      </c>
      <c r="CE118" s="1393">
        <v>0.0</v>
      </c>
      <c r="CF118" s="1393">
        <v>0.0</v>
      </c>
      <c r="CG118" s="1393">
        <v>3.9417210424994826E8</v>
      </c>
      <c r="CH118" s="1393">
        <v>7.725894483602485E7</v>
      </c>
      <c r="CI118" s="1393">
        <v>0.0</v>
      </c>
      <c r="CJ118" s="1393">
        <v>0.0</v>
      </c>
      <c r="CK118" s="1393">
        <v>6.348730108193297E7</v>
      </c>
      <c r="CL118" s="1393">
        <v>1.5558015470218736E8</v>
      </c>
      <c r="CM118" s="1393">
        <v>0.0</v>
      </c>
      <c r="CN118" s="1393">
        <v>0.0</v>
      </c>
      <c r="CO118" s="1393">
        <v>3.954606819339776E8</v>
      </c>
      <c r="CP118" s="1393">
        <v>7.779007735109368E7</v>
      </c>
      <c r="CQ118" s="1393">
        <v>0.0</v>
      </c>
      <c r="CR118" s="1393">
        <v>0.0</v>
      </c>
      <c r="CS118" s="1393">
        <v>6.426219748561401E7</v>
      </c>
      <c r="CT118" s="1393">
        <v>1.5497476067433816E8</v>
      </c>
      <c r="CU118" s="1393">
        <v>0.0</v>
      </c>
      <c r="CV118" s="1393">
        <v>0.0</v>
      </c>
      <c r="CW118" s="1393">
        <v>3.945933685075441E8</v>
      </c>
      <c r="CX118" s="1393">
        <v>7.748738033716908E7</v>
      </c>
      <c r="CY118" s="1393">
        <v>0.0</v>
      </c>
      <c r="CZ118" s="1393">
        <v>0.0</v>
      </c>
      <c r="DA118" s="1393">
        <v>6.3852234778781734E7</v>
      </c>
      <c r="DB118" s="1393">
        <v>1.5545894845399976E8</v>
      </c>
      <c r="DC118" s="1393">
        <v>0.0</v>
      </c>
      <c r="DD118" s="1393">
        <v>0.0</v>
      </c>
      <c r="DE118" s="1393">
        <v>3.953497539759231E8</v>
      </c>
      <c r="DF118" s="1393">
        <v>7.772947422699988E7</v>
      </c>
      <c r="DG118" s="1393">
        <v>0.0</v>
      </c>
      <c r="DH118" s="1393">
        <v>0.0</v>
      </c>
      <c r="DI118" s="1393">
        <v>6.416518376503705E7</v>
      </c>
      <c r="DJ118" s="1393">
        <v>1.5497476067674944E8</v>
      </c>
      <c r="DK118" s="1393">
        <v>0.0</v>
      </c>
      <c r="DL118" s="1393">
        <v>0.0</v>
      </c>
      <c r="DM118" s="1393">
        <v>3.9459336850512344E8</v>
      </c>
      <c r="DN118" s="1393">
        <v>7.748738033837472E7</v>
      </c>
      <c r="DO118" s="1393">
        <v>0.0</v>
      </c>
      <c r="DP118" s="1393">
        <v>0.0</v>
      </c>
      <c r="DQ118" s="1393">
        <v>6.3852234781813644E7</v>
      </c>
      <c r="DR118" s="1379">
        <f t="shared" si="36"/>
        <v>8257158490</v>
      </c>
    </row>
    <row r="119" hidden="1">
      <c r="A119" s="1401"/>
      <c r="B119" s="1394">
        <f t="shared" si="37"/>
        <v>31</v>
      </c>
      <c r="C119" s="1397" t="s">
        <v>1802</v>
      </c>
      <c r="D119" s="185" t="s">
        <v>186</v>
      </c>
      <c r="E119" s="185" t="s">
        <v>735</v>
      </c>
      <c r="F119" s="185" t="s">
        <v>1896</v>
      </c>
      <c r="G119" s="185" t="s">
        <v>86</v>
      </c>
      <c r="H119" s="185" t="s">
        <v>86</v>
      </c>
      <c r="I119" s="185" t="s">
        <v>103</v>
      </c>
      <c r="J119" s="185" t="s">
        <v>1889</v>
      </c>
      <c r="K119" s="185" t="s">
        <v>188</v>
      </c>
      <c r="L119" s="1390">
        <v>6.18482964E8</v>
      </c>
      <c r="M119" s="1390">
        <v>6.18482964E8</v>
      </c>
      <c r="N119" s="1390">
        <v>6.18482964E8</v>
      </c>
      <c r="O119" s="1390">
        <v>6.18482964E8</v>
      </c>
      <c r="P119" s="1390">
        <v>6.18482964E8</v>
      </c>
      <c r="Q119" s="1390">
        <v>6.18482964E8</v>
      </c>
      <c r="R119" s="1390">
        <v>6.18482964E8</v>
      </c>
      <c r="S119" s="1390">
        <v>6.18482964E8</v>
      </c>
      <c r="T119" s="1390">
        <v>6.18482964E8</v>
      </c>
      <c r="U119" s="1390">
        <v>6.18482964E8</v>
      </c>
      <c r="V119" s="1390">
        <v>6.18482964E8</v>
      </c>
      <c r="W119" s="1390">
        <v>6.18482964E8</v>
      </c>
      <c r="X119" s="1391">
        <v>7.421795568E9</v>
      </c>
      <c r="Y119" s="1392">
        <f t="shared" si="3"/>
        <v>0</v>
      </c>
      <c r="Z119" s="1393">
        <v>1.1009000997828223E8</v>
      </c>
      <c r="AA119" s="1393">
        <v>0.0</v>
      </c>
      <c r="AB119" s="1393">
        <v>0.0</v>
      </c>
      <c r="AC119" s="1393">
        <v>2.835803672023443E8</v>
      </c>
      <c r="AD119" s="1393">
        <v>5.5045004989141114E7</v>
      </c>
      <c r="AE119" s="1393">
        <v>0.0</v>
      </c>
      <c r="AF119" s="1393">
        <v>0.0</v>
      </c>
      <c r="AG119" s="1393">
        <v>4.4579894216917604E7</v>
      </c>
      <c r="AH119" s="1393">
        <v>1.1066177464418404E8</v>
      </c>
      <c r="AI119" s="1393">
        <v>0.0</v>
      </c>
      <c r="AJ119" s="1393">
        <v>0.0</v>
      </c>
      <c r="AK119" s="1393">
        <v>2.848249294690597E8</v>
      </c>
      <c r="AL119" s="1393">
        <v>5.533088732209202E7</v>
      </c>
      <c r="AM119" s="1393">
        <v>0.0</v>
      </c>
      <c r="AN119" s="1393">
        <v>0.0</v>
      </c>
      <c r="AO119" s="1393">
        <v>4.486577654986851E7</v>
      </c>
      <c r="AP119" s="1393">
        <v>1.1009000997828223E8</v>
      </c>
      <c r="AQ119" s="1393">
        <v>0.0</v>
      </c>
      <c r="AR119" s="1393">
        <v>0.0</v>
      </c>
      <c r="AS119" s="1393">
        <v>2.835803672023443E8</v>
      </c>
      <c r="AT119" s="1393">
        <v>5.5045004989141114E7</v>
      </c>
      <c r="AU119" s="1393">
        <v>0.0</v>
      </c>
      <c r="AV119" s="1393">
        <v>0.0</v>
      </c>
      <c r="AW119" s="1393">
        <v>4.4579894216917604E7</v>
      </c>
      <c r="AX119" s="1393">
        <v>1.1067902381267314E8</v>
      </c>
      <c r="AY119" s="1393">
        <v>0.0</v>
      </c>
      <c r="AZ119" s="1393">
        <v>0.0</v>
      </c>
      <c r="BA119" s="1393">
        <v>2.843598603918618E8</v>
      </c>
      <c r="BB119" s="1393">
        <v>5.533951190633657E7</v>
      </c>
      <c r="BC119" s="1393">
        <v>0.0</v>
      </c>
      <c r="BD119" s="1393">
        <v>0.0</v>
      </c>
      <c r="BE119" s="1393">
        <v>4.49940889799622E7</v>
      </c>
      <c r="BF119" s="1393">
        <v>1.110611281563752E8</v>
      </c>
      <c r="BG119" s="1393">
        <v>0.0</v>
      </c>
      <c r="BH119" s="1393">
        <v>0.0</v>
      </c>
      <c r="BI119" s="1393">
        <v>2.844758002218926E8</v>
      </c>
      <c r="BJ119" s="1393">
        <v>5.55305640781876E7</v>
      </c>
      <c r="BK119" s="1393">
        <v>0.0</v>
      </c>
      <c r="BL119" s="1393">
        <v>0.0</v>
      </c>
      <c r="BM119" s="1393">
        <v>4.5355591830398574E7</v>
      </c>
      <c r="BN119" s="1393">
        <v>1.1195532358260453E8</v>
      </c>
      <c r="BO119" s="1393">
        <v>0.0</v>
      </c>
      <c r="BP119" s="1393">
        <v>0.0</v>
      </c>
      <c r="BQ119" s="1393">
        <v>2.855279298856961E8</v>
      </c>
      <c r="BR119" s="1393">
        <v>5.5977661791302264E7</v>
      </c>
      <c r="BS119" s="1393">
        <v>0.0</v>
      </c>
      <c r="BT119" s="1393">
        <v>0.0</v>
      </c>
      <c r="BU119" s="1393">
        <v>4.601564185055947E7</v>
      </c>
      <c r="BV119" s="1393">
        <v>1.1177389753666647E8</v>
      </c>
      <c r="BW119" s="1393">
        <v>0.0</v>
      </c>
      <c r="BX119" s="1393">
        <v>0.0</v>
      </c>
      <c r="BY119" s="1393">
        <v>2.851330191393005E8</v>
      </c>
      <c r="BZ119" s="1393">
        <v>5.5886948768333234E7</v>
      </c>
      <c r="CA119" s="1393">
        <v>0.0</v>
      </c>
      <c r="CB119" s="1393">
        <v>0.0</v>
      </c>
      <c r="CC119" s="1393">
        <v>4.592492882759044E7</v>
      </c>
      <c r="CD119" s="1393">
        <v>1.1177389753847285E8</v>
      </c>
      <c r="CE119" s="1393">
        <v>0.0</v>
      </c>
      <c r="CF119" s="1393">
        <v>0.0</v>
      </c>
      <c r="CG119" s="1393">
        <v>2.851330191375731E8</v>
      </c>
      <c r="CH119" s="1393">
        <v>5.588694876923642E7</v>
      </c>
      <c r="CI119" s="1393">
        <v>0.0</v>
      </c>
      <c r="CJ119" s="1393">
        <v>0.0</v>
      </c>
      <c r="CK119" s="1393">
        <v>4.59249288298413E7</v>
      </c>
      <c r="CL119" s="1393">
        <v>1.1254231019858173E8</v>
      </c>
      <c r="CM119" s="1393">
        <v>0.0</v>
      </c>
      <c r="CN119" s="1393">
        <v>0.0</v>
      </c>
      <c r="CO119" s="1393">
        <v>2.860651400093424E8</v>
      </c>
      <c r="CP119" s="1393">
        <v>5.627115509929086E7</v>
      </c>
      <c r="CQ119" s="1393">
        <v>0.0</v>
      </c>
      <c r="CR119" s="1393">
        <v>0.0</v>
      </c>
      <c r="CS119" s="1393">
        <v>4.6485467104158945E7</v>
      </c>
      <c r="CT119" s="1393">
        <v>1.1210438517784247E8</v>
      </c>
      <c r="CU119" s="1393">
        <v>0.0</v>
      </c>
      <c r="CV119" s="1393">
        <v>0.0</v>
      </c>
      <c r="CW119" s="1393">
        <v>2.854377498588189E8</v>
      </c>
      <c r="CX119" s="1393">
        <v>5.6052192588921234E7</v>
      </c>
      <c r="CY119" s="1393">
        <v>0.0</v>
      </c>
      <c r="CZ119" s="1393">
        <v>0.0</v>
      </c>
      <c r="DA119" s="1393">
        <v>4.6188911607023165E7</v>
      </c>
      <c r="DB119" s="1393">
        <v>1.1245463300602688E8</v>
      </c>
      <c r="DC119" s="1393">
        <v>0.0</v>
      </c>
      <c r="DD119" s="1393">
        <v>0.0</v>
      </c>
      <c r="DE119" s="1393">
        <v>2.8598489784292364E8</v>
      </c>
      <c r="DF119" s="1393">
        <v>5.622731650301344E7</v>
      </c>
      <c r="DG119" s="1393">
        <v>0.0</v>
      </c>
      <c r="DH119" s="1393">
        <v>0.0</v>
      </c>
      <c r="DI119" s="1393">
        <v>4.6415290105970524E7</v>
      </c>
      <c r="DJ119" s="1393">
        <v>1.1210438517958672E8</v>
      </c>
      <c r="DK119" s="1393">
        <v>0.0</v>
      </c>
      <c r="DL119" s="1393">
        <v>0.0</v>
      </c>
      <c r="DM119" s="1393">
        <v>2.854377498570678E8</v>
      </c>
      <c r="DN119" s="1393">
        <v>5.605219258979336E7</v>
      </c>
      <c r="DO119" s="1393">
        <v>0.0</v>
      </c>
      <c r="DP119" s="1393">
        <v>0.0</v>
      </c>
      <c r="DQ119" s="1393">
        <v>4.618891160921638E7</v>
      </c>
      <c r="DR119" s="1379">
        <f t="shared" si="36"/>
        <v>5972996324</v>
      </c>
    </row>
    <row r="120" hidden="1">
      <c r="A120" s="1401"/>
      <c r="B120" s="1394">
        <f t="shared" si="37"/>
        <v>32</v>
      </c>
      <c r="C120" s="1397" t="s">
        <v>1803</v>
      </c>
      <c r="D120" s="185" t="s">
        <v>186</v>
      </c>
      <c r="E120" s="185" t="s">
        <v>735</v>
      </c>
      <c r="F120" s="185" t="s">
        <v>1896</v>
      </c>
      <c r="G120" s="185" t="s">
        <v>84</v>
      </c>
      <c r="H120" s="185" t="s">
        <v>84</v>
      </c>
      <c r="I120" s="185" t="s">
        <v>103</v>
      </c>
      <c r="J120" s="185" t="s">
        <v>253</v>
      </c>
      <c r="K120" s="185" t="s">
        <v>254</v>
      </c>
      <c r="L120" s="1390">
        <v>1.15073937E8</v>
      </c>
      <c r="M120" s="1390">
        <v>1.15073937E8</v>
      </c>
      <c r="N120" s="1390">
        <v>1.15073937E8</v>
      </c>
      <c r="O120" s="1390">
        <v>1.15073937E8</v>
      </c>
      <c r="P120" s="1390">
        <v>1.15073937E8</v>
      </c>
      <c r="Q120" s="1390">
        <v>1.15073937E8</v>
      </c>
      <c r="R120" s="1390">
        <v>1.15073937E8</v>
      </c>
      <c r="S120" s="1390">
        <v>1.15073937E8</v>
      </c>
      <c r="T120" s="1390">
        <v>1.15073937E8</v>
      </c>
      <c r="U120" s="1390">
        <v>1.15073937E8</v>
      </c>
      <c r="V120" s="1390">
        <v>1.15073937E8</v>
      </c>
      <c r="W120" s="1390">
        <v>1.15073937E8</v>
      </c>
      <c r="X120" s="1391">
        <v>1.380887244E9</v>
      </c>
      <c r="Y120" s="1392">
        <f t="shared" si="3"/>
        <v>0</v>
      </c>
      <c r="Z120" s="1393">
        <v>2.0483168672322918E7</v>
      </c>
      <c r="AA120" s="1393">
        <v>0.0</v>
      </c>
      <c r="AB120" s="1393">
        <v>0.0</v>
      </c>
      <c r="AC120" s="1393">
        <v>5.2762503107328E7</v>
      </c>
      <c r="AD120" s="1393">
        <v>1.0241584336161459E7</v>
      </c>
      <c r="AE120" s="1393">
        <v>0.0</v>
      </c>
      <c r="AF120" s="1393">
        <v>0.0</v>
      </c>
      <c r="AG120" s="1393">
        <v>8294462.802025119</v>
      </c>
      <c r="AH120" s="1393">
        <v>2.0589550278563585E7</v>
      </c>
      <c r="AI120" s="1393">
        <v>0.0</v>
      </c>
      <c r="AJ120" s="1393">
        <v>0.0</v>
      </c>
      <c r="AK120" s="1393">
        <v>5.299406434378688E7</v>
      </c>
      <c r="AL120" s="1393">
        <v>1.0294775139281793E7</v>
      </c>
      <c r="AM120" s="1393">
        <v>0.0</v>
      </c>
      <c r="AN120" s="1393">
        <v>0.0</v>
      </c>
      <c r="AO120" s="1393">
        <v>8347653.605145454</v>
      </c>
      <c r="AP120" s="1393">
        <v>2.0483168672322918E7</v>
      </c>
      <c r="AQ120" s="1393">
        <v>0.0</v>
      </c>
      <c r="AR120" s="1393">
        <v>0.0</v>
      </c>
      <c r="AS120" s="1393">
        <v>5.2762503107328E7</v>
      </c>
      <c r="AT120" s="1393">
        <v>1.0241584336161459E7</v>
      </c>
      <c r="AU120" s="1393">
        <v>0.0</v>
      </c>
      <c r="AV120" s="1393">
        <v>0.0</v>
      </c>
      <c r="AW120" s="1393">
        <v>8294462.802025119</v>
      </c>
      <c r="AX120" s="1393">
        <v>2.0592759630871654E7</v>
      </c>
      <c r="AY120" s="1393">
        <v>0.0</v>
      </c>
      <c r="AZ120" s="1393">
        <v>0.0</v>
      </c>
      <c r="BA120" s="1393">
        <v>5.290753434570252E7</v>
      </c>
      <c r="BB120" s="1393">
        <v>1.0296379815435827E7</v>
      </c>
      <c r="BC120" s="1393">
        <v>0.0</v>
      </c>
      <c r="BD120" s="1393">
        <v>0.0</v>
      </c>
      <c r="BE120" s="1393">
        <v>8371527.2077446645</v>
      </c>
      <c r="BF120" s="1393">
        <v>2.066385334522431E7</v>
      </c>
      <c r="BG120" s="1393">
        <v>0.0</v>
      </c>
      <c r="BH120" s="1393">
        <v>0.0</v>
      </c>
      <c r="BI120" s="1393">
        <v>5.292910592240445E7</v>
      </c>
      <c r="BJ120" s="1393">
        <v>1.0331926672612155E7</v>
      </c>
      <c r="BK120" s="1393">
        <v>0.0</v>
      </c>
      <c r="BL120" s="1393">
        <v>0.0</v>
      </c>
      <c r="BM120" s="1393">
        <v>8438787.841679338</v>
      </c>
      <c r="BN120" s="1393">
        <v>2.0830225895695403E7</v>
      </c>
      <c r="BO120" s="1393">
        <v>0.0</v>
      </c>
      <c r="BP120" s="1393">
        <v>0.0</v>
      </c>
      <c r="BQ120" s="1393">
        <v>5.31248634609231E7</v>
      </c>
      <c r="BR120" s="1393">
        <v>1.0415112947847702E7</v>
      </c>
      <c r="BS120" s="1393">
        <v>0.0</v>
      </c>
      <c r="BT120" s="1393">
        <v>0.0</v>
      </c>
      <c r="BU120" s="1393">
        <v>8561595.677719984</v>
      </c>
      <c r="BV120" s="1393">
        <v>2.0796470059891272E7</v>
      </c>
      <c r="BW120" s="1393">
        <v>0.0</v>
      </c>
      <c r="BX120" s="1393">
        <v>0.0</v>
      </c>
      <c r="BY120" s="1393">
        <v>5.305138700805938E7</v>
      </c>
      <c r="BZ120" s="1393">
        <v>1.0398235029945636E7</v>
      </c>
      <c r="CA120" s="1393">
        <v>0.0</v>
      </c>
      <c r="CB120" s="1393">
        <v>0.0</v>
      </c>
      <c r="CC120" s="1393">
        <v>8544717.759817919</v>
      </c>
      <c r="CD120" s="1393">
        <v>2.0796470060227368E7</v>
      </c>
      <c r="CE120" s="1393">
        <v>0.0</v>
      </c>
      <c r="CF120" s="1393">
        <v>0.0</v>
      </c>
      <c r="CG120" s="1393">
        <v>5.305138700773799E7</v>
      </c>
      <c r="CH120" s="1393">
        <v>1.0398235030113684E7</v>
      </c>
      <c r="CI120" s="1393">
        <v>0.0</v>
      </c>
      <c r="CJ120" s="1393">
        <v>0.0</v>
      </c>
      <c r="CK120" s="1393">
        <v>8544717.76023671</v>
      </c>
      <c r="CL120" s="1393">
        <v>2.0939439673274577E7</v>
      </c>
      <c r="CM120" s="1393">
        <v>0.0</v>
      </c>
      <c r="CN120" s="1393">
        <v>0.0</v>
      </c>
      <c r="CO120" s="1393">
        <v>5.322481590508489E7</v>
      </c>
      <c r="CP120" s="1393">
        <v>1.0469719836637288E7</v>
      </c>
      <c r="CQ120" s="1393">
        <v>0.0</v>
      </c>
      <c r="CR120" s="1393">
        <v>0.0</v>
      </c>
      <c r="CS120" s="1393">
        <v>8649010.602270298</v>
      </c>
      <c r="CT120" s="1393">
        <v>2.0857960054302774E7</v>
      </c>
      <c r="CU120" s="1393">
        <v>0.0</v>
      </c>
      <c r="CV120" s="1393">
        <v>0.0</v>
      </c>
      <c r="CW120" s="1393">
        <v>5.310808471140925E7</v>
      </c>
      <c r="CX120" s="1393">
        <v>1.0428980027151387E7</v>
      </c>
      <c r="CY120" s="1393">
        <v>0.0</v>
      </c>
      <c r="CZ120" s="1393">
        <v>0.0</v>
      </c>
      <c r="DA120" s="1393">
        <v>8593833.967535365</v>
      </c>
      <c r="DB120" s="1393">
        <v>2.092312659705475E7</v>
      </c>
      <c r="DC120" s="1393">
        <v>0.0</v>
      </c>
      <c r="DD120" s="1393">
        <v>0.0</v>
      </c>
      <c r="DE120" s="1393">
        <v>5.32098861777671E7</v>
      </c>
      <c r="DF120" s="1393">
        <v>1.0461563298527375E7</v>
      </c>
      <c r="DG120" s="1393">
        <v>0.0</v>
      </c>
      <c r="DH120" s="1393">
        <v>0.0</v>
      </c>
      <c r="DI120" s="1393">
        <v>8635953.583826078</v>
      </c>
      <c r="DJ120" s="1393">
        <v>2.08579600546273E7</v>
      </c>
      <c r="DK120" s="1393">
        <v>0.0</v>
      </c>
      <c r="DL120" s="1393">
        <v>0.0</v>
      </c>
      <c r="DM120" s="1393">
        <v>5.310808471108346E7</v>
      </c>
      <c r="DN120" s="1393">
        <v>1.042898002731365E7</v>
      </c>
      <c r="DO120" s="1393">
        <v>0.0</v>
      </c>
      <c r="DP120" s="1393">
        <v>0.0</v>
      </c>
      <c r="DQ120" s="1393">
        <v>8593833.96794343</v>
      </c>
      <c r="DR120" s="1379">
        <f t="shared" si="36"/>
        <v>1111326007</v>
      </c>
    </row>
    <row r="121" hidden="1">
      <c r="A121" s="1401"/>
      <c r="B121" s="1394">
        <f t="shared" si="37"/>
        <v>33</v>
      </c>
      <c r="C121" s="1397" t="s">
        <v>916</v>
      </c>
      <c r="D121" s="185" t="s">
        <v>186</v>
      </c>
      <c r="E121" s="185" t="s">
        <v>735</v>
      </c>
      <c r="F121" s="185" t="s">
        <v>1896</v>
      </c>
      <c r="G121" s="185" t="s">
        <v>86</v>
      </c>
      <c r="H121" s="185" t="s">
        <v>86</v>
      </c>
      <c r="I121" s="185" t="s">
        <v>103</v>
      </c>
      <c r="J121" s="185" t="s">
        <v>1889</v>
      </c>
      <c r="K121" s="185" t="s">
        <v>188</v>
      </c>
      <c r="L121" s="1390">
        <v>4.4945E7</v>
      </c>
      <c r="M121" s="1390">
        <v>4.4945E7</v>
      </c>
      <c r="N121" s="1390">
        <v>4.4945E7</v>
      </c>
      <c r="O121" s="1390">
        <v>4.4945E7</v>
      </c>
      <c r="P121" s="1390">
        <v>4.4945E7</v>
      </c>
      <c r="Q121" s="1390">
        <v>4.4945E7</v>
      </c>
      <c r="R121" s="1390">
        <v>4.4945E7</v>
      </c>
      <c r="S121" s="1390">
        <v>4.4945E7</v>
      </c>
      <c r="T121" s="1390">
        <v>4.4945E7</v>
      </c>
      <c r="U121" s="1390">
        <v>4.4945E7</v>
      </c>
      <c r="V121" s="1390">
        <v>4.4945E7</v>
      </c>
      <c r="W121" s="1390">
        <v>4.4945E7</v>
      </c>
      <c r="X121" s="1391">
        <v>5.3934E8</v>
      </c>
      <c r="Y121" s="1392">
        <f t="shared" si="3"/>
        <v>0</v>
      </c>
      <c r="Z121" s="1393">
        <v>8000213.080200371</v>
      </c>
      <c r="AA121" s="1393">
        <v>0.0</v>
      </c>
      <c r="AB121" s="1393">
        <v>0.0</v>
      </c>
      <c r="AC121" s="1393">
        <v>2.060771330139558E7</v>
      </c>
      <c r="AD121" s="1393">
        <v>4000106.5401001857</v>
      </c>
      <c r="AE121" s="1393">
        <v>0.0</v>
      </c>
      <c r="AF121" s="1393">
        <v>0.0</v>
      </c>
      <c r="AG121" s="1393">
        <v>3239609.596715362</v>
      </c>
      <c r="AH121" s="1393">
        <v>8041763.073336409</v>
      </c>
      <c r="AI121" s="1393">
        <v>0.0</v>
      </c>
      <c r="AJ121" s="1393">
        <v>0.0</v>
      </c>
      <c r="AK121" s="1393">
        <v>2.06981553254018E7</v>
      </c>
      <c r="AL121" s="1393">
        <v>4020881.5366682047</v>
      </c>
      <c r="AM121" s="1393">
        <v>0.0</v>
      </c>
      <c r="AN121" s="1393">
        <v>0.0</v>
      </c>
      <c r="AO121" s="1393">
        <v>3260384.5932833813</v>
      </c>
      <c r="AP121" s="1393">
        <v>8000213.080200371</v>
      </c>
      <c r="AQ121" s="1393">
        <v>0.0</v>
      </c>
      <c r="AR121" s="1393">
        <v>0.0</v>
      </c>
      <c r="AS121" s="1393">
        <v>2.060771330139558E7</v>
      </c>
      <c r="AT121" s="1393">
        <v>4000106.5401001857</v>
      </c>
      <c r="AU121" s="1393">
        <v>0.0</v>
      </c>
      <c r="AV121" s="1393">
        <v>0.0</v>
      </c>
      <c r="AW121" s="1393">
        <v>3239609.596715362</v>
      </c>
      <c r="AX121" s="1393">
        <v>8043016.566032033</v>
      </c>
      <c r="AY121" s="1393">
        <v>0.0</v>
      </c>
      <c r="AZ121" s="1393">
        <v>0.0</v>
      </c>
      <c r="BA121" s="1393">
        <v>2.0664358873613577E7</v>
      </c>
      <c r="BB121" s="1393">
        <v>4021508.2830160167</v>
      </c>
      <c r="BC121" s="1393">
        <v>0.0</v>
      </c>
      <c r="BD121" s="1393">
        <v>0.0</v>
      </c>
      <c r="BE121" s="1393">
        <v>3269709.025007843</v>
      </c>
      <c r="BF121" s="1393">
        <v>8070783.99169663</v>
      </c>
      <c r="BG121" s="1393">
        <v>0.0</v>
      </c>
      <c r="BH121" s="1393">
        <v>0.0</v>
      </c>
      <c r="BI121" s="1393">
        <v>2.06727841916321E7</v>
      </c>
      <c r="BJ121" s="1393">
        <v>4035391.995848315</v>
      </c>
      <c r="BK121" s="1393">
        <v>0.0</v>
      </c>
      <c r="BL121" s="1393">
        <v>0.0</v>
      </c>
      <c r="BM121" s="1393">
        <v>3295979.345386244</v>
      </c>
      <c r="BN121" s="1393">
        <v>8135764.946340802</v>
      </c>
      <c r="BO121" s="1393">
        <v>0.0</v>
      </c>
      <c r="BP121" s="1393">
        <v>0.0</v>
      </c>
      <c r="BQ121" s="1393">
        <v>2.074924218723123E7</v>
      </c>
      <c r="BR121" s="1393">
        <v>4067882.473170401</v>
      </c>
      <c r="BS121" s="1393">
        <v>0.0</v>
      </c>
      <c r="BT121" s="1393">
        <v>0.0</v>
      </c>
      <c r="BU121" s="1393">
        <v>3343945.0128061986</v>
      </c>
      <c r="BV121" s="1393">
        <v>8122580.761635133</v>
      </c>
      <c r="BW121" s="1393">
        <v>0.0</v>
      </c>
      <c r="BX121" s="1393">
        <v>0.0</v>
      </c>
      <c r="BY121" s="1393">
        <v>2.0720544123533633E7</v>
      </c>
      <c r="BZ121" s="1393">
        <v>4061290.3808175665</v>
      </c>
      <c r="CA121" s="1393">
        <v>0.0</v>
      </c>
      <c r="CB121" s="1393">
        <v>0.0</v>
      </c>
      <c r="CC121" s="1393">
        <v>3337352.920453363</v>
      </c>
      <c r="CD121" s="1393">
        <v>8122580.761766402</v>
      </c>
      <c r="CE121" s="1393">
        <v>0.0</v>
      </c>
      <c r="CF121" s="1393">
        <v>0.0</v>
      </c>
      <c r="CG121" s="1393">
        <v>2.0720544123408098E7</v>
      </c>
      <c r="CH121" s="1393">
        <v>4061290.380883201</v>
      </c>
      <c r="CI121" s="1393">
        <v>0.0</v>
      </c>
      <c r="CJ121" s="1393">
        <v>0.0</v>
      </c>
      <c r="CK121" s="1393">
        <v>3337352.9206169327</v>
      </c>
      <c r="CL121" s="1393">
        <v>8178421.114724924</v>
      </c>
      <c r="CM121" s="1393">
        <v>0.0</v>
      </c>
      <c r="CN121" s="1393">
        <v>0.0</v>
      </c>
      <c r="CO121" s="1393">
        <v>2.0788281110552777E7</v>
      </c>
      <c r="CP121" s="1393">
        <v>4089210.557362462</v>
      </c>
      <c r="CQ121" s="1393">
        <v>0.0</v>
      </c>
      <c r="CR121" s="1393">
        <v>0.0</v>
      </c>
      <c r="CS121" s="1393">
        <v>3378087.0947262244</v>
      </c>
      <c r="CT121" s="1393">
        <v>8146597.214629391</v>
      </c>
      <c r="CU121" s="1393">
        <v>0.0</v>
      </c>
      <c r="CV121" s="1393">
        <v>0.0</v>
      </c>
      <c r="CW121" s="1393">
        <v>2.0742688827569086E7</v>
      </c>
      <c r="CX121" s="1393">
        <v>4073298.6073146956</v>
      </c>
      <c r="CY121" s="1393">
        <v>0.0</v>
      </c>
      <c r="CZ121" s="1393">
        <v>0.0</v>
      </c>
      <c r="DA121" s="1393">
        <v>3356536.482026134</v>
      </c>
      <c r="DB121" s="1393">
        <v>8172049.635397682</v>
      </c>
      <c r="DC121" s="1393">
        <v>0.0</v>
      </c>
      <c r="DD121" s="1393">
        <v>0.0</v>
      </c>
      <c r="DE121" s="1393">
        <v>2.0782449932687562E7</v>
      </c>
      <c r="DF121" s="1393">
        <v>4086024.817698841</v>
      </c>
      <c r="DG121" s="1393">
        <v>0.0</v>
      </c>
      <c r="DH121" s="1393">
        <v>0.0</v>
      </c>
      <c r="DI121" s="1393">
        <v>3372987.3500813926</v>
      </c>
      <c r="DJ121" s="1393">
        <v>8146597.214756144</v>
      </c>
      <c r="DK121" s="1393">
        <v>0.0</v>
      </c>
      <c r="DL121" s="1393">
        <v>0.0</v>
      </c>
      <c r="DM121" s="1393">
        <v>2.0742688827441838E7</v>
      </c>
      <c r="DN121" s="1393">
        <v>4073298.607378072</v>
      </c>
      <c r="DO121" s="1393">
        <v>0.0</v>
      </c>
      <c r="DP121" s="1393">
        <v>0.0</v>
      </c>
      <c r="DQ121" s="1393">
        <v>3356536.4821855137</v>
      </c>
      <c r="DR121" s="1379">
        <f t="shared" si="36"/>
        <v>434056126.7</v>
      </c>
    </row>
    <row r="122" hidden="1">
      <c r="A122" s="1401"/>
      <c r="B122" s="1394">
        <f t="shared" si="37"/>
        <v>34</v>
      </c>
      <c r="C122" s="1397" t="s">
        <v>1804</v>
      </c>
      <c r="D122" s="185" t="s">
        <v>186</v>
      </c>
      <c r="E122" s="185" t="s">
        <v>735</v>
      </c>
      <c r="F122" s="185" t="s">
        <v>1896</v>
      </c>
      <c r="G122" s="185" t="s">
        <v>86</v>
      </c>
      <c r="H122" s="185" t="s">
        <v>86</v>
      </c>
      <c r="I122" s="185" t="s">
        <v>103</v>
      </c>
      <c r="J122" s="185" t="s">
        <v>1889</v>
      </c>
      <c r="K122" s="185" t="s">
        <v>188</v>
      </c>
      <c r="L122" s="1390">
        <v>9.83933091E8</v>
      </c>
      <c r="M122" s="1390">
        <v>9.83933091E8</v>
      </c>
      <c r="N122" s="1390">
        <v>9.83933091E8</v>
      </c>
      <c r="O122" s="1390">
        <v>9.83933091E8</v>
      </c>
      <c r="P122" s="1390">
        <v>9.83933091E8</v>
      </c>
      <c r="Q122" s="1390">
        <v>9.83933091E8</v>
      </c>
      <c r="R122" s="1390">
        <v>9.83933091E8</v>
      </c>
      <c r="S122" s="1390">
        <v>9.83933091E8</v>
      </c>
      <c r="T122" s="1390">
        <v>9.83933091E8</v>
      </c>
      <c r="U122" s="1390">
        <v>9.83933091E8</v>
      </c>
      <c r="V122" s="1390">
        <v>9.83933091E8</v>
      </c>
      <c r="W122" s="1390">
        <v>9.83933091E8</v>
      </c>
      <c r="X122" s="1391">
        <v>1.1807197092E10</v>
      </c>
      <c r="Y122" s="1392">
        <f t="shared" si="3"/>
        <v>0</v>
      </c>
      <c r="Z122" s="1393">
        <v>1.7514015762955126E8</v>
      </c>
      <c r="AA122" s="1393">
        <v>0.0</v>
      </c>
      <c r="AB122" s="1393">
        <v>0.0</v>
      </c>
      <c r="AC122" s="1393">
        <v>4.5114275330034417E8</v>
      </c>
      <c r="AD122" s="1393">
        <v>8.757007881477563E7</v>
      </c>
      <c r="AE122" s="1393">
        <v>0.0</v>
      </c>
      <c r="AF122" s="1393">
        <v>0.0</v>
      </c>
      <c r="AG122" s="1393">
        <v>7.092132793702102E7</v>
      </c>
      <c r="AH122" s="1393">
        <v>1.7604976744549012E8</v>
      </c>
      <c r="AI122" s="1393">
        <v>0.0</v>
      </c>
      <c r="AJ122" s="1393">
        <v>0.0</v>
      </c>
      <c r="AK122" s="1393">
        <v>4.5312270435689634E8</v>
      </c>
      <c r="AL122" s="1393">
        <v>8.802488372274506E7</v>
      </c>
      <c r="AM122" s="1393">
        <v>0.0</v>
      </c>
      <c r="AN122" s="1393">
        <v>0.0</v>
      </c>
      <c r="AO122" s="1393">
        <v>7.137613284499043E7</v>
      </c>
      <c r="AP122" s="1393">
        <v>1.7514015762955126E8</v>
      </c>
      <c r="AQ122" s="1393">
        <v>0.0</v>
      </c>
      <c r="AR122" s="1393">
        <v>0.0</v>
      </c>
      <c r="AS122" s="1393">
        <v>4.5114275330034417E8</v>
      </c>
      <c r="AT122" s="1393">
        <v>8.757007881477563E7</v>
      </c>
      <c r="AU122" s="1393">
        <v>0.0</v>
      </c>
      <c r="AV122" s="1393">
        <v>0.0</v>
      </c>
      <c r="AW122" s="1393">
        <v>7.092132793702102E7</v>
      </c>
      <c r="AX122" s="1393">
        <v>1.760772088281256E8</v>
      </c>
      <c r="AY122" s="1393">
        <v>0.0</v>
      </c>
      <c r="AZ122" s="1393">
        <v>0.0</v>
      </c>
      <c r="BA122" s="1393">
        <v>4.5238283457665783E8</v>
      </c>
      <c r="BB122" s="1393">
        <v>8.80386044140628E7</v>
      </c>
      <c r="BC122" s="1393">
        <v>0.0</v>
      </c>
      <c r="BD122" s="1393">
        <v>0.0</v>
      </c>
      <c r="BE122" s="1393">
        <v>7.158026271323982E7</v>
      </c>
      <c r="BF122" s="1393">
        <v>1.766850915506371E8</v>
      </c>
      <c r="BG122" s="1393">
        <v>0.0</v>
      </c>
      <c r="BH122" s="1393">
        <v>0.0</v>
      </c>
      <c r="BI122" s="1393">
        <v>4.5256728110465026E8</v>
      </c>
      <c r="BJ122" s="1393">
        <v>8.834254577531855E7</v>
      </c>
      <c r="BK122" s="1393">
        <v>0.0</v>
      </c>
      <c r="BL122" s="1393">
        <v>0.0</v>
      </c>
      <c r="BM122" s="1393">
        <v>7.21553709017253E7</v>
      </c>
      <c r="BN122" s="1393">
        <v>1.7810765049065647E8</v>
      </c>
      <c r="BO122" s="1393">
        <v>0.0</v>
      </c>
      <c r="BP122" s="1393">
        <v>0.0</v>
      </c>
      <c r="BQ122" s="1393">
        <v>4.5424109469774216E8</v>
      </c>
      <c r="BR122" s="1393">
        <v>8.905382524532823E7</v>
      </c>
      <c r="BS122" s="1393">
        <v>0.0</v>
      </c>
      <c r="BT122" s="1393">
        <v>0.0</v>
      </c>
      <c r="BU122" s="1393">
        <v>7.32054322524071E7</v>
      </c>
      <c r="BV122" s="1393">
        <v>1.7781902315480673E8</v>
      </c>
      <c r="BW122" s="1393">
        <v>0.0</v>
      </c>
      <c r="BX122" s="1393">
        <v>0.0</v>
      </c>
      <c r="BY122" s="1393">
        <v>4.536128385064041E8</v>
      </c>
      <c r="BZ122" s="1393">
        <v>8.890951157740337E7</v>
      </c>
      <c r="CA122" s="1393">
        <v>0.0</v>
      </c>
      <c r="CB122" s="1393">
        <v>0.0</v>
      </c>
      <c r="CC122" s="1393">
        <v>7.306111858448225E7</v>
      </c>
      <c r="CD122" s="1393">
        <v>1.778190231576805E8</v>
      </c>
      <c r="CE122" s="1393">
        <v>0.0</v>
      </c>
      <c r="CF122" s="1393">
        <v>0.0</v>
      </c>
      <c r="CG122" s="1393">
        <v>4.5361283850365597E8</v>
      </c>
      <c r="CH122" s="1393">
        <v>8.890951157884026E7</v>
      </c>
      <c r="CI122" s="1393">
        <v>0.0</v>
      </c>
      <c r="CJ122" s="1393">
        <v>0.0</v>
      </c>
      <c r="CK122" s="1393">
        <v>7.30611185880631E7</v>
      </c>
      <c r="CL122" s="1393">
        <v>1.7904147662500745E8</v>
      </c>
      <c r="CM122" s="1393">
        <v>0.0</v>
      </c>
      <c r="CN122" s="1393">
        <v>0.0</v>
      </c>
      <c r="CO122" s="1393">
        <v>4.550957323324754E8</v>
      </c>
      <c r="CP122" s="1393">
        <v>8.952073831250373E7</v>
      </c>
      <c r="CQ122" s="1393">
        <v>0.0</v>
      </c>
      <c r="CR122" s="1393">
        <v>0.0</v>
      </c>
      <c r="CS122" s="1393">
        <v>7.395286854558201E7</v>
      </c>
      <c r="CT122" s="1393">
        <v>1.7834478982138807E8</v>
      </c>
      <c r="CU122" s="1393">
        <v>0.0</v>
      </c>
      <c r="CV122" s="1393">
        <v>0.0</v>
      </c>
      <c r="CW122" s="1393">
        <v>4.540976289634268E8</v>
      </c>
      <c r="CX122" s="1393">
        <v>8.917239491069403E7</v>
      </c>
      <c r="CY122" s="1393">
        <v>0.0</v>
      </c>
      <c r="CZ122" s="1393">
        <v>0.0</v>
      </c>
      <c r="DA122" s="1393">
        <v>7.348108389841451E7</v>
      </c>
      <c r="DB122" s="1393">
        <v>1.7890199260345453E8</v>
      </c>
      <c r="DC122" s="1393">
        <v>0.0</v>
      </c>
      <c r="DD122" s="1393">
        <v>0.0</v>
      </c>
      <c r="DE122" s="1393">
        <v>4.549680765562802E8</v>
      </c>
      <c r="DF122" s="1393">
        <v>8.945099630172727E7</v>
      </c>
      <c r="DG122" s="1393">
        <v>0.0</v>
      </c>
      <c r="DH122" s="1393">
        <v>0.0</v>
      </c>
      <c r="DI122" s="1393">
        <v>7.384122525908296E7</v>
      </c>
      <c r="DJ122" s="1393">
        <v>1.7834478982416296E8</v>
      </c>
      <c r="DK122" s="1393">
        <v>0.0</v>
      </c>
      <c r="DL122" s="1393">
        <v>0.0</v>
      </c>
      <c r="DM122" s="1393">
        <v>4.5409762896064115E8</v>
      </c>
      <c r="DN122" s="1393">
        <v>8.917239491208148E7</v>
      </c>
      <c r="DO122" s="1393">
        <v>0.0</v>
      </c>
      <c r="DP122" s="1393">
        <v>0.0</v>
      </c>
      <c r="DQ122" s="1393">
        <v>7.348108390190364E7</v>
      </c>
      <c r="DR122" s="1379">
        <f t="shared" si="36"/>
        <v>9502329212</v>
      </c>
    </row>
    <row r="123" hidden="1">
      <c r="A123" s="1401"/>
      <c r="B123" s="1394">
        <f t="shared" si="37"/>
        <v>35</v>
      </c>
      <c r="C123" s="1397" t="s">
        <v>1805</v>
      </c>
      <c r="D123" s="185" t="s">
        <v>186</v>
      </c>
      <c r="E123" s="185" t="s">
        <v>735</v>
      </c>
      <c r="F123" s="185" t="s">
        <v>1896</v>
      </c>
      <c r="G123" s="185" t="s">
        <v>86</v>
      </c>
      <c r="H123" s="185" t="s">
        <v>86</v>
      </c>
      <c r="I123" s="185" t="s">
        <v>103</v>
      </c>
      <c r="J123" s="185" t="s">
        <v>1889</v>
      </c>
      <c r="K123" s="185" t="s">
        <v>188</v>
      </c>
      <c r="L123" s="1390">
        <v>3.19259103E8</v>
      </c>
      <c r="M123" s="1390">
        <v>3.19259103E8</v>
      </c>
      <c r="N123" s="1390">
        <v>3.19259103E8</v>
      </c>
      <c r="O123" s="1390">
        <v>3.19259103E8</v>
      </c>
      <c r="P123" s="1390">
        <v>3.19259103E8</v>
      </c>
      <c r="Q123" s="1390">
        <v>3.19259103E8</v>
      </c>
      <c r="R123" s="1390">
        <v>3.19259103E8</v>
      </c>
      <c r="S123" s="1390">
        <v>3.19259103E8</v>
      </c>
      <c r="T123" s="1390">
        <v>3.19259103E8</v>
      </c>
      <c r="U123" s="1390">
        <v>3.19259103E8</v>
      </c>
      <c r="V123" s="1390">
        <v>3.19259103E8</v>
      </c>
      <c r="W123" s="1390">
        <v>3.19259103E8</v>
      </c>
      <c r="X123" s="1391">
        <v>3.831109236E9</v>
      </c>
      <c r="Y123" s="1392">
        <f t="shared" si="3"/>
        <v>0</v>
      </c>
      <c r="Z123" s="1393">
        <v>5.682814221367533E7</v>
      </c>
      <c r="AA123" s="1393">
        <v>0.0</v>
      </c>
      <c r="AB123" s="1393">
        <v>0.0</v>
      </c>
      <c r="AC123" s="1393">
        <v>1.4638335884936526E8</v>
      </c>
      <c r="AD123" s="1393">
        <v>2.8414071106837664E7</v>
      </c>
      <c r="AE123" s="1393">
        <v>0.0</v>
      </c>
      <c r="AF123" s="1393">
        <v>0.0</v>
      </c>
      <c r="AG123" s="1393">
        <v>2.3012011434365075E7</v>
      </c>
      <c r="AH123" s="1393">
        <v>5.712328546739137E7</v>
      </c>
      <c r="AI123" s="1393">
        <v>0.0</v>
      </c>
      <c r="AJ123" s="1393">
        <v>0.0</v>
      </c>
      <c r="AK123" s="1393">
        <v>1.4702579826326513E8</v>
      </c>
      <c r="AL123" s="1393">
        <v>2.8561642733695686E7</v>
      </c>
      <c r="AM123" s="1393">
        <v>0.0</v>
      </c>
      <c r="AN123" s="1393">
        <v>0.0</v>
      </c>
      <c r="AO123" s="1393">
        <v>2.3159583061223097E7</v>
      </c>
      <c r="AP123" s="1393">
        <v>5.682814221367533E7</v>
      </c>
      <c r="AQ123" s="1393">
        <v>0.0</v>
      </c>
      <c r="AR123" s="1393">
        <v>0.0</v>
      </c>
      <c r="AS123" s="1393">
        <v>1.4638335884936526E8</v>
      </c>
      <c r="AT123" s="1393">
        <v>2.8414071106837664E7</v>
      </c>
      <c r="AU123" s="1393">
        <v>0.0</v>
      </c>
      <c r="AV123" s="1393">
        <v>0.0</v>
      </c>
      <c r="AW123" s="1393">
        <v>2.3012011434365075E7</v>
      </c>
      <c r="AX123" s="1393">
        <v>5.713218943788023E7</v>
      </c>
      <c r="AY123" s="1393">
        <v>0.0</v>
      </c>
      <c r="AZ123" s="1393">
        <v>0.0</v>
      </c>
      <c r="BA123" s="1393">
        <v>1.467857309613964E8</v>
      </c>
      <c r="BB123" s="1393">
        <v>2.8566094718940116E7</v>
      </c>
      <c r="BC123" s="1393">
        <v>0.0</v>
      </c>
      <c r="BD123" s="1393">
        <v>0.0</v>
      </c>
      <c r="BE123" s="1393">
        <v>2.3225817563577898E7</v>
      </c>
      <c r="BF123" s="1393">
        <v>5.7329430586179234E7</v>
      </c>
      <c r="BG123" s="1393">
        <v>0.0</v>
      </c>
      <c r="BH123" s="1393">
        <v>0.0</v>
      </c>
      <c r="BI123" s="1393">
        <v>1.4684557876366767E8</v>
      </c>
      <c r="BJ123" s="1393">
        <v>2.8664715293089617E7</v>
      </c>
      <c r="BK123" s="1393">
        <v>0.0</v>
      </c>
      <c r="BL123" s="1393">
        <v>0.0</v>
      </c>
      <c r="BM123" s="1393">
        <v>2.341242428111112E7</v>
      </c>
      <c r="BN123" s="1393">
        <v>5.779101165841824E7</v>
      </c>
      <c r="BO123" s="1393">
        <v>0.0</v>
      </c>
      <c r="BP123" s="1393">
        <v>0.0</v>
      </c>
      <c r="BQ123" s="1393">
        <v>1.473886850289287E8</v>
      </c>
      <c r="BR123" s="1393">
        <v>2.889550582920912E7</v>
      </c>
      <c r="BS123" s="1393">
        <v>0.0</v>
      </c>
      <c r="BT123" s="1393">
        <v>0.0</v>
      </c>
      <c r="BU123" s="1393">
        <v>2.375314017732407E7</v>
      </c>
      <c r="BV123" s="1393">
        <v>5.7697360062402695E7</v>
      </c>
      <c r="BW123" s="1393">
        <v>0.0</v>
      </c>
      <c r="BX123" s="1393">
        <v>0.0</v>
      </c>
      <c r="BY123" s="1393">
        <v>1.4718483325289282E8</v>
      </c>
      <c r="BZ123" s="1393">
        <v>2.8848680031201348E7</v>
      </c>
      <c r="CA123" s="1393">
        <v>0.0</v>
      </c>
      <c r="CB123" s="1393">
        <v>0.0</v>
      </c>
      <c r="CC123" s="1393">
        <v>2.37063143793163E7</v>
      </c>
      <c r="CD123" s="1393">
        <v>5.769736006333515E7</v>
      </c>
      <c r="CE123" s="1393">
        <v>0.0</v>
      </c>
      <c r="CF123" s="1393">
        <v>0.0</v>
      </c>
      <c r="CG123" s="1393">
        <v>1.4718483325200114E8</v>
      </c>
      <c r="CH123" s="1393">
        <v>2.8848680031667575E7</v>
      </c>
      <c r="CI123" s="1393">
        <v>0.0</v>
      </c>
      <c r="CJ123" s="1393">
        <v>0.0</v>
      </c>
      <c r="CK123" s="1393">
        <v>2.370631438047819E7</v>
      </c>
      <c r="CL123" s="1393">
        <v>5.80940124383878E7</v>
      </c>
      <c r="CM123" s="1393">
        <v>0.0</v>
      </c>
      <c r="CN123" s="1393">
        <v>0.0</v>
      </c>
      <c r="CO123" s="1393">
        <v>1.4766599132866666E8</v>
      </c>
      <c r="CP123" s="1393">
        <v>2.90470062191939E7</v>
      </c>
      <c r="CQ123" s="1393">
        <v>0.0</v>
      </c>
      <c r="CR123" s="1393">
        <v>0.0</v>
      </c>
      <c r="CS123" s="1393">
        <v>2.3995662603585947E7</v>
      </c>
      <c r="CT123" s="1393">
        <v>5.7867956819332026E7</v>
      </c>
      <c r="CU123" s="1393">
        <v>0.0</v>
      </c>
      <c r="CV123" s="1393">
        <v>0.0</v>
      </c>
      <c r="CW123" s="1393">
        <v>1.4734213436194968E8</v>
      </c>
      <c r="CX123" s="1393">
        <v>2.8933978409666013E7</v>
      </c>
      <c r="CY123" s="1393">
        <v>0.0</v>
      </c>
      <c r="CZ123" s="1393">
        <v>0.0</v>
      </c>
      <c r="DA123" s="1393">
        <v>2.384258152049036E7</v>
      </c>
      <c r="DB123" s="1393">
        <v>5.80487537271897E7</v>
      </c>
      <c r="DC123" s="1393">
        <v>0.0</v>
      </c>
      <c r="DD123" s="1393">
        <v>0.0</v>
      </c>
      <c r="DE123" s="1393">
        <v>1.4762457055628526E8</v>
      </c>
      <c r="DF123" s="1393">
        <v>2.902437686359485E7</v>
      </c>
      <c r="DG123" s="1393">
        <v>0.0</v>
      </c>
      <c r="DH123" s="1393">
        <v>0.0</v>
      </c>
      <c r="DI123" s="1393">
        <v>2.3959437441702798E7</v>
      </c>
      <c r="DJ123" s="1393">
        <v>5.78679568202324E7</v>
      </c>
      <c r="DK123" s="1393">
        <v>0.0</v>
      </c>
      <c r="DL123" s="1393">
        <v>0.0</v>
      </c>
      <c r="DM123" s="1393">
        <v>1.4734213436104578E8</v>
      </c>
      <c r="DN123" s="1393">
        <v>2.89339784101162E7</v>
      </c>
      <c r="DO123" s="1393">
        <v>0.0</v>
      </c>
      <c r="DP123" s="1393">
        <v>0.0</v>
      </c>
      <c r="DQ123" s="1393">
        <v>2.3842581521622486E7</v>
      </c>
      <c r="DR123" s="1379">
        <f t="shared" si="36"/>
        <v>3083243290</v>
      </c>
    </row>
    <row r="124" hidden="1">
      <c r="A124" s="1401"/>
      <c r="B124" s="1394">
        <f t="shared" si="37"/>
        <v>36</v>
      </c>
      <c r="C124" s="1397" t="s">
        <v>1806</v>
      </c>
      <c r="D124" s="185" t="s">
        <v>186</v>
      </c>
      <c r="E124" s="185" t="s">
        <v>735</v>
      </c>
      <c r="F124" s="185" t="s">
        <v>1896</v>
      </c>
      <c r="G124" s="185" t="s">
        <v>86</v>
      </c>
      <c r="H124" s="185" t="s">
        <v>86</v>
      </c>
      <c r="I124" s="185" t="s">
        <v>103</v>
      </c>
      <c r="J124" s="185" t="s">
        <v>1889</v>
      </c>
      <c r="K124" s="185" t="s">
        <v>188</v>
      </c>
      <c r="L124" s="1390">
        <v>1.01517478E8</v>
      </c>
      <c r="M124" s="1390">
        <v>1.01517478E8</v>
      </c>
      <c r="N124" s="1390">
        <v>1.01517478E8</v>
      </c>
      <c r="O124" s="1390">
        <v>1.01517478E8</v>
      </c>
      <c r="P124" s="1390">
        <v>1.01517478E8</v>
      </c>
      <c r="Q124" s="1390">
        <v>1.01517478E8</v>
      </c>
      <c r="R124" s="1390">
        <v>1.01517478E8</v>
      </c>
      <c r="S124" s="1390">
        <v>1.01517478E8</v>
      </c>
      <c r="T124" s="1390">
        <v>1.01517478E8</v>
      </c>
      <c r="U124" s="1390">
        <v>1.01517478E8</v>
      </c>
      <c r="V124" s="1390">
        <v>1.01517478E8</v>
      </c>
      <c r="W124" s="1390">
        <v>1.01517478E8</v>
      </c>
      <c r="X124" s="1391">
        <v>1.218209736E9</v>
      </c>
      <c r="Y124" s="1392">
        <f t="shared" si="3"/>
        <v>0</v>
      </c>
      <c r="Z124" s="1393">
        <v>1.8070118041262727E7</v>
      </c>
      <c r="AA124" s="1393">
        <v>0.0</v>
      </c>
      <c r="AB124" s="1393">
        <v>0.0</v>
      </c>
      <c r="AC124" s="1393">
        <v>4.654673671609152E7</v>
      </c>
      <c r="AD124" s="1393">
        <v>9035059.020631364</v>
      </c>
      <c r="AE124" s="1393">
        <v>0.0</v>
      </c>
      <c r="AF124" s="1393">
        <v>0.0</v>
      </c>
      <c r="AG124" s="1393">
        <v>7317321.080501515</v>
      </c>
      <c r="AH124" s="1393">
        <v>1.8163967201660726E7</v>
      </c>
      <c r="AI124" s="1393">
        <v>0.0</v>
      </c>
      <c r="AJ124" s="1393">
        <v>0.0</v>
      </c>
      <c r="AK124" s="1393">
        <v>4.675101853125065E7</v>
      </c>
      <c r="AL124" s="1393">
        <v>9081983.600830363</v>
      </c>
      <c r="AM124" s="1393">
        <v>0.0</v>
      </c>
      <c r="AN124" s="1393">
        <v>0.0</v>
      </c>
      <c r="AO124" s="1393">
        <v>7364245.660700514</v>
      </c>
      <c r="AP124" s="1393">
        <v>1.8070118041262727E7</v>
      </c>
      <c r="AQ124" s="1393">
        <v>0.0</v>
      </c>
      <c r="AR124" s="1393">
        <v>0.0</v>
      </c>
      <c r="AS124" s="1393">
        <v>4.654673671609152E7</v>
      </c>
      <c r="AT124" s="1393">
        <v>9035059.020631364</v>
      </c>
      <c r="AU124" s="1393">
        <v>0.0</v>
      </c>
      <c r="AV124" s="1393">
        <v>0.0</v>
      </c>
      <c r="AW124" s="1393">
        <v>7317321.080501515</v>
      </c>
      <c r="AX124" s="1393">
        <v>1.816679847137151E7</v>
      </c>
      <c r="AY124" s="1393">
        <v>0.0</v>
      </c>
      <c r="AZ124" s="1393">
        <v>0.0</v>
      </c>
      <c r="BA124" s="1393">
        <v>4.667468233031864E7</v>
      </c>
      <c r="BB124" s="1393">
        <v>9083399.235685755</v>
      </c>
      <c r="BC124" s="1393">
        <v>0.0</v>
      </c>
      <c r="BD124" s="1393">
        <v>0.0</v>
      </c>
      <c r="BE124" s="1393">
        <v>7385306.797477699</v>
      </c>
      <c r="BF124" s="1393">
        <v>1.8229516883297697E7</v>
      </c>
      <c r="BG124" s="1393">
        <v>0.0</v>
      </c>
      <c r="BH124" s="1393">
        <v>0.0</v>
      </c>
      <c r="BI124" s="1393">
        <v>4.669371263483723E7</v>
      </c>
      <c r="BJ124" s="1393">
        <v>9114758.441648848</v>
      </c>
      <c r="BK124" s="1393">
        <v>0.0</v>
      </c>
      <c r="BL124" s="1393">
        <v>0.0</v>
      </c>
      <c r="BM124" s="1393">
        <v>7444643.690815495</v>
      </c>
      <c r="BN124" s="1393">
        <v>1.8376289664107766E7</v>
      </c>
      <c r="BO124" s="1393">
        <v>0.0</v>
      </c>
      <c r="BP124" s="1393">
        <v>0.0</v>
      </c>
      <c r="BQ124" s="1393">
        <v>4.686640866078358E7</v>
      </c>
      <c r="BR124" s="1393">
        <v>9188144.832053883</v>
      </c>
      <c r="BS124" s="1393">
        <v>0.0</v>
      </c>
      <c r="BT124" s="1393">
        <v>0.0</v>
      </c>
      <c r="BU124" s="1393">
        <v>7552983.964195416</v>
      </c>
      <c r="BV124" s="1393">
        <v>1.8346510485538274E7</v>
      </c>
      <c r="BW124" s="1393">
        <v>0.0</v>
      </c>
      <c r="BX124" s="1393">
        <v>0.0</v>
      </c>
      <c r="BY124" s="1393">
        <v>4.680158821245644E7</v>
      </c>
      <c r="BZ124" s="1393">
        <v>9173255.242769137</v>
      </c>
      <c r="CA124" s="1393">
        <v>0.0</v>
      </c>
      <c r="CB124" s="1393">
        <v>0.0</v>
      </c>
      <c r="CC124" s="1393">
        <v>7538094.374910669</v>
      </c>
      <c r="CD124" s="1393">
        <v>1.8346510485834774E7</v>
      </c>
      <c r="CE124" s="1393">
        <v>0.0</v>
      </c>
      <c r="CF124" s="1393">
        <v>0.0</v>
      </c>
      <c r="CG124" s="1393">
        <v>4.68015882121729E7</v>
      </c>
      <c r="CH124" s="1393">
        <v>9173255.242917387</v>
      </c>
      <c r="CI124" s="1393">
        <v>0.0</v>
      </c>
      <c r="CJ124" s="1393">
        <v>0.0</v>
      </c>
      <c r="CK124" s="1393">
        <v>7538094.375280125</v>
      </c>
      <c r="CL124" s="1393">
        <v>1.8472637347620938E7</v>
      </c>
      <c r="CM124" s="1393">
        <v>0.0</v>
      </c>
      <c r="CN124" s="1393">
        <v>0.0</v>
      </c>
      <c r="CO124" s="1393">
        <v>4.695458605625447E7</v>
      </c>
      <c r="CP124" s="1393">
        <v>9236318.673810469</v>
      </c>
      <c r="CQ124" s="1393">
        <v>0.0</v>
      </c>
      <c r="CR124" s="1393">
        <v>0.0</v>
      </c>
      <c r="CS124" s="1393">
        <v>7630100.841494123</v>
      </c>
      <c r="CT124" s="1393">
        <v>1.840075655826011E7</v>
      </c>
      <c r="CU124" s="1393">
        <v>0.0</v>
      </c>
      <c r="CV124" s="1393">
        <v>0.0</v>
      </c>
      <c r="CW124" s="1393">
        <v>4.685160655720526E7</v>
      </c>
      <c r="CX124" s="1393">
        <v>9200378.279130055</v>
      </c>
      <c r="CY124" s="1393">
        <v>0.0</v>
      </c>
      <c r="CZ124" s="1393">
        <v>0.0</v>
      </c>
      <c r="DA124" s="1393">
        <v>7581424.3735740455</v>
      </c>
      <c r="DB124" s="1393">
        <v>1.8458246057990704E7</v>
      </c>
      <c r="DC124" s="1393">
        <v>0.0</v>
      </c>
      <c r="DD124" s="1393">
        <v>0.0</v>
      </c>
      <c r="DE124" s="1393">
        <v>4.6941415148018934E7</v>
      </c>
      <c r="DF124" s="1393">
        <v>9229123.028995352</v>
      </c>
      <c r="DG124" s="1393">
        <v>0.0</v>
      </c>
      <c r="DH124" s="1393">
        <v>0.0</v>
      </c>
      <c r="DI124" s="1393">
        <v>7618582.024834042</v>
      </c>
      <c r="DJ124" s="1393">
        <v>1.8400756558546405E7</v>
      </c>
      <c r="DK124" s="1393">
        <v>0.0</v>
      </c>
      <c r="DL124" s="1393">
        <v>0.0</v>
      </c>
      <c r="DM124" s="1393">
        <v>4.6851606556917846E7</v>
      </c>
      <c r="DN124" s="1393">
        <v>9200378.279273203</v>
      </c>
      <c r="DO124" s="1393">
        <v>0.0</v>
      </c>
      <c r="DP124" s="1393">
        <v>0.0</v>
      </c>
      <c r="DQ124" s="1393">
        <v>7581424.373934037</v>
      </c>
      <c r="DR124" s="1379">
        <f t="shared" si="36"/>
        <v>980404567.7</v>
      </c>
    </row>
    <row r="125" hidden="1">
      <c r="A125" s="1401"/>
      <c r="B125" s="1394">
        <f t="shared" si="37"/>
        <v>37</v>
      </c>
      <c r="C125" s="1397" t="s">
        <v>1807</v>
      </c>
      <c r="D125" s="185" t="s">
        <v>186</v>
      </c>
      <c r="E125" s="185" t="s">
        <v>735</v>
      </c>
      <c r="F125" s="185" t="s">
        <v>1896</v>
      </c>
      <c r="G125" s="185" t="s">
        <v>203</v>
      </c>
      <c r="H125" s="185" t="s">
        <v>135</v>
      </c>
      <c r="I125" s="185" t="s">
        <v>135</v>
      </c>
      <c r="J125" s="185" t="s">
        <v>1889</v>
      </c>
      <c r="K125" s="185" t="s">
        <v>188</v>
      </c>
      <c r="L125" s="1390">
        <v>3.25441656E8</v>
      </c>
      <c r="M125" s="1390">
        <v>3.25441656E8</v>
      </c>
      <c r="N125" s="1390">
        <v>3.25441656E8</v>
      </c>
      <c r="O125" s="1390">
        <v>3.25441656E8</v>
      </c>
      <c r="P125" s="1390">
        <v>3.25441656E8</v>
      </c>
      <c r="Q125" s="1390">
        <v>3.25441656E8</v>
      </c>
      <c r="R125" s="1390">
        <v>3.25441656E8</v>
      </c>
      <c r="S125" s="1390">
        <v>3.25441656E8</v>
      </c>
      <c r="T125" s="1390">
        <v>3.25441656E8</v>
      </c>
      <c r="U125" s="1390">
        <v>3.25441656E8</v>
      </c>
      <c r="V125" s="1390">
        <v>3.25441656E8</v>
      </c>
      <c r="W125" s="1390">
        <v>3.25441656E8</v>
      </c>
      <c r="X125" s="1391">
        <v>3.905299872E9</v>
      </c>
      <c r="Y125" s="1392">
        <f t="shared" si="3"/>
        <v>0</v>
      </c>
      <c r="Z125" s="1393">
        <v>5.792863707138213E7</v>
      </c>
      <c r="AA125" s="1393">
        <v>0.0</v>
      </c>
      <c r="AB125" s="1393">
        <v>0.0</v>
      </c>
      <c r="AC125" s="1393">
        <v>1.4921811866012692E8</v>
      </c>
      <c r="AD125" s="1393">
        <v>2.8964318535691064E7</v>
      </c>
      <c r="AE125" s="1393">
        <v>0.0</v>
      </c>
      <c r="AF125" s="1393">
        <v>0.0</v>
      </c>
      <c r="AG125" s="1393">
        <v>2.345764627764022E7</v>
      </c>
      <c r="AH125" s="1393">
        <v>5.8229495867087565E7</v>
      </c>
      <c r="AI125" s="1393">
        <v>0.0</v>
      </c>
      <c r="AJ125" s="1393">
        <v>0.0</v>
      </c>
      <c r="AK125" s="1393">
        <v>1.4987299911545178E8</v>
      </c>
      <c r="AL125" s="1393">
        <v>2.9114747933543783E7</v>
      </c>
      <c r="AM125" s="1393">
        <v>0.0</v>
      </c>
      <c r="AN125" s="1393">
        <v>0.0</v>
      </c>
      <c r="AO125" s="1393">
        <v>2.360807567549294E7</v>
      </c>
      <c r="AP125" s="1393">
        <v>5.792863707138213E7</v>
      </c>
      <c r="AQ125" s="1393">
        <v>0.0</v>
      </c>
      <c r="AR125" s="1393">
        <v>0.0</v>
      </c>
      <c r="AS125" s="1393">
        <v>1.4921811866012692E8</v>
      </c>
      <c r="AT125" s="1393">
        <v>2.8964318535691064E7</v>
      </c>
      <c r="AU125" s="1393">
        <v>0.0</v>
      </c>
      <c r="AV125" s="1393">
        <v>0.0</v>
      </c>
      <c r="AW125" s="1393">
        <v>2.345764627764022E7</v>
      </c>
      <c r="AX125" s="1393">
        <v>5.823857226576701E7</v>
      </c>
      <c r="AY125" s="1393">
        <v>0.0</v>
      </c>
      <c r="AZ125" s="1393">
        <v>0.0</v>
      </c>
      <c r="BA125" s="1393">
        <v>1.4962828283473352E8</v>
      </c>
      <c r="BB125" s="1393">
        <v>2.9119286132883504E7</v>
      </c>
      <c r="BC125" s="1393">
        <v>0.0</v>
      </c>
      <c r="BD125" s="1393">
        <v>0.0</v>
      </c>
      <c r="BE125" s="1393">
        <v>2.3675592829829745E7</v>
      </c>
      <c r="BF125" s="1393">
        <v>5.843963305097434E7</v>
      </c>
      <c r="BG125" s="1393">
        <v>0.0</v>
      </c>
      <c r="BH125" s="1393">
        <v>0.0</v>
      </c>
      <c r="BI125" s="1393">
        <v>1.4968928960852978E8</v>
      </c>
      <c r="BJ125" s="1393">
        <v>2.921981652548717E7</v>
      </c>
      <c r="BK125" s="1393">
        <v>0.0</v>
      </c>
      <c r="BL125" s="1393">
        <v>0.0</v>
      </c>
      <c r="BM125" s="1393">
        <v>2.386581324517288E7</v>
      </c>
      <c r="BN125" s="1393">
        <v>5.8910152785936184E7</v>
      </c>
      <c r="BO125" s="1393">
        <v>0.0</v>
      </c>
      <c r="BP125" s="1393">
        <v>0.0</v>
      </c>
      <c r="BQ125" s="1393">
        <v>1.5024291329753238E8</v>
      </c>
      <c r="BR125" s="1393">
        <v>2.9455076392968092E7</v>
      </c>
      <c r="BS125" s="1393">
        <v>0.0</v>
      </c>
      <c r="BT125" s="1393">
        <v>0.0</v>
      </c>
      <c r="BU125" s="1393">
        <v>2.4213127211938825E7</v>
      </c>
      <c r="BV125" s="1393">
        <v>5.8814687597291775E7</v>
      </c>
      <c r="BW125" s="1393">
        <v>0.0</v>
      </c>
      <c r="BX125" s="1393">
        <v>0.0</v>
      </c>
      <c r="BY125" s="1393">
        <v>1.500351138677017E8</v>
      </c>
      <c r="BZ125" s="1393">
        <v>2.9407343798645888E7</v>
      </c>
      <c r="CA125" s="1393">
        <v>0.0</v>
      </c>
      <c r="CB125" s="1393">
        <v>0.0</v>
      </c>
      <c r="CC125" s="1393">
        <v>2.4165394617616616E7</v>
      </c>
      <c r="CD125" s="1393">
        <v>5.881468759824228E7</v>
      </c>
      <c r="CE125" s="1393">
        <v>0.0</v>
      </c>
      <c r="CF125" s="1393">
        <v>0.0</v>
      </c>
      <c r="CG125" s="1393">
        <v>1.5003511386679277E8</v>
      </c>
      <c r="CH125" s="1393">
        <v>2.940734379912114E7</v>
      </c>
      <c r="CI125" s="1393">
        <v>0.0</v>
      </c>
      <c r="CJ125" s="1393">
        <v>0.0</v>
      </c>
      <c r="CK125" s="1393">
        <v>2.4165394618801005E7</v>
      </c>
      <c r="CL125" s="1393">
        <v>5.921902127136379E7</v>
      </c>
      <c r="CM125" s="1393">
        <v>0.0</v>
      </c>
      <c r="CN125" s="1393">
        <v>0.0</v>
      </c>
      <c r="CO125" s="1393">
        <v>1.505255897210327E8</v>
      </c>
      <c r="CP125" s="1393">
        <v>2.9609510635681894E7</v>
      </c>
      <c r="CQ125" s="1393">
        <v>0.0</v>
      </c>
      <c r="CR125" s="1393">
        <v>0.0</v>
      </c>
      <c r="CS125" s="1393">
        <v>2.446034616130674E7</v>
      </c>
      <c r="CT125" s="1393">
        <v>5.898858801410561E7</v>
      </c>
      <c r="CU125" s="1393">
        <v>0.0</v>
      </c>
      <c r="CV125" s="1393">
        <v>0.0</v>
      </c>
      <c r="CW125" s="1393">
        <v>1.5019546116223788E8</v>
      </c>
      <c r="CX125" s="1393">
        <v>2.9494294007052805E7</v>
      </c>
      <c r="CY125" s="1393">
        <v>0.0</v>
      </c>
      <c r="CZ125" s="1393">
        <v>0.0</v>
      </c>
      <c r="DA125" s="1393">
        <v>2.4304300614862595E7</v>
      </c>
      <c r="DB125" s="1393">
        <v>5.917288611098048E7</v>
      </c>
      <c r="DC125" s="1393">
        <v>0.0</v>
      </c>
      <c r="DD125" s="1393">
        <v>0.0</v>
      </c>
      <c r="DE125" s="1393">
        <v>1.5048336682235906E8</v>
      </c>
      <c r="DF125" s="1393">
        <v>2.958644305549024E7</v>
      </c>
      <c r="DG125" s="1393">
        <v>0.0</v>
      </c>
      <c r="DH125" s="1393">
        <v>0.0</v>
      </c>
      <c r="DI125" s="1393">
        <v>2.442341948776371E7</v>
      </c>
      <c r="DJ125" s="1393">
        <v>5.898858801502341E7</v>
      </c>
      <c r="DK125" s="1393">
        <v>0.0</v>
      </c>
      <c r="DL125" s="1393">
        <v>0.0</v>
      </c>
      <c r="DM125" s="1393">
        <v>1.5019546116131648E8</v>
      </c>
      <c r="DN125" s="1393">
        <v>2.9494294007511705E7</v>
      </c>
      <c r="DO125" s="1393">
        <v>0.0</v>
      </c>
      <c r="DP125" s="1393">
        <v>0.0</v>
      </c>
      <c r="DQ125" s="1393">
        <v>2.4304300616016645E7</v>
      </c>
      <c r="DR125" s="1379">
        <f t="shared" si="36"/>
        <v>3142951266</v>
      </c>
    </row>
    <row r="126" hidden="1">
      <c r="A126" s="1401"/>
      <c r="B126" s="1394">
        <f t="shared" si="37"/>
        <v>38</v>
      </c>
      <c r="C126" s="1397" t="s">
        <v>1808</v>
      </c>
      <c r="D126" s="185" t="s">
        <v>186</v>
      </c>
      <c r="E126" s="185" t="s">
        <v>735</v>
      </c>
      <c r="F126" s="185" t="s">
        <v>1896</v>
      </c>
      <c r="G126" s="185" t="s">
        <v>86</v>
      </c>
      <c r="H126" s="185" t="s">
        <v>86</v>
      </c>
      <c r="I126" s="185" t="s">
        <v>103</v>
      </c>
      <c r="J126" s="185" t="s">
        <v>23</v>
      </c>
      <c r="K126" s="185" t="s">
        <v>367</v>
      </c>
      <c r="L126" s="1390">
        <v>7.5183308E7</v>
      </c>
      <c r="M126" s="1390">
        <v>7.5183308E7</v>
      </c>
      <c r="N126" s="1390">
        <v>7.5183308E7</v>
      </c>
      <c r="O126" s="1390">
        <v>7.5183308E7</v>
      </c>
      <c r="P126" s="1390">
        <v>7.5183308E7</v>
      </c>
      <c r="Q126" s="1390">
        <v>7.5183308E7</v>
      </c>
      <c r="R126" s="1390">
        <v>7.5183308E7</v>
      </c>
      <c r="S126" s="1390">
        <v>7.5183308E7</v>
      </c>
      <c r="T126" s="1390">
        <v>7.5183308E7</v>
      </c>
      <c r="U126" s="1390">
        <v>7.5183308E7</v>
      </c>
      <c r="V126" s="1390">
        <v>7.5183308E7</v>
      </c>
      <c r="W126" s="1390">
        <v>7.5183308E7</v>
      </c>
      <c r="X126" s="1391">
        <v>9.02199696E8</v>
      </c>
      <c r="Y126" s="1392">
        <f t="shared" si="3"/>
        <v>0</v>
      </c>
      <c r="Z126" s="1393">
        <v>1.338263397651203E7</v>
      </c>
      <c r="AA126" s="1393">
        <v>0.0</v>
      </c>
      <c r="AB126" s="1393">
        <v>0.0</v>
      </c>
      <c r="AC126" s="1393">
        <v>3.4472267355979994E7</v>
      </c>
      <c r="AD126" s="1393">
        <v>6691316.988256015</v>
      </c>
      <c r="AE126" s="1393">
        <v>0.0</v>
      </c>
      <c r="AF126" s="1393">
        <v>0.0</v>
      </c>
      <c r="AG126" s="1393">
        <v>5419169.342743505</v>
      </c>
      <c r="AH126" s="1393">
        <v>1.3452138168999396E7</v>
      </c>
      <c r="AI126" s="1393">
        <v>0.0</v>
      </c>
      <c r="AJ126" s="1393">
        <v>0.0</v>
      </c>
      <c r="AK126" s="1393">
        <v>3.4623557389287435E7</v>
      </c>
      <c r="AL126" s="1393">
        <v>6726069.084499698</v>
      </c>
      <c r="AM126" s="1393">
        <v>0.0</v>
      </c>
      <c r="AN126" s="1393">
        <v>0.0</v>
      </c>
      <c r="AO126" s="1393">
        <v>5453921.438987188</v>
      </c>
      <c r="AP126" s="1393">
        <v>1.338263397651203E7</v>
      </c>
      <c r="AQ126" s="1393">
        <v>0.0</v>
      </c>
      <c r="AR126" s="1393">
        <v>0.0</v>
      </c>
      <c r="AS126" s="1393">
        <v>3.4472267355979994E7</v>
      </c>
      <c r="AT126" s="1393">
        <v>6691316.988256015</v>
      </c>
      <c r="AU126" s="1393">
        <v>0.0</v>
      </c>
      <c r="AV126" s="1393">
        <v>0.0</v>
      </c>
      <c r="AW126" s="1393">
        <v>5419169.342743505</v>
      </c>
      <c r="AX126" s="1393">
        <v>1.3454234992392674E7</v>
      </c>
      <c r="AY126" s="1393">
        <v>0.0</v>
      </c>
      <c r="AZ126" s="1393">
        <v>0.0</v>
      </c>
      <c r="BA126" s="1393">
        <v>3.45670232020786E7</v>
      </c>
      <c r="BB126" s="1393">
        <v>6727117.496196337</v>
      </c>
      <c r="BC126" s="1393">
        <v>0.0</v>
      </c>
      <c r="BD126" s="1393">
        <v>0.0</v>
      </c>
      <c r="BE126" s="1393">
        <v>5469519.205641215</v>
      </c>
      <c r="BF126" s="1393">
        <v>1.3500683916991817E7</v>
      </c>
      <c r="BG126" s="1393">
        <v>0.0</v>
      </c>
      <c r="BH126" s="1393">
        <v>0.0</v>
      </c>
      <c r="BI126" s="1393">
        <v>3.45811169450886E7</v>
      </c>
      <c r="BJ126" s="1393">
        <v>6750341.958495908</v>
      </c>
      <c r="BK126" s="1393">
        <v>0.0</v>
      </c>
      <c r="BL126" s="1393">
        <v>0.0</v>
      </c>
      <c r="BM126" s="1393">
        <v>5513463.795434695</v>
      </c>
      <c r="BN126" s="1393">
        <v>1.3609383063218245E7</v>
      </c>
      <c r="BO126" s="1393">
        <v>0.0</v>
      </c>
      <c r="BP126" s="1393">
        <v>0.0</v>
      </c>
      <c r="BQ126" s="1393">
        <v>3.470901470973855E7</v>
      </c>
      <c r="BR126" s="1393">
        <v>6804691.531609123</v>
      </c>
      <c r="BS126" s="1393">
        <v>0.0</v>
      </c>
      <c r="BT126" s="1393">
        <v>0.0</v>
      </c>
      <c r="BU126" s="1393">
        <v>5593700.029655632</v>
      </c>
      <c r="BV126" s="1393">
        <v>1.35873287608608E7</v>
      </c>
      <c r="BW126" s="1393">
        <v>0.0</v>
      </c>
      <c r="BX126" s="1393">
        <v>0.0</v>
      </c>
      <c r="BY126" s="1393">
        <v>3.466100902808364E7</v>
      </c>
      <c r="BZ126" s="1393">
        <v>6793664.3804304</v>
      </c>
      <c r="CA126" s="1393">
        <v>0.0</v>
      </c>
      <c r="CB126" s="1393">
        <v>0.0</v>
      </c>
      <c r="CC126" s="1393">
        <v>5582672.87847691</v>
      </c>
      <c r="CD126" s="1393">
        <v>1.3587328761080388E7</v>
      </c>
      <c r="CE126" s="1393">
        <v>0.0</v>
      </c>
      <c r="CF126" s="1393">
        <v>0.0</v>
      </c>
      <c r="CG126" s="1393">
        <v>3.466100902787365E7</v>
      </c>
      <c r="CH126" s="1393">
        <v>6793664.380540194</v>
      </c>
      <c r="CI126" s="1393">
        <v>0.0</v>
      </c>
      <c r="CJ126" s="1393">
        <v>0.0</v>
      </c>
      <c r="CK126" s="1393">
        <v>5582672.878750526</v>
      </c>
      <c r="CL126" s="1393">
        <v>1.3680737648727719E7</v>
      </c>
      <c r="CM126" s="1393">
        <v>0.0</v>
      </c>
      <c r="CN126" s="1393">
        <v>0.0</v>
      </c>
      <c r="CO126" s="1393">
        <v>3.4774318423078686E7</v>
      </c>
      <c r="CP126" s="1393">
        <v>6840368.824363859</v>
      </c>
      <c r="CQ126" s="1393">
        <v>0.0</v>
      </c>
      <c r="CR126" s="1393">
        <v>0.0</v>
      </c>
      <c r="CS126" s="1393">
        <v>5650812.38165818</v>
      </c>
      <c r="CT126" s="1393">
        <v>1.3627503115795387E7</v>
      </c>
      <c r="CU126" s="1393">
        <v>0.0</v>
      </c>
      <c r="CV126" s="1393">
        <v>0.0</v>
      </c>
      <c r="CW126" s="1393">
        <v>3.4698052350011915E7</v>
      </c>
      <c r="CX126" s="1393">
        <v>6813751.5578976935</v>
      </c>
      <c r="CY126" s="1393">
        <v>0.0</v>
      </c>
      <c r="CZ126" s="1393">
        <v>0.0</v>
      </c>
      <c r="DA126" s="1393">
        <v>5614762.846621589</v>
      </c>
      <c r="DB126" s="1393">
        <v>1.3670079535641152E7</v>
      </c>
      <c r="DC126" s="1393">
        <v>0.0</v>
      </c>
      <c r="DD126" s="1393">
        <v>0.0</v>
      </c>
      <c r="DE126" s="1393">
        <v>3.476456411800708E7</v>
      </c>
      <c r="DF126" s="1393">
        <v>6835039.767820576</v>
      </c>
      <c r="DG126" s="1393">
        <v>0.0</v>
      </c>
      <c r="DH126" s="1393">
        <v>0.0</v>
      </c>
      <c r="DI126" s="1393">
        <v>5642281.606881146</v>
      </c>
      <c r="DJ126" s="1393">
        <v>1.3627503116007417E7</v>
      </c>
      <c r="DK126" s="1393">
        <v>0.0</v>
      </c>
      <c r="DL126" s="1393">
        <v>0.0</v>
      </c>
      <c r="DM126" s="1393">
        <v>3.469805234979906E7</v>
      </c>
      <c r="DN126" s="1393">
        <v>6813751.558003709</v>
      </c>
      <c r="DO126" s="1393">
        <v>0.0</v>
      </c>
      <c r="DP126" s="1393">
        <v>0.0</v>
      </c>
      <c r="DQ126" s="1393">
        <v>5614762.846888198</v>
      </c>
      <c r="DR126" s="1379">
        <f t="shared" si="36"/>
        <v>726082444.4</v>
      </c>
    </row>
    <row r="127" hidden="1">
      <c r="A127" s="1401"/>
      <c r="B127" s="1394">
        <f t="shared" si="37"/>
        <v>39</v>
      </c>
      <c r="C127" s="1397" t="s">
        <v>1809</v>
      </c>
      <c r="D127" s="185" t="s">
        <v>186</v>
      </c>
      <c r="E127" s="185" t="s">
        <v>735</v>
      </c>
      <c r="F127" s="185" t="s">
        <v>1896</v>
      </c>
      <c r="G127" s="185" t="s">
        <v>218</v>
      </c>
      <c r="H127" s="185" t="s">
        <v>88</v>
      </c>
      <c r="I127" s="185" t="s">
        <v>88</v>
      </c>
      <c r="J127" s="185" t="s">
        <v>1889</v>
      </c>
      <c r="K127" s="185" t="s">
        <v>188</v>
      </c>
      <c r="L127" s="1390">
        <v>5.550175517E9</v>
      </c>
      <c r="M127" s="1390">
        <v>5.508056517E9</v>
      </c>
      <c r="N127" s="1390">
        <v>5.550175517E9</v>
      </c>
      <c r="O127" s="1390">
        <v>5.508056517E9</v>
      </c>
      <c r="P127" s="1390">
        <v>5.550175517E9</v>
      </c>
      <c r="Q127" s="1390">
        <v>5.508056517E9</v>
      </c>
      <c r="R127" s="1390">
        <v>5.550175517E9</v>
      </c>
      <c r="S127" s="1390">
        <v>5.508056517E9</v>
      </c>
      <c r="T127" s="1390">
        <v>5.550175517E9</v>
      </c>
      <c r="U127" s="1390">
        <v>5.508056517E9</v>
      </c>
      <c r="V127" s="1390">
        <v>5.550175517E9</v>
      </c>
      <c r="W127" s="1390">
        <v>5.508056517E9</v>
      </c>
      <c r="X127" s="1391">
        <v>6.6349392204E10</v>
      </c>
      <c r="Y127" s="1392">
        <f t="shared" si="3"/>
        <v>0</v>
      </c>
      <c r="Z127" s="1393">
        <v>9.439804787991601E7</v>
      </c>
      <c r="AA127" s="1393">
        <v>0.0</v>
      </c>
      <c r="AB127" s="1393">
        <v>0.0</v>
      </c>
      <c r="AC127" s="1393">
        <v>4.0381343554536686E9</v>
      </c>
      <c r="AD127" s="1393">
        <v>0.0</v>
      </c>
      <c r="AE127" s="1393">
        <v>0.0</v>
      </c>
      <c r="AF127" s="1393">
        <v>0.0</v>
      </c>
      <c r="AG127" s="1393">
        <v>4.169890206794387E8</v>
      </c>
      <c r="AH127" s="1393">
        <v>9.257162974707474E7</v>
      </c>
      <c r="AI127" s="1393">
        <v>0.0</v>
      </c>
      <c r="AJ127" s="1393">
        <v>0.0</v>
      </c>
      <c r="AK127" s="1393">
        <v>3.9591683890737185E9</v>
      </c>
      <c r="AL127" s="1393">
        <v>0.0</v>
      </c>
      <c r="AM127" s="1393">
        <v>0.0</v>
      </c>
      <c r="AN127" s="1393">
        <v>0.0</v>
      </c>
      <c r="AO127" s="1393">
        <v>4.0892109633492804E8</v>
      </c>
      <c r="AP127" s="1393">
        <v>1.1705105193476097E8</v>
      </c>
      <c r="AQ127" s="1393">
        <v>0.0</v>
      </c>
      <c r="AR127" s="1393">
        <v>0.0</v>
      </c>
      <c r="AS127" s="1393">
        <v>4.999585095057956E9</v>
      </c>
      <c r="AT127" s="1393">
        <v>0.0</v>
      </c>
      <c r="AU127" s="1393">
        <v>0.0</v>
      </c>
      <c r="AV127" s="1393">
        <v>0.0</v>
      </c>
      <c r="AW127" s="1393">
        <v>5.170552210768611E8</v>
      </c>
      <c r="AX127" s="1393">
        <v>9.661444237480973E7</v>
      </c>
      <c r="AY127" s="1393">
        <v>0.0</v>
      </c>
      <c r="AZ127" s="1393">
        <v>0.0</v>
      </c>
      <c r="BA127" s="1393">
        <v>4.1309507970209494E9</v>
      </c>
      <c r="BB127" s="1393">
        <v>0.0</v>
      </c>
      <c r="BC127" s="1393">
        <v>0.0</v>
      </c>
      <c r="BD127" s="1393">
        <v>0.0</v>
      </c>
      <c r="BE127" s="1393">
        <v>4.267796062966404E8</v>
      </c>
      <c r="BF127" s="1393">
        <v>9.302491188668242E7</v>
      </c>
      <c r="BG127" s="1393">
        <v>0.0</v>
      </c>
      <c r="BH127" s="1393">
        <v>0.0</v>
      </c>
      <c r="BI127" s="1393">
        <v>3.9781689496337643E9</v>
      </c>
      <c r="BJ127" s="1393">
        <v>0.0</v>
      </c>
      <c r="BK127" s="1393">
        <v>0.0</v>
      </c>
      <c r="BL127" s="1393">
        <v>0.0</v>
      </c>
      <c r="BM127" s="1393">
        <v>4.1092340125257784E8</v>
      </c>
      <c r="BN127" s="1393">
        <v>9.652694272575513E7</v>
      </c>
      <c r="BO127" s="1393">
        <v>0.0</v>
      </c>
      <c r="BP127" s="1393">
        <v>0.0</v>
      </c>
      <c r="BQ127" s="1393">
        <v>4.1269594366562185E9</v>
      </c>
      <c r="BR127" s="1393">
        <v>0.0</v>
      </c>
      <c r="BS127" s="1393">
        <v>0.0</v>
      </c>
      <c r="BT127" s="1393">
        <v>0.0</v>
      </c>
      <c r="BU127" s="1393">
        <v>4.263930899036798E8</v>
      </c>
      <c r="BV127" s="1393">
        <v>8.917439526035029E7</v>
      </c>
      <c r="BW127" s="1393">
        <v>0.0</v>
      </c>
      <c r="BX127" s="1393">
        <v>0.0</v>
      </c>
      <c r="BY127" s="1393">
        <v>3.8098726635114274E9</v>
      </c>
      <c r="BZ127" s="1393">
        <v>0.0</v>
      </c>
      <c r="CA127" s="1393">
        <v>0.0</v>
      </c>
      <c r="CB127" s="1393">
        <v>0.0</v>
      </c>
      <c r="CC127" s="1393">
        <v>3.9391432963314503E8</v>
      </c>
      <c r="CD127" s="1393">
        <v>8.657619175040098E7</v>
      </c>
      <c r="CE127" s="1393">
        <v>0.0</v>
      </c>
      <c r="CF127" s="1393">
        <v>0.0</v>
      </c>
      <c r="CG127" s="1393">
        <v>3.698607860384764E9</v>
      </c>
      <c r="CH127" s="1393">
        <v>0.0</v>
      </c>
      <c r="CI127" s="1393">
        <v>0.0</v>
      </c>
      <c r="CJ127" s="1393">
        <v>0.0</v>
      </c>
      <c r="CK127" s="1393">
        <v>3.8243716075654E8</v>
      </c>
      <c r="CL127" s="1393">
        <v>1.05676179540773E8</v>
      </c>
      <c r="CM127" s="1393">
        <v>0.0</v>
      </c>
      <c r="CN127" s="1393">
        <v>0.0</v>
      </c>
      <c r="CO127" s="1393">
        <v>4.51668209343849E9</v>
      </c>
      <c r="CP127" s="1393">
        <v>0.0</v>
      </c>
      <c r="CQ127" s="1393">
        <v>0.0</v>
      </c>
      <c r="CR127" s="1393">
        <v>0.0</v>
      </c>
      <c r="CS127" s="1393">
        <v>4.6680845213989687E8</v>
      </c>
      <c r="CT127" s="1393">
        <v>1.0602354352446906E8</v>
      </c>
      <c r="CU127" s="1393">
        <v>0.0</v>
      </c>
      <c r="CV127" s="1393">
        <v>0.0</v>
      </c>
      <c r="CW127" s="1393">
        <v>4.531749381597291E9</v>
      </c>
      <c r="CX127" s="1393">
        <v>0.0</v>
      </c>
      <c r="CY127" s="1393">
        <v>0.0</v>
      </c>
      <c r="CZ127" s="1393">
        <v>0.0</v>
      </c>
      <c r="DA127" s="1393">
        <v>4.6834287971158755E8</v>
      </c>
      <c r="DB127" s="1393">
        <v>1.0005926981627224E8</v>
      </c>
      <c r="DC127" s="1393">
        <v>0.0</v>
      </c>
      <c r="DD127" s="1393">
        <v>0.0</v>
      </c>
      <c r="DE127" s="1393">
        <v>4.277914611086631E9</v>
      </c>
      <c r="DF127" s="1393">
        <v>0.0</v>
      </c>
      <c r="DG127" s="1393">
        <v>0.0</v>
      </c>
      <c r="DH127" s="1393">
        <v>0.0</v>
      </c>
      <c r="DI127" s="1393">
        <v>4.4199660763815576E8</v>
      </c>
      <c r="DJ127" s="1393">
        <v>9.808489861448641E7</v>
      </c>
      <c r="DK127" s="1393">
        <v>0.0</v>
      </c>
      <c r="DL127" s="1393">
        <v>0.0</v>
      </c>
      <c r="DM127" s="1393">
        <v>4.1924984000887637E9</v>
      </c>
      <c r="DN127" s="1393">
        <v>0.0</v>
      </c>
      <c r="DO127" s="1393">
        <v>0.0</v>
      </c>
      <c r="DP127" s="1393">
        <v>0.0</v>
      </c>
      <c r="DQ127" s="1393">
        <v>4.332751231119326E8</v>
      </c>
      <c r="DR127" s="1379">
        <f t="shared" si="36"/>
        <v>56629909527</v>
      </c>
    </row>
    <row r="128" hidden="1">
      <c r="A128" s="1401"/>
      <c r="B128" s="1394">
        <f t="shared" si="37"/>
        <v>40</v>
      </c>
      <c r="C128" s="1397" t="s">
        <v>1810</v>
      </c>
      <c r="D128" s="185" t="s">
        <v>186</v>
      </c>
      <c r="E128" s="185" t="s">
        <v>735</v>
      </c>
      <c r="F128" s="185" t="s">
        <v>1896</v>
      </c>
      <c r="G128" s="185" t="s">
        <v>218</v>
      </c>
      <c r="H128" s="185" t="s">
        <v>88</v>
      </c>
      <c r="I128" s="185" t="s">
        <v>88</v>
      </c>
      <c r="J128" s="185" t="s">
        <v>1889</v>
      </c>
      <c r="K128" s="185" t="s">
        <v>188</v>
      </c>
      <c r="L128" s="1390">
        <v>8.50182459E8</v>
      </c>
      <c r="M128" s="1390">
        <v>8.43721959E8</v>
      </c>
      <c r="N128" s="1390">
        <v>8.50182459E8</v>
      </c>
      <c r="O128" s="1390">
        <v>8.43721959E8</v>
      </c>
      <c r="P128" s="1390">
        <v>8.50182459E8</v>
      </c>
      <c r="Q128" s="1390">
        <v>8.43721959E8</v>
      </c>
      <c r="R128" s="1390">
        <v>8.50182459E8</v>
      </c>
      <c r="S128" s="1390">
        <v>8.43721959E8</v>
      </c>
      <c r="T128" s="1390">
        <v>8.50182459E8</v>
      </c>
      <c r="U128" s="1390">
        <v>8.43721959E8</v>
      </c>
      <c r="V128" s="1390">
        <v>8.50182459E8</v>
      </c>
      <c r="W128" s="1390">
        <v>8.43721959E8</v>
      </c>
      <c r="X128" s="1391">
        <v>1.0163426508E10</v>
      </c>
      <c r="Y128" s="1392">
        <f t="shared" si="3"/>
        <v>0</v>
      </c>
      <c r="Z128" s="1393">
        <v>1.4460004773817811E7</v>
      </c>
      <c r="AA128" s="1393">
        <v>0.0</v>
      </c>
      <c r="AB128" s="1393">
        <v>0.0</v>
      </c>
      <c r="AC128" s="1393">
        <v>6.185662031004884E8</v>
      </c>
      <c r="AD128" s="1393">
        <v>0.0</v>
      </c>
      <c r="AE128" s="1393">
        <v>0.0</v>
      </c>
      <c r="AF128" s="1393">
        <v>0.0</v>
      </c>
      <c r="AG128" s="1393">
        <v>6.387487204528474E7</v>
      </c>
      <c r="AH128" s="1393">
        <v>1.4180086307568397E7</v>
      </c>
      <c r="AI128" s="1393">
        <v>0.0</v>
      </c>
      <c r="AJ128" s="1393">
        <v>0.0</v>
      </c>
      <c r="AK128" s="1393">
        <v>6.06463876855705E8</v>
      </c>
      <c r="AL128" s="1393">
        <v>0.0</v>
      </c>
      <c r="AM128" s="1393">
        <v>0.0</v>
      </c>
      <c r="AN128" s="1393">
        <v>0.0</v>
      </c>
      <c r="AO128" s="1393">
        <v>6.263837478996101E7</v>
      </c>
      <c r="AP128" s="1393">
        <v>1.793001876384296E7</v>
      </c>
      <c r="AQ128" s="1393">
        <v>0.0</v>
      </c>
      <c r="AR128" s="1393">
        <v>0.0</v>
      </c>
      <c r="AS128" s="1393">
        <v>7.658423660795594E8</v>
      </c>
      <c r="AT128" s="1393">
        <v>0.0</v>
      </c>
      <c r="AU128" s="1393">
        <v>0.0</v>
      </c>
      <c r="AV128" s="1393">
        <v>0.0</v>
      </c>
      <c r="AW128" s="1393">
        <v>7.920313113476524E7</v>
      </c>
      <c r="AX128" s="1393">
        <v>1.4799362776430834E7</v>
      </c>
      <c r="AY128" s="1393">
        <v>0.0</v>
      </c>
      <c r="AZ128" s="1393">
        <v>0.0</v>
      </c>
      <c r="BA128" s="1393">
        <v>6.327774394176804E8</v>
      </c>
      <c r="BB128" s="1393">
        <v>0.0</v>
      </c>
      <c r="BC128" s="1393">
        <v>0.0</v>
      </c>
      <c r="BD128" s="1393">
        <v>0.0</v>
      </c>
      <c r="BE128" s="1393">
        <v>6.53739344130717E7</v>
      </c>
      <c r="BF128" s="1393">
        <v>1.4249666176111668E7</v>
      </c>
      <c r="BG128" s="1393">
        <v>0.0</v>
      </c>
      <c r="BH128" s="1393">
        <v>0.0</v>
      </c>
      <c r="BI128" s="1393">
        <v>6.093806312174472E8</v>
      </c>
      <c r="BJ128" s="1393">
        <v>0.0</v>
      </c>
      <c r="BK128" s="1393">
        <v>0.0</v>
      </c>
      <c r="BL128" s="1393">
        <v>0.0</v>
      </c>
      <c r="BM128" s="1393">
        <v>6.294573327771038E7</v>
      </c>
      <c r="BN128" s="1393">
        <v>1.4785959614156755E7</v>
      </c>
      <c r="BO128" s="1393">
        <v>0.0</v>
      </c>
      <c r="BP128" s="1393">
        <v>0.0</v>
      </c>
      <c r="BQ128" s="1393">
        <v>6.321660443864906E8</v>
      </c>
      <c r="BR128" s="1393">
        <v>0.0</v>
      </c>
      <c r="BS128" s="1393">
        <v>0.0</v>
      </c>
      <c r="BT128" s="1393">
        <v>0.0</v>
      </c>
      <c r="BU128" s="1393">
        <v>6.5314727982046925E7</v>
      </c>
      <c r="BV128" s="1393">
        <v>1.3659839478961572E7</v>
      </c>
      <c r="BW128" s="1393">
        <v>0.0</v>
      </c>
      <c r="BX128" s="1393">
        <v>0.0</v>
      </c>
      <c r="BY128" s="1393">
        <v>5.836008067888684E8</v>
      </c>
      <c r="BZ128" s="1393">
        <v>0.0</v>
      </c>
      <c r="CA128" s="1393">
        <v>0.0</v>
      </c>
      <c r="CB128" s="1393">
        <v>0.0</v>
      </c>
      <c r="CC128" s="1393">
        <v>6.034026354248786E7</v>
      </c>
      <c r="CD128" s="1393">
        <v>1.3261707442717575E7</v>
      </c>
      <c r="CE128" s="1393">
        <v>0.0</v>
      </c>
      <c r="CF128" s="1393">
        <v>0.0</v>
      </c>
      <c r="CG128" s="1393">
        <v>5.66551316222929E8</v>
      </c>
      <c r="CH128" s="1393">
        <v>0.0</v>
      </c>
      <c r="CI128" s="1393">
        <v>0.0</v>
      </c>
      <c r="CJ128" s="1393">
        <v>0.0</v>
      </c>
      <c r="CK128" s="1393">
        <v>5.858157581935099E7</v>
      </c>
      <c r="CL128" s="1393">
        <v>1.6187602338792825E7</v>
      </c>
      <c r="CM128" s="1393">
        <v>0.0</v>
      </c>
      <c r="CN128" s="1393">
        <v>0.0</v>
      </c>
      <c r="CO128" s="1393">
        <v>6.918707123691857E8</v>
      </c>
      <c r="CP128" s="1393">
        <v>0.0</v>
      </c>
      <c r="CQ128" s="1393">
        <v>0.0</v>
      </c>
      <c r="CR128" s="1393">
        <v>0.0</v>
      </c>
      <c r="CS128" s="1393">
        <v>7.150627155964252E7</v>
      </c>
      <c r="CT128" s="1393">
        <v>1.6240645237843117E7</v>
      </c>
      <c r="CU128" s="1393">
        <v>0.0</v>
      </c>
      <c r="CV128" s="1393">
        <v>0.0</v>
      </c>
      <c r="CW128" s="1393">
        <v>6.941716110096886E8</v>
      </c>
      <c r="CX128" s="1393">
        <v>0.0</v>
      </c>
      <c r="CY128" s="1393">
        <v>0.0</v>
      </c>
      <c r="CZ128" s="1393">
        <v>0.0</v>
      </c>
      <c r="DA128" s="1393">
        <v>7.174058049955955E7</v>
      </c>
      <c r="DB128" s="1393">
        <v>1.5327197454851737E7</v>
      </c>
      <c r="DC128" s="1393">
        <v>0.0</v>
      </c>
      <c r="DD128" s="1393">
        <v>0.0</v>
      </c>
      <c r="DE128" s="1393">
        <v>6.552960266401716E8</v>
      </c>
      <c r="DF128" s="1393">
        <v>0.0</v>
      </c>
      <c r="DG128" s="1393">
        <v>0.0</v>
      </c>
      <c r="DH128" s="1393">
        <v>0.0</v>
      </c>
      <c r="DI128" s="1393">
        <v>6.770556383315642E7</v>
      </c>
      <c r="DJ128" s="1393">
        <v>1.5024606692380976E7</v>
      </c>
      <c r="DK128" s="1393">
        <v>0.0</v>
      </c>
      <c r="DL128" s="1393">
        <v>0.0</v>
      </c>
      <c r="DM128" s="1393">
        <v>6.422052773623087E8</v>
      </c>
      <c r="DN128" s="1393">
        <v>0.0</v>
      </c>
      <c r="DO128" s="1393">
        <v>0.0</v>
      </c>
      <c r="DP128" s="1393">
        <v>0.0</v>
      </c>
      <c r="DQ128" s="1393">
        <v>6.636891515722367E7</v>
      </c>
      <c r="DR128" s="1379">
        <f t="shared" si="36"/>
        <v>8674592953</v>
      </c>
    </row>
    <row r="129" hidden="1">
      <c r="A129" s="1401"/>
      <c r="B129" s="1394">
        <f t="shared" si="37"/>
        <v>41</v>
      </c>
      <c r="C129" s="1397" t="s">
        <v>1908</v>
      </c>
      <c r="D129" s="185" t="s">
        <v>186</v>
      </c>
      <c r="E129" s="185" t="s">
        <v>735</v>
      </c>
      <c r="F129" s="185" t="s">
        <v>1896</v>
      </c>
      <c r="G129" s="185" t="s">
        <v>84</v>
      </c>
      <c r="H129" s="185" t="s">
        <v>84</v>
      </c>
      <c r="I129" s="185" t="s">
        <v>103</v>
      </c>
      <c r="J129" s="185" t="s">
        <v>1889</v>
      </c>
      <c r="K129" s="185" t="s">
        <v>188</v>
      </c>
      <c r="L129" s="1390">
        <v>2.4166666666666665E9</v>
      </c>
      <c r="M129" s="1390">
        <v>2.4166666666666665E9</v>
      </c>
      <c r="N129" s="1390">
        <v>2.4166666666666665E9</v>
      </c>
      <c r="O129" s="1390">
        <v>2.41666666766667E9</v>
      </c>
      <c r="P129" s="1390">
        <v>2.41666666766667E9</v>
      </c>
      <c r="Q129" s="1390">
        <v>2.41666666866667E9</v>
      </c>
      <c r="R129" s="1390">
        <v>2.41666666866667E9</v>
      </c>
      <c r="S129" s="1390">
        <v>2.41666666966667E9</v>
      </c>
      <c r="T129" s="1390">
        <v>2.41666666966667E9</v>
      </c>
      <c r="U129" s="1390">
        <v>2.41666667066667E9</v>
      </c>
      <c r="V129" s="1390">
        <v>2.41666667066667E9</v>
      </c>
      <c r="W129" s="1390">
        <v>2.41666667166667E9</v>
      </c>
      <c r="X129" s="1391">
        <v>2.900000002500004E10</v>
      </c>
      <c r="Y129" s="1392">
        <f t="shared" si="3"/>
        <v>0</v>
      </c>
      <c r="Z129" s="1393">
        <v>4.301668322872599E8</v>
      </c>
      <c r="AA129" s="1393">
        <v>0.0</v>
      </c>
      <c r="AB129" s="1393">
        <v>0.0</v>
      </c>
      <c r="AC129" s="1393">
        <v>1.1080648306086547E9</v>
      </c>
      <c r="AD129" s="1393">
        <v>2.1508341614362994E8</v>
      </c>
      <c r="AE129" s="1393">
        <v>0.0</v>
      </c>
      <c r="AF129" s="1393">
        <v>0.0</v>
      </c>
      <c r="AG129" s="1393">
        <v>1.741919351517512E8</v>
      </c>
      <c r="AH129" s="1393">
        <v>4.324009513975523E8</v>
      </c>
      <c r="AI129" s="1393">
        <v>0.0</v>
      </c>
      <c r="AJ129" s="1393">
        <v>0.0</v>
      </c>
      <c r="AK129" s="1393">
        <v>1.1129278459536695E9</v>
      </c>
      <c r="AL129" s="1393">
        <v>2.1620047569877616E8</v>
      </c>
      <c r="AM129" s="1393">
        <v>0.0</v>
      </c>
      <c r="AN129" s="1393">
        <v>0.0</v>
      </c>
      <c r="AO129" s="1393">
        <v>1.753089947068974E8</v>
      </c>
      <c r="AP129" s="1393">
        <v>4.301668322872599E8</v>
      </c>
      <c r="AQ129" s="1393">
        <v>0.0</v>
      </c>
      <c r="AR129" s="1393">
        <v>0.0</v>
      </c>
      <c r="AS129" s="1393">
        <v>1.1080648306086547E9</v>
      </c>
      <c r="AT129" s="1393">
        <v>2.1508341614362994E8</v>
      </c>
      <c r="AU129" s="1393">
        <v>0.0</v>
      </c>
      <c r="AV129" s="1393">
        <v>0.0</v>
      </c>
      <c r="AW129" s="1393">
        <v>1.741919351517512E8</v>
      </c>
      <c r="AX129" s="1393">
        <v>4.3246835115408736E8</v>
      </c>
      <c r="AY129" s="1393">
        <v>0.0</v>
      </c>
      <c r="AZ129" s="1393">
        <v>0.0</v>
      </c>
      <c r="BA129" s="1393">
        <v>1.11111063073899E9</v>
      </c>
      <c r="BB129" s="1393">
        <v>2.1623417557704368E8</v>
      </c>
      <c r="BC129" s="1393">
        <v>0.0</v>
      </c>
      <c r="BD129" s="1393">
        <v>0.0</v>
      </c>
      <c r="BE129" s="1393">
        <v>1.7581036408288664E8</v>
      </c>
      <c r="BF129" s="1393">
        <v>4.3396138957995325E8</v>
      </c>
      <c r="BG129" s="1393">
        <v>0.0</v>
      </c>
      <c r="BH129" s="1393">
        <v>0.0</v>
      </c>
      <c r="BI129" s="1393">
        <v>1.111563655218239E9</v>
      </c>
      <c r="BJ129" s="1393">
        <v>2.1698069478997663E8</v>
      </c>
      <c r="BK129" s="1393">
        <v>0.0</v>
      </c>
      <c r="BL129" s="1393">
        <v>0.0</v>
      </c>
      <c r="BM129" s="1393">
        <v>1.7722290402297798E8</v>
      </c>
      <c r="BN129" s="1393">
        <v>4.3745537812723315E8</v>
      </c>
      <c r="BO129" s="1393">
        <v>0.0</v>
      </c>
      <c r="BP129" s="1393">
        <v>0.0</v>
      </c>
      <c r="BQ129" s="1393">
        <v>1.115674757903527E9</v>
      </c>
      <c r="BR129" s="1393">
        <v>2.1872768906361657E8</v>
      </c>
      <c r="BS129" s="1393">
        <v>0.0</v>
      </c>
      <c r="BT129" s="1393">
        <v>0.0</v>
      </c>
      <c r="BU129" s="1393">
        <v>1.7980199030599353E8</v>
      </c>
      <c r="BV129" s="1393">
        <v>4.367464721369842E8</v>
      </c>
      <c r="BW129" s="1393">
        <v>0.0</v>
      </c>
      <c r="BX129" s="1393">
        <v>0.0</v>
      </c>
      <c r="BY129" s="1393">
        <v>1.1141316796079822E9</v>
      </c>
      <c r="BZ129" s="1393">
        <v>2.183732360684921E8</v>
      </c>
      <c r="CA129" s="1393">
        <v>0.0</v>
      </c>
      <c r="CB129" s="1393">
        <v>0.0</v>
      </c>
      <c r="CC129" s="1393">
        <v>1.794475373108691E8</v>
      </c>
      <c r="CD129" s="1393">
        <v>4.367464723247652E8</v>
      </c>
      <c r="CE129" s="1393">
        <v>0.0</v>
      </c>
      <c r="CF129" s="1393">
        <v>0.0</v>
      </c>
      <c r="CG129" s="1393">
        <v>1.1141316800622525E9</v>
      </c>
      <c r="CH129" s="1393">
        <v>2.183732361623826E8</v>
      </c>
      <c r="CI129" s="1393">
        <v>0.0</v>
      </c>
      <c r="CJ129" s="1393">
        <v>0.0</v>
      </c>
      <c r="CK129" s="1393">
        <v>1.7944753739391828E8</v>
      </c>
      <c r="CL129" s="1393">
        <v>4.3974897582498294E8</v>
      </c>
      <c r="CM129" s="1393">
        <v>0.0</v>
      </c>
      <c r="CN129" s="1393">
        <v>0.0</v>
      </c>
      <c r="CO129" s="1393">
        <v>1.1177738587058432E9</v>
      </c>
      <c r="CP129" s="1393">
        <v>2.1987448791249147E8</v>
      </c>
      <c r="CQ129" s="1393">
        <v>0.0</v>
      </c>
      <c r="CR129" s="1393">
        <v>0.0</v>
      </c>
      <c r="CS129" s="1393">
        <v>1.8163779038949782E8</v>
      </c>
      <c r="CT129" s="1393">
        <v>4.3803782329382086E8</v>
      </c>
      <c r="CU129" s="1393">
        <v>0.0</v>
      </c>
      <c r="CV129" s="1393">
        <v>0.0</v>
      </c>
      <c r="CW129" s="1393">
        <v>1.1153223884658163E9</v>
      </c>
      <c r="CX129" s="1393">
        <v>2.1901891164691043E8</v>
      </c>
      <c r="CY129" s="1393">
        <v>0.0</v>
      </c>
      <c r="CZ129" s="1393">
        <v>0.0</v>
      </c>
      <c r="DA129" s="1393">
        <v>1.8047902647656724E8</v>
      </c>
      <c r="DB129" s="1393">
        <v>4.394063852463965E8</v>
      </c>
      <c r="DC129" s="1393">
        <v>0.0</v>
      </c>
      <c r="DD129" s="1393">
        <v>0.0</v>
      </c>
      <c r="DE129" s="1393">
        <v>1.117460320105124E9</v>
      </c>
      <c r="DF129" s="1393">
        <v>2.1970319262319824E8</v>
      </c>
      <c r="DG129" s="1393">
        <v>0.0</v>
      </c>
      <c r="DH129" s="1393">
        <v>0.0</v>
      </c>
      <c r="DI129" s="1393">
        <v>1.8136358014288557E8</v>
      </c>
      <c r="DJ129" s="1393">
        <v>4.380378234818933E8</v>
      </c>
      <c r="DK129" s="1393">
        <v>0.0</v>
      </c>
      <c r="DL129" s="1393">
        <v>0.0</v>
      </c>
      <c r="DM129" s="1393">
        <v>1.115322388920487E9</v>
      </c>
      <c r="DN129" s="1393">
        <v>2.1901891174094665E8</v>
      </c>
      <c r="DO129" s="1393">
        <v>0.0</v>
      </c>
      <c r="DP129" s="1393">
        <v>0.0</v>
      </c>
      <c r="DQ129" s="1393">
        <v>1.8047902655981794E8</v>
      </c>
      <c r="DR129" s="1379">
        <f t="shared" si="36"/>
        <v>23338947019</v>
      </c>
    </row>
    <row r="130" hidden="1">
      <c r="A130" s="1401"/>
      <c r="B130" s="1394">
        <f t="shared" si="37"/>
        <v>42</v>
      </c>
      <c r="C130" s="1397" t="s">
        <v>1812</v>
      </c>
      <c r="D130" s="185" t="s">
        <v>186</v>
      </c>
      <c r="E130" s="185" t="s">
        <v>735</v>
      </c>
      <c r="F130" s="185" t="s">
        <v>1896</v>
      </c>
      <c r="G130" s="185" t="s">
        <v>203</v>
      </c>
      <c r="H130" s="185" t="s">
        <v>135</v>
      </c>
      <c r="I130" s="185" t="s">
        <v>135</v>
      </c>
      <c r="J130" s="185" t="s">
        <v>253</v>
      </c>
      <c r="K130" s="185" t="s">
        <v>254</v>
      </c>
      <c r="L130" s="1390">
        <v>8.333333333333333E7</v>
      </c>
      <c r="M130" s="1390">
        <v>8.333333333333333E7</v>
      </c>
      <c r="N130" s="1390">
        <v>8.333333333333333E7</v>
      </c>
      <c r="O130" s="1390">
        <v>8.333333333333333E7</v>
      </c>
      <c r="P130" s="1390">
        <v>8.333333333333333E7</v>
      </c>
      <c r="Q130" s="1390">
        <v>8.333333333333333E7</v>
      </c>
      <c r="R130" s="1390">
        <v>8.333333333333333E7</v>
      </c>
      <c r="S130" s="1390">
        <v>8.333333333333333E7</v>
      </c>
      <c r="T130" s="1390">
        <v>8.333333333333333E7</v>
      </c>
      <c r="U130" s="1390">
        <v>8.333333333333333E7</v>
      </c>
      <c r="V130" s="1390">
        <v>8.333333333333333E7</v>
      </c>
      <c r="W130" s="1390">
        <v>8.333333333333333E7</v>
      </c>
      <c r="X130" s="1391">
        <v>1.0000000000000001E9</v>
      </c>
      <c r="Y130" s="1392">
        <f t="shared" si="3"/>
        <v>0</v>
      </c>
      <c r="Z130" s="1393">
        <v>1417343.283270622</v>
      </c>
      <c r="AA130" s="1393">
        <v>0.0</v>
      </c>
      <c r="AB130" s="1393">
        <v>0.0</v>
      </c>
      <c r="AC130" s="1393">
        <v>6.06307305520489E7</v>
      </c>
      <c r="AD130" s="1393">
        <v>0.0</v>
      </c>
      <c r="AE130" s="1393">
        <v>0.0</v>
      </c>
      <c r="AF130" s="1393">
        <v>0.0</v>
      </c>
      <c r="AG130" s="1393">
        <v>6260898.407660194</v>
      </c>
      <c r="AH130" s="1393">
        <v>1400548.896895586</v>
      </c>
      <c r="AI130" s="1393">
        <v>0.0</v>
      </c>
      <c r="AJ130" s="1393">
        <v>0.0</v>
      </c>
      <c r="AK130" s="1393">
        <v>5.989965754185388E7</v>
      </c>
      <c r="AL130" s="1393">
        <v>0.0</v>
      </c>
      <c r="AM130" s="1393">
        <v>0.0</v>
      </c>
      <c r="AN130" s="1393">
        <v>0.0</v>
      </c>
      <c r="AO130" s="1393">
        <v>6186711.7598987175</v>
      </c>
      <c r="AP130" s="1393">
        <v>1757467.7229611562</v>
      </c>
      <c r="AQ130" s="1393">
        <v>0.0</v>
      </c>
      <c r="AR130" s="1393">
        <v>0.0</v>
      </c>
      <c r="AS130" s="1393">
        <v>7.506647131765465E7</v>
      </c>
      <c r="AT130" s="1393">
        <v>0.0</v>
      </c>
      <c r="AU130" s="1393">
        <v>0.0</v>
      </c>
      <c r="AV130" s="1393">
        <v>0.0</v>
      </c>
      <c r="AW130" s="1393">
        <v>7763346.394679148</v>
      </c>
      <c r="AX130" s="1393">
        <v>1461714.037680079</v>
      </c>
      <c r="AY130" s="1393">
        <v>0.0</v>
      </c>
      <c r="AZ130" s="1393">
        <v>0.0</v>
      </c>
      <c r="BA130" s="1393">
        <v>6.249861429149634E7</v>
      </c>
      <c r="BB130" s="1393">
        <v>0.0</v>
      </c>
      <c r="BC130" s="1393">
        <v>0.0</v>
      </c>
      <c r="BD130" s="1393">
        <v>0.0</v>
      </c>
      <c r="BE130" s="1393">
        <v>6456899.467465413</v>
      </c>
      <c r="BF130" s="1393">
        <v>1396726.2777208616</v>
      </c>
      <c r="BG130" s="1393">
        <v>0.0</v>
      </c>
      <c r="BH130" s="1393">
        <v>0.0</v>
      </c>
      <c r="BI130" s="1393">
        <v>5.973037755666116E7</v>
      </c>
      <c r="BJ130" s="1393">
        <v>0.0</v>
      </c>
      <c r="BK130" s="1393">
        <v>0.0</v>
      </c>
      <c r="BL130" s="1393">
        <v>0.0</v>
      </c>
      <c r="BM130" s="1393">
        <v>6169825.921029183</v>
      </c>
      <c r="BN130" s="1393">
        <v>1460390.2245712788</v>
      </c>
      <c r="BO130" s="1393">
        <v>0.0</v>
      </c>
      <c r="BP130" s="1393">
        <v>0.0</v>
      </c>
      <c r="BQ130" s="1393">
        <v>6.2438227590179645E7</v>
      </c>
      <c r="BR130" s="1393">
        <v>0.0</v>
      </c>
      <c r="BS130" s="1393">
        <v>0.0</v>
      </c>
      <c r="BT130" s="1393">
        <v>0.0</v>
      </c>
      <c r="BU130" s="1393">
        <v>6451051.724379631</v>
      </c>
      <c r="BV130" s="1393">
        <v>1338912.5411021106</v>
      </c>
      <c r="BW130" s="1393">
        <v>0.0</v>
      </c>
      <c r="BX130" s="1393">
        <v>0.0</v>
      </c>
      <c r="BY130" s="1393">
        <v>5.72034862057052E7</v>
      </c>
      <c r="BZ130" s="1393">
        <v>0.0</v>
      </c>
      <c r="CA130" s="1393">
        <v>0.0</v>
      </c>
      <c r="CB130" s="1393">
        <v>0.0</v>
      </c>
      <c r="CC130" s="1393">
        <v>5914442.531691097</v>
      </c>
      <c r="CD130" s="1393">
        <v>1309841.7969386182</v>
      </c>
      <c r="CE130" s="1393">
        <v>0.0</v>
      </c>
      <c r="CF130" s="1393">
        <v>0.0</v>
      </c>
      <c r="CG130" s="1393">
        <v>5.595754523350515E7</v>
      </c>
      <c r="CH130" s="1393">
        <v>0.0</v>
      </c>
      <c r="CI130" s="1393">
        <v>0.0</v>
      </c>
      <c r="CJ130" s="1393">
        <v>0.0</v>
      </c>
      <c r="CK130" s="1393">
        <v>5786026.940358342</v>
      </c>
      <c r="CL130" s="1393">
        <v>1586679.2443033322</v>
      </c>
      <c r="CM130" s="1393">
        <v>0.0</v>
      </c>
      <c r="CN130" s="1393">
        <v>0.0</v>
      </c>
      <c r="CO130" s="1393">
        <v>6.781590479442264E7</v>
      </c>
      <c r="CP130" s="1393">
        <v>0.0</v>
      </c>
      <c r="CQ130" s="1393">
        <v>0.0</v>
      </c>
      <c r="CR130" s="1393">
        <v>0.0</v>
      </c>
      <c r="CS130" s="1393">
        <v>7008914.263312911</v>
      </c>
      <c r="CT130" s="1393">
        <v>1604067.6537062763</v>
      </c>
      <c r="CU130" s="1393">
        <v>0.0</v>
      </c>
      <c r="CV130" s="1393">
        <v>0.0</v>
      </c>
      <c r="CW130" s="1393">
        <v>6.856243770088646E7</v>
      </c>
      <c r="CX130" s="1393">
        <v>0.0</v>
      </c>
      <c r="CY130" s="1393">
        <v>0.0</v>
      </c>
      <c r="CZ130" s="1393">
        <v>0.0</v>
      </c>
      <c r="DA130" s="1393">
        <v>7085724.917462565</v>
      </c>
      <c r="DB130" s="1393">
        <v>1502343.9275297704</v>
      </c>
      <c r="DC130" s="1393">
        <v>0.0</v>
      </c>
      <c r="DD130" s="1393">
        <v>0.0</v>
      </c>
      <c r="DE130" s="1393">
        <v>6.423092083579945E7</v>
      </c>
      <c r="DF130" s="1393">
        <v>0.0</v>
      </c>
      <c r="DG130" s="1393">
        <v>0.0</v>
      </c>
      <c r="DH130" s="1393">
        <v>0.0</v>
      </c>
      <c r="DI130" s="1393">
        <v>6636375.8269796325</v>
      </c>
      <c r="DJ130" s="1393">
        <v>1483961.0897200967</v>
      </c>
      <c r="DK130" s="1393">
        <v>0.0</v>
      </c>
      <c r="DL130" s="1393">
        <v>0.0</v>
      </c>
      <c r="DM130" s="1393">
        <v>6.342978972633218E7</v>
      </c>
      <c r="DN130" s="1393">
        <v>0.0</v>
      </c>
      <c r="DO130" s="1393">
        <v>0.0</v>
      </c>
      <c r="DP130" s="1393">
        <v>0.0</v>
      </c>
      <c r="DQ130" s="1393">
        <v>6555172.436573551</v>
      </c>
      <c r="DR130" s="1379">
        <f t="shared" si="36"/>
        <v>853459550.6</v>
      </c>
    </row>
    <row r="131" hidden="1">
      <c r="A131" s="1401"/>
      <c r="B131" s="1394">
        <f t="shared" si="37"/>
        <v>43</v>
      </c>
      <c r="C131" s="1397" t="s">
        <v>1813</v>
      </c>
      <c r="D131" s="185" t="s">
        <v>186</v>
      </c>
      <c r="E131" s="185" t="s">
        <v>735</v>
      </c>
      <c r="F131" s="185" t="s">
        <v>1896</v>
      </c>
      <c r="G131" s="185" t="s">
        <v>94</v>
      </c>
      <c r="H131" s="185" t="s">
        <v>94</v>
      </c>
      <c r="I131" s="185" t="s">
        <v>305</v>
      </c>
      <c r="J131" s="185" t="s">
        <v>1898</v>
      </c>
      <c r="K131" s="185" t="s">
        <v>188</v>
      </c>
      <c r="L131" s="1390"/>
      <c r="M131" s="1390"/>
      <c r="N131" s="1390"/>
      <c r="O131" s="1390"/>
      <c r="P131" s="1390"/>
      <c r="Q131" s="1390">
        <v>5.0E9</v>
      </c>
      <c r="R131" s="1390"/>
      <c r="S131" s="1390"/>
      <c r="T131" s="1390"/>
      <c r="U131" s="1390"/>
      <c r="V131" s="1390"/>
      <c r="W131" s="1390">
        <v>5.0E9</v>
      </c>
      <c r="X131" s="1391">
        <v>1.0E10</v>
      </c>
      <c r="Y131" s="1392">
        <f t="shared" si="3"/>
        <v>0</v>
      </c>
      <c r="Z131" s="1406">
        <v>0.0</v>
      </c>
      <c r="AA131" s="1406">
        <v>0.0</v>
      </c>
      <c r="AB131" s="1406">
        <v>0.0</v>
      </c>
      <c r="AC131" s="1406">
        <v>0.0</v>
      </c>
      <c r="AD131" s="1406">
        <v>0.0</v>
      </c>
      <c r="AE131" s="1406">
        <v>0.0</v>
      </c>
      <c r="AF131" s="1406">
        <v>0.0</v>
      </c>
      <c r="AG131" s="1406">
        <v>0.0</v>
      </c>
      <c r="AH131" s="1406">
        <v>0.0</v>
      </c>
      <c r="AI131" s="1406">
        <v>0.0</v>
      </c>
      <c r="AJ131" s="1406">
        <v>0.0</v>
      </c>
      <c r="AK131" s="1406">
        <v>0.0</v>
      </c>
      <c r="AL131" s="1406">
        <v>0.0</v>
      </c>
      <c r="AM131" s="1406">
        <v>0.0</v>
      </c>
      <c r="AN131" s="1406">
        <v>0.0</v>
      </c>
      <c r="AO131" s="1406">
        <v>0.0</v>
      </c>
      <c r="AP131" s="1406">
        <v>0.0</v>
      </c>
      <c r="AQ131" s="1406">
        <v>0.0</v>
      </c>
      <c r="AR131" s="1406">
        <v>0.0</v>
      </c>
      <c r="AS131" s="1406">
        <v>0.0</v>
      </c>
      <c r="AT131" s="1406">
        <v>0.0</v>
      </c>
      <c r="AU131" s="1406">
        <v>0.0</v>
      </c>
      <c r="AV131" s="1406">
        <v>0.0</v>
      </c>
      <c r="AW131" s="1406">
        <v>0.0</v>
      </c>
      <c r="AX131" s="1406">
        <v>0.0</v>
      </c>
      <c r="AY131" s="1406">
        <v>0.0</v>
      </c>
      <c r="AZ131" s="1406">
        <v>0.0</v>
      </c>
      <c r="BA131" s="1406">
        <v>0.0</v>
      </c>
      <c r="BB131" s="1406">
        <v>0.0</v>
      </c>
      <c r="BC131" s="1406">
        <v>0.0</v>
      </c>
      <c r="BD131" s="1406">
        <v>0.0</v>
      </c>
      <c r="BE131" s="1406">
        <v>0.0</v>
      </c>
      <c r="BF131" s="1406">
        <v>0.0</v>
      </c>
      <c r="BG131" s="1406">
        <v>0.0</v>
      </c>
      <c r="BH131" s="1406">
        <v>0.0</v>
      </c>
      <c r="BI131" s="1406">
        <v>0.0</v>
      </c>
      <c r="BJ131" s="1406">
        <v>0.0</v>
      </c>
      <c r="BK131" s="1406">
        <v>0.0</v>
      </c>
      <c r="BL131" s="1406">
        <v>0.0</v>
      </c>
      <c r="BM131" s="1406">
        <v>0.0</v>
      </c>
      <c r="BN131" s="1406">
        <v>3.550073599377453E9</v>
      </c>
      <c r="BO131" s="1406">
        <v>0.0</v>
      </c>
      <c r="BP131" s="1406">
        <v>0.0</v>
      </c>
      <c r="BQ131" s="1406">
        <v>5.449101061906313E8</v>
      </c>
      <c r="BR131" s="1406">
        <v>0.0</v>
      </c>
      <c r="BS131" s="1406">
        <v>0.0</v>
      </c>
      <c r="BT131" s="1406">
        <v>0.0</v>
      </c>
      <c r="BU131" s="1406">
        <v>1.8251155532875305E8</v>
      </c>
      <c r="BV131" s="1406">
        <v>0.0</v>
      </c>
      <c r="BW131" s="1406">
        <v>0.0</v>
      </c>
      <c r="BX131" s="1406">
        <v>0.0</v>
      </c>
      <c r="BY131" s="1406">
        <v>0.0</v>
      </c>
      <c r="BZ131" s="1406">
        <v>0.0</v>
      </c>
      <c r="CA131" s="1406">
        <v>0.0</v>
      </c>
      <c r="CB131" s="1406">
        <v>0.0</v>
      </c>
      <c r="CC131" s="1406">
        <v>0.0</v>
      </c>
      <c r="CD131" s="1406">
        <v>0.0</v>
      </c>
      <c r="CE131" s="1406">
        <v>0.0</v>
      </c>
      <c r="CF131" s="1406">
        <v>0.0</v>
      </c>
      <c r="CG131" s="1406">
        <v>0.0</v>
      </c>
      <c r="CH131" s="1406">
        <v>0.0</v>
      </c>
      <c r="CI131" s="1406">
        <v>0.0</v>
      </c>
      <c r="CJ131" s="1406">
        <v>0.0</v>
      </c>
      <c r="CK131" s="1406">
        <v>0.0</v>
      </c>
      <c r="CL131" s="1406">
        <v>0.0</v>
      </c>
      <c r="CM131" s="1406">
        <v>0.0</v>
      </c>
      <c r="CN131" s="1406">
        <v>0.0</v>
      </c>
      <c r="CO131" s="1406">
        <v>0.0</v>
      </c>
      <c r="CP131" s="1406">
        <v>0.0</v>
      </c>
      <c r="CQ131" s="1406">
        <v>0.0</v>
      </c>
      <c r="CR131" s="1406">
        <v>0.0</v>
      </c>
      <c r="CS131" s="1406">
        <v>0.0</v>
      </c>
      <c r="CT131" s="1406">
        <v>0.0</v>
      </c>
      <c r="CU131" s="1406">
        <v>0.0</v>
      </c>
      <c r="CV131" s="1406">
        <v>0.0</v>
      </c>
      <c r="CW131" s="1406">
        <v>0.0</v>
      </c>
      <c r="CX131" s="1406">
        <v>0.0</v>
      </c>
      <c r="CY131" s="1406">
        <v>0.0</v>
      </c>
      <c r="CZ131" s="1406">
        <v>0.0</v>
      </c>
      <c r="DA131" s="1406">
        <v>0.0</v>
      </c>
      <c r="DB131" s="1406">
        <v>0.0</v>
      </c>
      <c r="DC131" s="1406">
        <v>0.0</v>
      </c>
      <c r="DD131" s="1406">
        <v>0.0</v>
      </c>
      <c r="DE131" s="1406">
        <v>0.0</v>
      </c>
      <c r="DF131" s="1406">
        <v>0.0</v>
      </c>
      <c r="DG131" s="1406">
        <v>0.0</v>
      </c>
      <c r="DH131" s="1406">
        <v>0.0</v>
      </c>
      <c r="DI131" s="1406">
        <v>0.0</v>
      </c>
      <c r="DJ131" s="1406">
        <v>3.6055088452317557E9</v>
      </c>
      <c r="DK131" s="1406">
        <v>0.0</v>
      </c>
      <c r="DL131" s="1406">
        <v>0.0</v>
      </c>
      <c r="DM131" s="1406">
        <v>5.55445325805743E8</v>
      </c>
      <c r="DN131" s="1406">
        <v>0.0</v>
      </c>
      <c r="DO131" s="1406">
        <v>0.0</v>
      </c>
      <c r="DP131" s="1406">
        <v>0.0</v>
      </c>
      <c r="DQ131" s="1406">
        <v>1.8770611330005375E8</v>
      </c>
      <c r="DR131" s="1379">
        <f t="shared" si="36"/>
        <v>8626155545</v>
      </c>
    </row>
    <row r="132" hidden="1">
      <c r="A132" s="1401"/>
      <c r="B132" s="1394">
        <f t="shared" si="37"/>
        <v>44</v>
      </c>
      <c r="C132" s="1389" t="s">
        <v>967</v>
      </c>
      <c r="D132" s="185" t="s">
        <v>186</v>
      </c>
      <c r="E132" s="185" t="s">
        <v>735</v>
      </c>
      <c r="F132" s="185" t="s">
        <v>1896</v>
      </c>
      <c r="G132" s="185" t="s">
        <v>203</v>
      </c>
      <c r="H132" s="185" t="s">
        <v>135</v>
      </c>
      <c r="I132" s="185" t="s">
        <v>135</v>
      </c>
      <c r="J132" s="185" t="s">
        <v>1898</v>
      </c>
      <c r="K132" s="185" t="s">
        <v>188</v>
      </c>
      <c r="L132" s="1390">
        <v>7.8125E7</v>
      </c>
      <c r="M132" s="1390">
        <v>7.8125E7</v>
      </c>
      <c r="N132" s="1390">
        <v>7.8125E7</v>
      </c>
      <c r="O132" s="1390">
        <v>7.8125E7</v>
      </c>
      <c r="P132" s="1390">
        <v>7.8125E7</v>
      </c>
      <c r="Q132" s="1390">
        <v>7.8125E7</v>
      </c>
      <c r="R132" s="1390">
        <v>7.8125E7</v>
      </c>
      <c r="S132" s="1390">
        <v>7.8125E7</v>
      </c>
      <c r="T132" s="1390">
        <v>7.8125E7</v>
      </c>
      <c r="U132" s="1390">
        <v>7.8125E7</v>
      </c>
      <c r="V132" s="1390">
        <v>7.8125E7</v>
      </c>
      <c r="W132" s="1390">
        <v>7.8125E7</v>
      </c>
      <c r="X132" s="1391">
        <v>9.375E8</v>
      </c>
      <c r="Y132" s="1392">
        <f t="shared" si="3"/>
        <v>0</v>
      </c>
      <c r="Z132" s="1393">
        <v>1328759.328066208</v>
      </c>
      <c r="AA132" s="1393">
        <v>0.0</v>
      </c>
      <c r="AB132" s="1393">
        <v>0.0</v>
      </c>
      <c r="AC132" s="1393">
        <v>5.684130989254584E7</v>
      </c>
      <c r="AD132" s="1393">
        <v>0.0</v>
      </c>
      <c r="AE132" s="1393">
        <v>0.0</v>
      </c>
      <c r="AF132" s="1393">
        <v>0.0</v>
      </c>
      <c r="AG132" s="1393">
        <v>5869592.257181432</v>
      </c>
      <c r="AH132" s="1393">
        <v>1313014.5908396123</v>
      </c>
      <c r="AI132" s="1393">
        <v>0.0</v>
      </c>
      <c r="AJ132" s="1393">
        <v>0.0</v>
      </c>
      <c r="AK132" s="1393">
        <v>5.615592894548802E7</v>
      </c>
      <c r="AL132" s="1393">
        <v>0.0</v>
      </c>
      <c r="AM132" s="1393">
        <v>0.0</v>
      </c>
      <c r="AN132" s="1393">
        <v>0.0</v>
      </c>
      <c r="AO132" s="1393">
        <v>5800042.274905048</v>
      </c>
      <c r="AP132" s="1393">
        <v>1647625.990276084</v>
      </c>
      <c r="AQ132" s="1393">
        <v>0.0</v>
      </c>
      <c r="AR132" s="1393">
        <v>0.0</v>
      </c>
      <c r="AS132" s="1393">
        <v>7.037481686030126E7</v>
      </c>
      <c r="AT132" s="1393">
        <v>0.0</v>
      </c>
      <c r="AU132" s="1393">
        <v>0.0</v>
      </c>
      <c r="AV132" s="1393">
        <v>0.0</v>
      </c>
      <c r="AW132" s="1393">
        <v>7278137.245011701</v>
      </c>
      <c r="AX132" s="1393">
        <v>1370356.9103250743</v>
      </c>
      <c r="AY132" s="1393">
        <v>0.0</v>
      </c>
      <c r="AZ132" s="1393">
        <v>0.0</v>
      </c>
      <c r="BA132" s="1393">
        <v>5.859245089827782E7</v>
      </c>
      <c r="BB132" s="1393">
        <v>0.0</v>
      </c>
      <c r="BC132" s="1393">
        <v>0.0</v>
      </c>
      <c r="BD132" s="1393">
        <v>0.0</v>
      </c>
      <c r="BE132" s="1393">
        <v>6053343.250748825</v>
      </c>
      <c r="BF132" s="1393">
        <v>1309430.8853633078</v>
      </c>
      <c r="BG132" s="1393">
        <v>0.0</v>
      </c>
      <c r="BH132" s="1393">
        <v>0.0</v>
      </c>
      <c r="BI132" s="1393">
        <v>5.599722895936984E7</v>
      </c>
      <c r="BJ132" s="1393">
        <v>0.0</v>
      </c>
      <c r="BK132" s="1393">
        <v>0.0</v>
      </c>
      <c r="BL132" s="1393">
        <v>0.0</v>
      </c>
      <c r="BM132" s="1393">
        <v>5784211.80096486</v>
      </c>
      <c r="BN132" s="1393">
        <v>1369115.835535574</v>
      </c>
      <c r="BO132" s="1393">
        <v>0.0</v>
      </c>
      <c r="BP132" s="1393">
        <v>0.0</v>
      </c>
      <c r="BQ132" s="1393">
        <v>5.853583836579342E7</v>
      </c>
      <c r="BR132" s="1393">
        <v>0.0</v>
      </c>
      <c r="BS132" s="1393">
        <v>0.0</v>
      </c>
      <c r="BT132" s="1393">
        <v>0.0</v>
      </c>
      <c r="BU132" s="1393">
        <v>6047860.991605905</v>
      </c>
      <c r="BV132" s="1393">
        <v>1255230.507283229</v>
      </c>
      <c r="BW132" s="1393">
        <v>0.0</v>
      </c>
      <c r="BX132" s="1393">
        <v>0.0</v>
      </c>
      <c r="BY132" s="1393">
        <v>5.3628268317848645E7</v>
      </c>
      <c r="BZ132" s="1393">
        <v>0.0</v>
      </c>
      <c r="CA132" s="1393">
        <v>0.0</v>
      </c>
      <c r="CB132" s="1393">
        <v>0.0</v>
      </c>
      <c r="CC132" s="1393">
        <v>5544789.873460403</v>
      </c>
      <c r="CD132" s="1393">
        <v>1227976.6846299546</v>
      </c>
      <c r="CE132" s="1393">
        <v>0.0</v>
      </c>
      <c r="CF132" s="1393">
        <v>0.0</v>
      </c>
      <c r="CG132" s="1393">
        <v>5.246019865641109E7</v>
      </c>
      <c r="CH132" s="1393">
        <v>0.0</v>
      </c>
      <c r="CI132" s="1393">
        <v>0.0</v>
      </c>
      <c r="CJ132" s="1393">
        <v>0.0</v>
      </c>
      <c r="CK132" s="1393">
        <v>5424400.256585945</v>
      </c>
      <c r="CL132" s="1393">
        <v>1487511.7915343738</v>
      </c>
      <c r="CM132" s="1393">
        <v>0.0</v>
      </c>
      <c r="CN132" s="1393">
        <v>0.0</v>
      </c>
      <c r="CO132" s="1393">
        <v>6.357741074477123E7</v>
      </c>
      <c r="CP132" s="1393">
        <v>0.0</v>
      </c>
      <c r="CQ132" s="1393">
        <v>0.0</v>
      </c>
      <c r="CR132" s="1393">
        <v>0.0</v>
      </c>
      <c r="CS132" s="1393">
        <v>6570857.121855854</v>
      </c>
      <c r="CT132" s="1393">
        <v>1503813.425349634</v>
      </c>
      <c r="CU132" s="1393">
        <v>0.0</v>
      </c>
      <c r="CV132" s="1393">
        <v>0.0</v>
      </c>
      <c r="CW132" s="1393">
        <v>6.427728534458107E7</v>
      </c>
      <c r="CX132" s="1393">
        <v>0.0</v>
      </c>
      <c r="CY132" s="1393">
        <v>0.0</v>
      </c>
      <c r="CZ132" s="1393">
        <v>0.0</v>
      </c>
      <c r="DA132" s="1393">
        <v>6642867.110121154</v>
      </c>
      <c r="DB132" s="1393">
        <v>1408447.4320591597</v>
      </c>
      <c r="DC132" s="1393">
        <v>0.0</v>
      </c>
      <c r="DD132" s="1393">
        <v>0.0</v>
      </c>
      <c r="DE132" s="1393">
        <v>6.021648828356198E7</v>
      </c>
      <c r="DF132" s="1393">
        <v>0.0</v>
      </c>
      <c r="DG132" s="1393">
        <v>0.0</v>
      </c>
      <c r="DH132" s="1393">
        <v>0.0</v>
      </c>
      <c r="DI132" s="1393">
        <v>6221602.337793405</v>
      </c>
      <c r="DJ132" s="1393">
        <v>1391213.5216125906</v>
      </c>
      <c r="DK132" s="1393">
        <v>0.0</v>
      </c>
      <c r="DL132" s="1393">
        <v>0.0</v>
      </c>
      <c r="DM132" s="1393">
        <v>5.9465427868436426E7</v>
      </c>
      <c r="DN132" s="1393">
        <v>0.0</v>
      </c>
      <c r="DO132" s="1393">
        <v>0.0</v>
      </c>
      <c r="DP132" s="1393">
        <v>0.0</v>
      </c>
      <c r="DQ132" s="1393">
        <v>6145474.159287703</v>
      </c>
      <c r="DR132" s="1379">
        <f t="shared" si="36"/>
        <v>800118328.7</v>
      </c>
    </row>
    <row r="133" hidden="1">
      <c r="A133" s="1401">
        <v>13.0</v>
      </c>
      <c r="B133" s="1402" t="s">
        <v>43</v>
      </c>
      <c r="C133" s="7"/>
      <c r="D133" s="1225"/>
      <c r="E133" s="1225"/>
      <c r="F133" s="1225"/>
      <c r="G133" s="1225"/>
      <c r="H133" s="1225"/>
      <c r="I133" s="1225"/>
      <c r="J133" s="1225"/>
      <c r="K133" s="1225"/>
      <c r="L133" s="1396">
        <f t="shared" ref="L133:X133" si="38">L134+L135+L136+L137+L138</f>
        <v>179415096.7</v>
      </c>
      <c r="M133" s="1396">
        <f t="shared" si="38"/>
        <v>179415096.7</v>
      </c>
      <c r="N133" s="1396">
        <f t="shared" si="38"/>
        <v>179415096.7</v>
      </c>
      <c r="O133" s="1396">
        <f t="shared" si="38"/>
        <v>179415096.7</v>
      </c>
      <c r="P133" s="1396">
        <f t="shared" si="38"/>
        <v>179415096.7</v>
      </c>
      <c r="Q133" s="1396">
        <f t="shared" si="38"/>
        <v>179415096.7</v>
      </c>
      <c r="R133" s="1396">
        <f t="shared" si="38"/>
        <v>179415096.7</v>
      </c>
      <c r="S133" s="1396">
        <f t="shared" si="38"/>
        <v>179415096.7</v>
      </c>
      <c r="T133" s="1396">
        <f t="shared" si="38"/>
        <v>179415096.7</v>
      </c>
      <c r="U133" s="1396">
        <f t="shared" si="38"/>
        <v>179415096.7</v>
      </c>
      <c r="V133" s="1396">
        <f t="shared" si="38"/>
        <v>179415096.7</v>
      </c>
      <c r="W133" s="1396">
        <f t="shared" si="38"/>
        <v>179415096.7</v>
      </c>
      <c r="X133" s="1396">
        <f t="shared" si="38"/>
        <v>2152981161</v>
      </c>
      <c r="Y133" s="1392">
        <f t="shared" si="3"/>
        <v>-0.0000004768371582</v>
      </c>
    </row>
    <row r="134" hidden="1">
      <c r="A134" s="1401"/>
      <c r="B134" s="1388">
        <v>1.0</v>
      </c>
      <c r="C134" s="1389" t="s">
        <v>1222</v>
      </c>
      <c r="D134" s="185" t="s">
        <v>186</v>
      </c>
      <c r="E134" s="185" t="str">
        <f>RIGHT(#REF!,3)</f>
        <v>#REF!</v>
      </c>
      <c r="F134" s="185" t="str">
        <f>IFERROR(VLOOKUP(I5,[1]Coding!$C$3:$E$42,3,0),0)</f>
        <v>#ERROR!</v>
      </c>
      <c r="G134" s="185" t="s">
        <v>86</v>
      </c>
      <c r="H134" s="185" t="s">
        <v>86</v>
      </c>
      <c r="I134" s="185" t="s">
        <v>103</v>
      </c>
      <c r="J134" s="185" t="s">
        <v>1889</v>
      </c>
      <c r="K134" s="185" t="str">
        <f>IF(T5="","",VLOOKUP(T5,[2]DB!$F$2:$G$20,2,0))</f>
        <v>#ERROR!</v>
      </c>
      <c r="L134" s="1390">
        <v>5.346654675E7</v>
      </c>
      <c r="M134" s="1390">
        <v>5.346654675E7</v>
      </c>
      <c r="N134" s="1390">
        <v>5.346654675E7</v>
      </c>
      <c r="O134" s="1390">
        <v>5.346654675E7</v>
      </c>
      <c r="P134" s="1390">
        <v>5.346654675E7</v>
      </c>
      <c r="Q134" s="1390">
        <v>5.346654675E7</v>
      </c>
      <c r="R134" s="1390">
        <v>5.346654675E7</v>
      </c>
      <c r="S134" s="1390">
        <v>5.346654675E7</v>
      </c>
      <c r="T134" s="1390">
        <v>5.346654675E7</v>
      </c>
      <c r="U134" s="1390">
        <v>5.346654675E7</v>
      </c>
      <c r="V134" s="1390">
        <v>5.346654675E7</v>
      </c>
      <c r="W134" s="1390">
        <v>5.346654675E7</v>
      </c>
      <c r="X134" s="1391">
        <f>SUM(L134:W134)</f>
        <v>641598561</v>
      </c>
      <c r="Y134" s="1392">
        <f t="shared" si="3"/>
        <v>0</v>
      </c>
      <c r="Z134" s="1393">
        <v>6607478.638572744</v>
      </c>
      <c r="AA134" s="1393">
        <v>0.0</v>
      </c>
      <c r="AB134" s="1393">
        <v>0.0</v>
      </c>
      <c r="AC134" s="1393">
        <v>3.681700211224082E7</v>
      </c>
      <c r="AD134" s="1393">
        <v>0.0</v>
      </c>
      <c r="AE134" s="1393">
        <v>0.0</v>
      </c>
      <c r="AF134" s="1393">
        <v>0.0</v>
      </c>
      <c r="AG134" s="1393">
        <v>2146149.727132736</v>
      </c>
      <c r="AH134" s="1393">
        <v>6740475.373523853</v>
      </c>
      <c r="AI134" s="1393">
        <v>0.0</v>
      </c>
      <c r="AJ134" s="1393">
        <v>0.0</v>
      </c>
      <c r="AK134" s="1393">
        <v>3.746285105371266E7</v>
      </c>
      <c r="AL134" s="1393">
        <v>0.0</v>
      </c>
      <c r="AM134" s="1393">
        <v>0.0</v>
      </c>
      <c r="AN134" s="1393">
        <v>0.0</v>
      </c>
      <c r="AO134" s="1393">
        <v>2189347.8851651507</v>
      </c>
      <c r="AP134" s="1393">
        <v>7406974.955458141</v>
      </c>
      <c r="AQ134" s="1393">
        <v>0.0</v>
      </c>
      <c r="AR134" s="1393">
        <v>0.0</v>
      </c>
      <c r="AS134" s="1393">
        <v>4.110150953853248E7</v>
      </c>
      <c r="AT134" s="1393">
        <v>0.0</v>
      </c>
      <c r="AU134" s="1393">
        <v>0.0</v>
      </c>
      <c r="AV134" s="1393">
        <v>0.0</v>
      </c>
      <c r="AW134" s="1393">
        <v>2405831.0513084363</v>
      </c>
      <c r="AX134" s="1393">
        <v>6883629.672690996</v>
      </c>
      <c r="AY134" s="1393">
        <v>0.0</v>
      </c>
      <c r="AZ134" s="1393">
        <v>0.0</v>
      </c>
      <c r="BA134" s="1393">
        <v>3.822246500785985E7</v>
      </c>
      <c r="BB134" s="1393">
        <v>0.0</v>
      </c>
      <c r="BC134" s="1393">
        <v>0.0</v>
      </c>
      <c r="BD134" s="1393">
        <v>0.0</v>
      </c>
      <c r="BE134" s="1393">
        <v>2235845.2825690424</v>
      </c>
      <c r="BF134" s="1393">
        <v>6810508.496981518</v>
      </c>
      <c r="BG134" s="1393">
        <v>0.0</v>
      </c>
      <c r="BH134" s="1393">
        <v>0.0</v>
      </c>
      <c r="BI134" s="1393">
        <v>3.7820025861271225E7</v>
      </c>
      <c r="BJ134" s="1393">
        <v>0.0</v>
      </c>
      <c r="BK134" s="1393">
        <v>0.0</v>
      </c>
      <c r="BL134" s="1393">
        <v>0.0</v>
      </c>
      <c r="BM134" s="1393">
        <v>2212095.0746787875</v>
      </c>
      <c r="BN134" s="1393">
        <v>6912521.748931012</v>
      </c>
      <c r="BO134" s="1393">
        <v>0.0</v>
      </c>
      <c r="BP134" s="1393">
        <v>0.0</v>
      </c>
      <c r="BQ134" s="1393">
        <v>3.837862548391557E7</v>
      </c>
      <c r="BR134" s="1393">
        <v>0.0</v>
      </c>
      <c r="BS134" s="1393">
        <v>0.0</v>
      </c>
      <c r="BT134" s="1393">
        <v>0.0</v>
      </c>
      <c r="BU134" s="1393">
        <v>2245229.606746321</v>
      </c>
      <c r="BV134" s="1393">
        <v>7230323.578750624</v>
      </c>
      <c r="BW134" s="1393">
        <v>0.0</v>
      </c>
      <c r="BX134" s="1393">
        <v>0.0</v>
      </c>
      <c r="BY134" s="1393">
        <v>4.012528383868163E7</v>
      </c>
      <c r="BZ134" s="1393">
        <v>0.0</v>
      </c>
      <c r="CA134" s="1393">
        <v>0.0</v>
      </c>
      <c r="CB134" s="1393">
        <v>0.0</v>
      </c>
      <c r="CC134" s="1393">
        <v>2348453.59696371</v>
      </c>
      <c r="CD134" s="1393">
        <v>7275124.790802229</v>
      </c>
      <c r="CE134" s="1393">
        <v>0.0</v>
      </c>
      <c r="CF134" s="1393">
        <v>0.0</v>
      </c>
      <c r="CG134" s="1393">
        <v>4.037143787189973E7</v>
      </c>
      <c r="CH134" s="1393">
        <v>0.0</v>
      </c>
      <c r="CI134" s="1393">
        <v>0.0</v>
      </c>
      <c r="CJ134" s="1393">
        <v>0.0</v>
      </c>
      <c r="CK134" s="1393">
        <v>2363005.306364399</v>
      </c>
      <c r="CL134" s="1393">
        <v>7037701.729967427</v>
      </c>
      <c r="CM134" s="1393">
        <v>0.0</v>
      </c>
      <c r="CN134" s="1393">
        <v>0.0</v>
      </c>
      <c r="CO134" s="1393">
        <v>3.9064032451314755E7</v>
      </c>
      <c r="CP134" s="1393">
        <v>0.0</v>
      </c>
      <c r="CQ134" s="1393">
        <v>0.0</v>
      </c>
      <c r="CR134" s="1393">
        <v>0.0</v>
      </c>
      <c r="CS134" s="1393">
        <v>2285888.8349995073</v>
      </c>
      <c r="CT134" s="1393">
        <v>7022057.553272708</v>
      </c>
      <c r="CU134" s="1393">
        <v>0.0</v>
      </c>
      <c r="CV134" s="1393">
        <v>0.0</v>
      </c>
      <c r="CW134" s="1393">
        <v>3.897805013057805E7</v>
      </c>
      <c r="CX134" s="1393">
        <v>0.0</v>
      </c>
      <c r="CY134" s="1393">
        <v>0.0</v>
      </c>
      <c r="CZ134" s="1393">
        <v>0.0</v>
      </c>
      <c r="DA134" s="1393">
        <v>2280807.510127931</v>
      </c>
      <c r="DB134" s="1393">
        <v>6906880.835802864</v>
      </c>
      <c r="DC134" s="1393">
        <v>0.0</v>
      </c>
      <c r="DD134" s="1393">
        <v>0.0</v>
      </c>
      <c r="DE134" s="1393">
        <v>3.8344864411055185E7</v>
      </c>
      <c r="DF134" s="1393">
        <v>0.0</v>
      </c>
      <c r="DG134" s="1393">
        <v>0.0</v>
      </c>
      <c r="DH134" s="1393">
        <v>0.0</v>
      </c>
      <c r="DI134" s="1393">
        <v>2243397.403445642</v>
      </c>
      <c r="DJ134" s="1393">
        <v>7014956.506712483</v>
      </c>
      <c r="DK134" s="1393">
        <v>0.0</v>
      </c>
      <c r="DL134" s="1393">
        <v>0.0</v>
      </c>
      <c r="DM134" s="1393">
        <v>3.8938861601277016E7</v>
      </c>
      <c r="DN134" s="1393">
        <v>0.0</v>
      </c>
      <c r="DO134" s="1393">
        <v>0.0</v>
      </c>
      <c r="DP134" s="1393">
        <v>0.0</v>
      </c>
      <c r="DQ134" s="1393">
        <v>2278501.0465022116</v>
      </c>
      <c r="DR134" s="1379">
        <f t="shared" ref="DR134:DR138" si="39">SUM(Z134:DQ134)</f>
        <v>576708195.6</v>
      </c>
    </row>
    <row r="135" hidden="1">
      <c r="A135" s="1401"/>
      <c r="B135" s="1394">
        <f t="shared" ref="B135:B138" si="40">B134+1</f>
        <v>2</v>
      </c>
      <c r="C135" s="1389" t="s">
        <v>1229</v>
      </c>
      <c r="D135" s="185" t="s">
        <v>186</v>
      </c>
      <c r="E135" s="185" t="s">
        <v>1221</v>
      </c>
      <c r="F135" s="185" t="s">
        <v>1896</v>
      </c>
      <c r="G135" s="185" t="s">
        <v>86</v>
      </c>
      <c r="H135" s="185" t="s">
        <v>86</v>
      </c>
      <c r="I135" s="185" t="s">
        <v>103</v>
      </c>
      <c r="J135" s="185" t="s">
        <v>1889</v>
      </c>
      <c r="K135" s="185" t="s">
        <v>188</v>
      </c>
      <c r="L135" s="1390">
        <v>2.35510510510511E7</v>
      </c>
      <c r="M135" s="1390">
        <v>2.35510510510511E7</v>
      </c>
      <c r="N135" s="1390">
        <v>2.35510510510511E7</v>
      </c>
      <c r="O135" s="1390">
        <v>2.35510510510511E7</v>
      </c>
      <c r="P135" s="1390">
        <v>2.35510510510511E7</v>
      </c>
      <c r="Q135" s="1390">
        <v>2.35510510510511E7</v>
      </c>
      <c r="R135" s="1390">
        <v>2.35510510510511E7</v>
      </c>
      <c r="S135" s="1390">
        <v>2.35510510510511E7</v>
      </c>
      <c r="T135" s="1390">
        <v>2.35510510510511E7</v>
      </c>
      <c r="U135" s="1390">
        <v>2.35510510510511E7</v>
      </c>
      <c r="V135" s="1390">
        <v>2.35510510510511E7</v>
      </c>
      <c r="W135" s="1390">
        <v>2.35510510510511E7</v>
      </c>
      <c r="X135" s="1391">
        <v>2.8261261261261326E8</v>
      </c>
      <c r="Y135" s="1392">
        <f t="shared" si="3"/>
        <v>0</v>
      </c>
      <c r="Z135" s="1393">
        <v>2910475.3569250535</v>
      </c>
      <c r="AA135" s="1393">
        <v>0.0</v>
      </c>
      <c r="AB135" s="1393">
        <v>0.0</v>
      </c>
      <c r="AC135" s="1393">
        <v>1.6217226452763937E7</v>
      </c>
      <c r="AD135" s="1393">
        <v>0.0</v>
      </c>
      <c r="AE135" s="1393">
        <v>0.0</v>
      </c>
      <c r="AF135" s="1393">
        <v>0.0</v>
      </c>
      <c r="AG135" s="1393">
        <v>945340.3082723394</v>
      </c>
      <c r="AH135" s="1393">
        <v>2969058.023748523</v>
      </c>
      <c r="AI135" s="1393">
        <v>0.0</v>
      </c>
      <c r="AJ135" s="1393">
        <v>0.0</v>
      </c>
      <c r="AK135" s="1393">
        <v>1.650171128143619E7</v>
      </c>
      <c r="AL135" s="1393">
        <v>0.0</v>
      </c>
      <c r="AM135" s="1393">
        <v>0.0</v>
      </c>
      <c r="AN135" s="1393">
        <v>0.0</v>
      </c>
      <c r="AO135" s="1393">
        <v>964368.3190000525</v>
      </c>
      <c r="AP135" s="1393">
        <v>3262639.08768059</v>
      </c>
      <c r="AQ135" s="1393">
        <v>0.0</v>
      </c>
      <c r="AR135" s="1393">
        <v>0.0</v>
      </c>
      <c r="AS135" s="1393">
        <v>1.8104474821300145E7</v>
      </c>
      <c r="AT135" s="1393">
        <v>0.0</v>
      </c>
      <c r="AU135" s="1393">
        <v>0.0</v>
      </c>
      <c r="AV135" s="1393">
        <v>0.0</v>
      </c>
      <c r="AW135" s="1393">
        <v>1059725.2553919414</v>
      </c>
      <c r="AX135" s="1393">
        <v>3032114.914698055</v>
      </c>
      <c r="AY135" s="1393">
        <v>0.0</v>
      </c>
      <c r="AZ135" s="1393">
        <v>0.0</v>
      </c>
      <c r="BA135" s="1393">
        <v>1.6836307549582332E7</v>
      </c>
      <c r="BB135" s="1393">
        <v>0.0</v>
      </c>
      <c r="BC135" s="1393">
        <v>0.0</v>
      </c>
      <c r="BD135" s="1393">
        <v>0.0</v>
      </c>
      <c r="BE135" s="1393">
        <v>984849.5852602503</v>
      </c>
      <c r="BF135" s="1393">
        <v>2999906.353518689</v>
      </c>
      <c r="BG135" s="1393">
        <v>0.0</v>
      </c>
      <c r="BH135" s="1393">
        <v>0.0</v>
      </c>
      <c r="BI135" s="1393">
        <v>1.6659040352383923E7</v>
      </c>
      <c r="BJ135" s="1393">
        <v>0.0</v>
      </c>
      <c r="BK135" s="1393">
        <v>0.0</v>
      </c>
      <c r="BL135" s="1393">
        <v>0.0</v>
      </c>
      <c r="BM135" s="1393">
        <v>974388.0463635669</v>
      </c>
      <c r="BN135" s="1393">
        <v>3044841.3540112404</v>
      </c>
      <c r="BO135" s="1393">
        <v>0.0</v>
      </c>
      <c r="BP135" s="1393">
        <v>0.0</v>
      </c>
      <c r="BQ135" s="1393">
        <v>1.6905093427244134E7</v>
      </c>
      <c r="BR135" s="1393">
        <v>0.0</v>
      </c>
      <c r="BS135" s="1393">
        <v>0.0</v>
      </c>
      <c r="BT135" s="1393">
        <v>0.0</v>
      </c>
      <c r="BU135" s="1393">
        <v>988983.2110732677</v>
      </c>
      <c r="BV135" s="1393">
        <v>3184827.3372690645</v>
      </c>
      <c r="BW135" s="1393">
        <v>0.0</v>
      </c>
      <c r="BX135" s="1393">
        <v>0.0</v>
      </c>
      <c r="BY135" s="1393">
        <v>1.767446497978115E7</v>
      </c>
      <c r="BZ135" s="1393">
        <v>0.0</v>
      </c>
      <c r="CA135" s="1393">
        <v>0.0</v>
      </c>
      <c r="CB135" s="1393">
        <v>0.0</v>
      </c>
      <c r="CC135" s="1393">
        <v>1034451.5199706053</v>
      </c>
      <c r="CD135" s="1393">
        <v>3204561.4644254306</v>
      </c>
      <c r="CE135" s="1393">
        <v>0.0</v>
      </c>
      <c r="CF135" s="1393">
        <v>0.0</v>
      </c>
      <c r="CG135" s="1393">
        <v>1.7782891398824975E7</v>
      </c>
      <c r="CH135" s="1393">
        <v>0.0</v>
      </c>
      <c r="CI135" s="1393">
        <v>0.0</v>
      </c>
      <c r="CJ135" s="1393">
        <v>0.0</v>
      </c>
      <c r="CK135" s="1393">
        <v>1040861.2859234752</v>
      </c>
      <c r="CL135" s="1393">
        <v>3099980.88149453</v>
      </c>
      <c r="CM135" s="1393">
        <v>0.0</v>
      </c>
      <c r="CN135" s="1393">
        <v>0.0</v>
      </c>
      <c r="CO135" s="1393">
        <v>1.720700285400105E7</v>
      </c>
      <c r="CP135" s="1393">
        <v>0.0</v>
      </c>
      <c r="CQ135" s="1393">
        <v>0.0</v>
      </c>
      <c r="CR135" s="1393">
        <v>0.0</v>
      </c>
      <c r="CS135" s="1393">
        <v>1006892.8689526992</v>
      </c>
      <c r="CT135" s="1393">
        <v>3093089.903371112</v>
      </c>
      <c r="CU135" s="1393">
        <v>0.0</v>
      </c>
      <c r="CV135" s="1393">
        <v>0.0</v>
      </c>
      <c r="CW135" s="1393">
        <v>1.7169129190032694E7</v>
      </c>
      <c r="CX135" s="1393">
        <v>0.0</v>
      </c>
      <c r="CY135" s="1393">
        <v>0.0</v>
      </c>
      <c r="CZ135" s="1393">
        <v>0.0</v>
      </c>
      <c r="DA135" s="1393">
        <v>1004654.6368481083</v>
      </c>
      <c r="DB135" s="1393">
        <v>3042356.6333563467</v>
      </c>
      <c r="DC135" s="1393">
        <v>0.0</v>
      </c>
      <c r="DD135" s="1393">
        <v>0.0</v>
      </c>
      <c r="DE135" s="1393">
        <v>1.689022228259754E7</v>
      </c>
      <c r="DF135" s="1393">
        <v>0.0</v>
      </c>
      <c r="DG135" s="1393">
        <v>0.0</v>
      </c>
      <c r="DH135" s="1393">
        <v>0.0</v>
      </c>
      <c r="DI135" s="1393">
        <v>988176.1585124963</v>
      </c>
      <c r="DJ135" s="1393">
        <v>3089962.0202325624</v>
      </c>
      <c r="DK135" s="1393">
        <v>0.0</v>
      </c>
      <c r="DL135" s="1393">
        <v>0.0</v>
      </c>
      <c r="DM135" s="1393">
        <v>1.715186734855825E7</v>
      </c>
      <c r="DN135" s="1393">
        <v>0.0</v>
      </c>
      <c r="DO135" s="1393">
        <v>0.0</v>
      </c>
      <c r="DP135" s="1393">
        <v>0.0</v>
      </c>
      <c r="DQ135" s="1393">
        <v>1003638.6811543413</v>
      </c>
      <c r="DR135" s="1379">
        <f t="shared" si="39"/>
        <v>254029575.1</v>
      </c>
    </row>
    <row r="136" hidden="1">
      <c r="A136" s="1401"/>
      <c r="B136" s="1394">
        <f t="shared" si="40"/>
        <v>3</v>
      </c>
      <c r="C136" s="1389" t="s">
        <v>1234</v>
      </c>
      <c r="D136" s="185" t="s">
        <v>186</v>
      </c>
      <c r="E136" s="185" t="s">
        <v>1221</v>
      </c>
      <c r="F136" s="185" t="s">
        <v>1896</v>
      </c>
      <c r="G136" s="185" t="s">
        <v>86</v>
      </c>
      <c r="H136" s="185" t="s">
        <v>86</v>
      </c>
      <c r="I136" s="185" t="s">
        <v>103</v>
      </c>
      <c r="J136" s="185" t="s">
        <v>1889</v>
      </c>
      <c r="K136" s="185" t="s">
        <v>188</v>
      </c>
      <c r="L136" s="1390">
        <v>2.40415314564565E7</v>
      </c>
      <c r="M136" s="1390">
        <v>2.40415314564565E7</v>
      </c>
      <c r="N136" s="1390">
        <v>2.40415314564565E7</v>
      </c>
      <c r="O136" s="1390">
        <v>2.40415314564565E7</v>
      </c>
      <c r="P136" s="1390">
        <v>2.40415314564565E7</v>
      </c>
      <c r="Q136" s="1390">
        <v>2.40415314564565E7</v>
      </c>
      <c r="R136" s="1390">
        <v>2.40415314564565E7</v>
      </c>
      <c r="S136" s="1390">
        <v>2.40415314564565E7</v>
      </c>
      <c r="T136" s="1390">
        <v>2.40415314564565E7</v>
      </c>
      <c r="U136" s="1390">
        <v>2.40415314564565E7</v>
      </c>
      <c r="V136" s="1390">
        <v>2.40415314564565E7</v>
      </c>
      <c r="W136" s="1390">
        <v>2.40415314564565E7</v>
      </c>
      <c r="X136" s="1391">
        <v>2.884983774774781E8</v>
      </c>
      <c r="Y136" s="1392">
        <f t="shared" si="3"/>
        <v>0</v>
      </c>
      <c r="Z136" s="1393">
        <v>2971089.684918</v>
      </c>
      <c r="AA136" s="1393">
        <v>0.0</v>
      </c>
      <c r="AB136" s="1393">
        <v>0.0</v>
      </c>
      <c r="AC136" s="1393">
        <v>1.6554970691348476E7</v>
      </c>
      <c r="AD136" s="1393">
        <v>0.0</v>
      </c>
      <c r="AE136" s="1393">
        <v>0.0</v>
      </c>
      <c r="AF136" s="1393">
        <v>0.0</v>
      </c>
      <c r="AG136" s="1393">
        <v>965028.2150516333</v>
      </c>
      <c r="AH136" s="1393">
        <v>3030892.409823421</v>
      </c>
      <c r="AI136" s="1393">
        <v>0.0</v>
      </c>
      <c r="AJ136" s="1393">
        <v>0.0</v>
      </c>
      <c r="AK136" s="1393">
        <v>1.6845380276151415E7</v>
      </c>
      <c r="AL136" s="1393">
        <v>0.0</v>
      </c>
      <c r="AM136" s="1393">
        <v>0.0</v>
      </c>
      <c r="AN136" s="1393">
        <v>0.0</v>
      </c>
      <c r="AO136" s="1393">
        <v>984452.5081531375</v>
      </c>
      <c r="AP136" s="1393">
        <v>3330587.670482616</v>
      </c>
      <c r="AQ136" s="1393">
        <v>0.0</v>
      </c>
      <c r="AR136" s="1393">
        <v>0.0</v>
      </c>
      <c r="AS136" s="1393">
        <v>1.8481523392540317E7</v>
      </c>
      <c r="AT136" s="1393">
        <v>0.0</v>
      </c>
      <c r="AU136" s="1393">
        <v>0.0</v>
      </c>
      <c r="AV136" s="1393">
        <v>0.0</v>
      </c>
      <c r="AW136" s="1393">
        <v>1081795.3732714483</v>
      </c>
      <c r="AX136" s="1393">
        <v>3095262.5402275105</v>
      </c>
      <c r="AY136" s="1393">
        <v>0.0</v>
      </c>
      <c r="AZ136" s="1393">
        <v>0.0</v>
      </c>
      <c r="BA136" s="1393">
        <v>1.7186944934493463E7</v>
      </c>
      <c r="BB136" s="1393">
        <v>0.0</v>
      </c>
      <c r="BC136" s="1393">
        <v>0.0</v>
      </c>
      <c r="BD136" s="1393">
        <v>0.0</v>
      </c>
      <c r="BE136" s="1393">
        <v>1005360.3226704277</v>
      </c>
      <c r="BF136" s="1393">
        <v>3062383.1950516882</v>
      </c>
      <c r="BG136" s="1393">
        <v>0.0</v>
      </c>
      <c r="BH136" s="1393">
        <v>0.0</v>
      </c>
      <c r="BI136" s="1393">
        <v>1.7005985923857156E7</v>
      </c>
      <c r="BJ136" s="1393">
        <v>0.0</v>
      </c>
      <c r="BK136" s="1393">
        <v>0.0</v>
      </c>
      <c r="BL136" s="1393">
        <v>0.0</v>
      </c>
      <c r="BM136" s="1393">
        <v>994680.9090033959</v>
      </c>
      <c r="BN136" s="1393">
        <v>3108254.0237249313</v>
      </c>
      <c r="BO136" s="1393">
        <v>0.0</v>
      </c>
      <c r="BP136" s="1393">
        <v>0.0</v>
      </c>
      <c r="BQ136" s="1393">
        <v>1.7257163364999242E7</v>
      </c>
      <c r="BR136" s="1393">
        <v>0.0</v>
      </c>
      <c r="BS136" s="1393">
        <v>0.0</v>
      </c>
      <c r="BT136" s="1393">
        <v>0.0</v>
      </c>
      <c r="BU136" s="1393">
        <v>1009580.0364656828</v>
      </c>
      <c r="BV136" s="1393">
        <v>3251155.392018885</v>
      </c>
      <c r="BW136" s="1393">
        <v>0.0</v>
      </c>
      <c r="BX136" s="1393">
        <v>0.0</v>
      </c>
      <c r="BY136" s="1393">
        <v>1.8042558052562278E7</v>
      </c>
      <c r="BZ136" s="1393">
        <v>0.0</v>
      </c>
      <c r="CA136" s="1393">
        <v>0.0</v>
      </c>
      <c r="CB136" s="1393">
        <v>0.0</v>
      </c>
      <c r="CC136" s="1393">
        <v>1055995.2803653148</v>
      </c>
      <c r="CD136" s="1393">
        <v>3271300.5073161623</v>
      </c>
      <c r="CE136" s="1393">
        <v>0.0</v>
      </c>
      <c r="CF136" s="1393">
        <v>0.0</v>
      </c>
      <c r="CG136" s="1393">
        <v>1.815324258882788E7</v>
      </c>
      <c r="CH136" s="1393">
        <v>0.0</v>
      </c>
      <c r="CI136" s="1393">
        <v>0.0</v>
      </c>
      <c r="CJ136" s="1393">
        <v>0.0</v>
      </c>
      <c r="CK136" s="1393">
        <v>1062538.5377957541</v>
      </c>
      <c r="CL136" s="1393">
        <v>3164541.90156147</v>
      </c>
      <c r="CM136" s="1393">
        <v>0.0</v>
      </c>
      <c r="CN136" s="1393">
        <v>0.0</v>
      </c>
      <c r="CO136" s="1393">
        <v>1.7565360437165715E7</v>
      </c>
      <c r="CP136" s="1393">
        <v>0.0</v>
      </c>
      <c r="CQ136" s="1393">
        <v>0.0</v>
      </c>
      <c r="CR136" s="1393">
        <v>0.0</v>
      </c>
      <c r="CS136" s="1393">
        <v>1027862.6856073019</v>
      </c>
      <c r="CT136" s="1393">
        <v>3157507.410108804</v>
      </c>
      <c r="CU136" s="1393">
        <v>0.0</v>
      </c>
      <c r="CV136" s="1393">
        <v>0.0</v>
      </c>
      <c r="CW136" s="1393">
        <v>1.7526698006274935E7</v>
      </c>
      <c r="CX136" s="1393">
        <v>0.0</v>
      </c>
      <c r="CY136" s="1393">
        <v>0.0</v>
      </c>
      <c r="CZ136" s="1393">
        <v>0.0</v>
      </c>
      <c r="DA136" s="1393">
        <v>1025577.8394901272</v>
      </c>
      <c r="DB136" s="1393">
        <v>3105717.555621845</v>
      </c>
      <c r="DC136" s="1393">
        <v>0.0</v>
      </c>
      <c r="DD136" s="1393">
        <v>0.0</v>
      </c>
      <c r="DE136" s="1393">
        <v>1.7241982509969052E7</v>
      </c>
      <c r="DF136" s="1393">
        <v>0.0</v>
      </c>
      <c r="DG136" s="1393">
        <v>0.0</v>
      </c>
      <c r="DH136" s="1393">
        <v>0.0</v>
      </c>
      <c r="DI136" s="1393">
        <v>1008756.176015262</v>
      </c>
      <c r="DJ136" s="1393">
        <v>3154314.3848504177</v>
      </c>
      <c r="DK136" s="1393">
        <v>0.0</v>
      </c>
      <c r="DL136" s="1393">
        <v>0.0</v>
      </c>
      <c r="DM136" s="1393">
        <v>1.7509076665133744E7</v>
      </c>
      <c r="DN136" s="1393">
        <v>0.0</v>
      </c>
      <c r="DO136" s="1393">
        <v>0.0</v>
      </c>
      <c r="DP136" s="1393">
        <v>0.0</v>
      </c>
      <c r="DQ136" s="1393">
        <v>1024540.7252349242</v>
      </c>
      <c r="DR136" s="1379">
        <f t="shared" si="39"/>
        <v>259320062.1</v>
      </c>
    </row>
    <row r="137" hidden="1">
      <c r="A137" s="1401"/>
      <c r="B137" s="1394">
        <f t="shared" si="40"/>
        <v>4</v>
      </c>
      <c r="C137" s="1389" t="s">
        <v>1239</v>
      </c>
      <c r="D137" s="185" t="s">
        <v>186</v>
      </c>
      <c r="E137" s="185" t="s">
        <v>1221</v>
      </c>
      <c r="F137" s="185" t="s">
        <v>1896</v>
      </c>
      <c r="G137" s="185" t="s">
        <v>86</v>
      </c>
      <c r="H137" s="185" t="s">
        <v>86</v>
      </c>
      <c r="I137" s="185" t="s">
        <v>103</v>
      </c>
      <c r="J137" s="185" t="s">
        <v>1889</v>
      </c>
      <c r="K137" s="185" t="s">
        <v>188</v>
      </c>
      <c r="L137" s="1390">
        <v>2.40415314564565E7</v>
      </c>
      <c r="M137" s="1390">
        <v>2.40415314564565E7</v>
      </c>
      <c r="N137" s="1390">
        <v>2.40415314564565E7</v>
      </c>
      <c r="O137" s="1390">
        <v>2.40415314564565E7</v>
      </c>
      <c r="P137" s="1390">
        <v>2.40415314564565E7</v>
      </c>
      <c r="Q137" s="1390">
        <v>2.40415314564565E7</v>
      </c>
      <c r="R137" s="1390">
        <v>2.40415314564565E7</v>
      </c>
      <c r="S137" s="1390">
        <v>2.40415314564565E7</v>
      </c>
      <c r="T137" s="1390">
        <v>2.40415314564565E7</v>
      </c>
      <c r="U137" s="1390">
        <v>2.40415314564565E7</v>
      </c>
      <c r="V137" s="1390">
        <v>2.40415314564565E7</v>
      </c>
      <c r="W137" s="1390">
        <v>2.40415314564565E7</v>
      </c>
      <c r="X137" s="1391">
        <v>2.884983774774781E8</v>
      </c>
      <c r="Y137" s="1392">
        <f t="shared" si="3"/>
        <v>0</v>
      </c>
      <c r="Z137" s="1393">
        <v>2971089.684918</v>
      </c>
      <c r="AA137" s="1393">
        <v>0.0</v>
      </c>
      <c r="AB137" s="1393">
        <v>0.0</v>
      </c>
      <c r="AC137" s="1393">
        <v>1.6554970691348476E7</v>
      </c>
      <c r="AD137" s="1393">
        <v>0.0</v>
      </c>
      <c r="AE137" s="1393">
        <v>0.0</v>
      </c>
      <c r="AF137" s="1393">
        <v>0.0</v>
      </c>
      <c r="AG137" s="1393">
        <v>965028.2150516333</v>
      </c>
      <c r="AH137" s="1393">
        <v>3030892.409823421</v>
      </c>
      <c r="AI137" s="1393">
        <v>0.0</v>
      </c>
      <c r="AJ137" s="1393">
        <v>0.0</v>
      </c>
      <c r="AK137" s="1393">
        <v>1.6845380276151415E7</v>
      </c>
      <c r="AL137" s="1393">
        <v>0.0</v>
      </c>
      <c r="AM137" s="1393">
        <v>0.0</v>
      </c>
      <c r="AN137" s="1393">
        <v>0.0</v>
      </c>
      <c r="AO137" s="1393">
        <v>984452.5081531375</v>
      </c>
      <c r="AP137" s="1393">
        <v>3330587.670482616</v>
      </c>
      <c r="AQ137" s="1393">
        <v>0.0</v>
      </c>
      <c r="AR137" s="1393">
        <v>0.0</v>
      </c>
      <c r="AS137" s="1393">
        <v>1.8481523392540317E7</v>
      </c>
      <c r="AT137" s="1393">
        <v>0.0</v>
      </c>
      <c r="AU137" s="1393">
        <v>0.0</v>
      </c>
      <c r="AV137" s="1393">
        <v>0.0</v>
      </c>
      <c r="AW137" s="1393">
        <v>1081795.3732714483</v>
      </c>
      <c r="AX137" s="1393">
        <v>3095262.5402275105</v>
      </c>
      <c r="AY137" s="1393">
        <v>0.0</v>
      </c>
      <c r="AZ137" s="1393">
        <v>0.0</v>
      </c>
      <c r="BA137" s="1393">
        <v>1.7186944934493463E7</v>
      </c>
      <c r="BB137" s="1393">
        <v>0.0</v>
      </c>
      <c r="BC137" s="1393">
        <v>0.0</v>
      </c>
      <c r="BD137" s="1393">
        <v>0.0</v>
      </c>
      <c r="BE137" s="1393">
        <v>1005360.3226704277</v>
      </c>
      <c r="BF137" s="1393">
        <v>3062383.1950516882</v>
      </c>
      <c r="BG137" s="1393">
        <v>0.0</v>
      </c>
      <c r="BH137" s="1393">
        <v>0.0</v>
      </c>
      <c r="BI137" s="1393">
        <v>1.7005985923857156E7</v>
      </c>
      <c r="BJ137" s="1393">
        <v>0.0</v>
      </c>
      <c r="BK137" s="1393">
        <v>0.0</v>
      </c>
      <c r="BL137" s="1393">
        <v>0.0</v>
      </c>
      <c r="BM137" s="1393">
        <v>994680.9090033959</v>
      </c>
      <c r="BN137" s="1393">
        <v>3108254.0237249313</v>
      </c>
      <c r="BO137" s="1393">
        <v>0.0</v>
      </c>
      <c r="BP137" s="1393">
        <v>0.0</v>
      </c>
      <c r="BQ137" s="1393">
        <v>1.7257163364999242E7</v>
      </c>
      <c r="BR137" s="1393">
        <v>0.0</v>
      </c>
      <c r="BS137" s="1393">
        <v>0.0</v>
      </c>
      <c r="BT137" s="1393">
        <v>0.0</v>
      </c>
      <c r="BU137" s="1393">
        <v>1009580.0364656828</v>
      </c>
      <c r="BV137" s="1393">
        <v>3251155.392018885</v>
      </c>
      <c r="BW137" s="1393">
        <v>0.0</v>
      </c>
      <c r="BX137" s="1393">
        <v>0.0</v>
      </c>
      <c r="BY137" s="1393">
        <v>1.8042558052562278E7</v>
      </c>
      <c r="BZ137" s="1393">
        <v>0.0</v>
      </c>
      <c r="CA137" s="1393">
        <v>0.0</v>
      </c>
      <c r="CB137" s="1393">
        <v>0.0</v>
      </c>
      <c r="CC137" s="1393">
        <v>1055995.2803653148</v>
      </c>
      <c r="CD137" s="1393">
        <v>3271300.5073161623</v>
      </c>
      <c r="CE137" s="1393">
        <v>0.0</v>
      </c>
      <c r="CF137" s="1393">
        <v>0.0</v>
      </c>
      <c r="CG137" s="1393">
        <v>1.815324258882788E7</v>
      </c>
      <c r="CH137" s="1393">
        <v>0.0</v>
      </c>
      <c r="CI137" s="1393">
        <v>0.0</v>
      </c>
      <c r="CJ137" s="1393">
        <v>0.0</v>
      </c>
      <c r="CK137" s="1393">
        <v>1062538.5377957541</v>
      </c>
      <c r="CL137" s="1393">
        <v>3164541.90156147</v>
      </c>
      <c r="CM137" s="1393">
        <v>0.0</v>
      </c>
      <c r="CN137" s="1393">
        <v>0.0</v>
      </c>
      <c r="CO137" s="1393">
        <v>1.7565360437165715E7</v>
      </c>
      <c r="CP137" s="1393">
        <v>0.0</v>
      </c>
      <c r="CQ137" s="1393">
        <v>0.0</v>
      </c>
      <c r="CR137" s="1393">
        <v>0.0</v>
      </c>
      <c r="CS137" s="1393">
        <v>1027862.6856073019</v>
      </c>
      <c r="CT137" s="1393">
        <v>3157507.410108804</v>
      </c>
      <c r="CU137" s="1393">
        <v>0.0</v>
      </c>
      <c r="CV137" s="1393">
        <v>0.0</v>
      </c>
      <c r="CW137" s="1393">
        <v>1.7526698006274935E7</v>
      </c>
      <c r="CX137" s="1393">
        <v>0.0</v>
      </c>
      <c r="CY137" s="1393">
        <v>0.0</v>
      </c>
      <c r="CZ137" s="1393">
        <v>0.0</v>
      </c>
      <c r="DA137" s="1393">
        <v>1025577.8394901272</v>
      </c>
      <c r="DB137" s="1393">
        <v>3105717.555621845</v>
      </c>
      <c r="DC137" s="1393">
        <v>0.0</v>
      </c>
      <c r="DD137" s="1393">
        <v>0.0</v>
      </c>
      <c r="DE137" s="1393">
        <v>1.7241982509969052E7</v>
      </c>
      <c r="DF137" s="1393">
        <v>0.0</v>
      </c>
      <c r="DG137" s="1393">
        <v>0.0</v>
      </c>
      <c r="DH137" s="1393">
        <v>0.0</v>
      </c>
      <c r="DI137" s="1393">
        <v>1008756.176015262</v>
      </c>
      <c r="DJ137" s="1393">
        <v>3154314.3848504177</v>
      </c>
      <c r="DK137" s="1393">
        <v>0.0</v>
      </c>
      <c r="DL137" s="1393">
        <v>0.0</v>
      </c>
      <c r="DM137" s="1393">
        <v>1.7509076665133744E7</v>
      </c>
      <c r="DN137" s="1393">
        <v>0.0</v>
      </c>
      <c r="DO137" s="1393">
        <v>0.0</v>
      </c>
      <c r="DP137" s="1393">
        <v>0.0</v>
      </c>
      <c r="DQ137" s="1393">
        <v>1024540.7252349242</v>
      </c>
      <c r="DR137" s="1379">
        <f t="shared" si="39"/>
        <v>259320062.1</v>
      </c>
    </row>
    <row r="138" hidden="1">
      <c r="A138" s="1401"/>
      <c r="B138" s="1394">
        <f t="shared" si="40"/>
        <v>5</v>
      </c>
      <c r="C138" s="1389" t="s">
        <v>1909</v>
      </c>
      <c r="D138" s="185" t="s">
        <v>186</v>
      </c>
      <c r="E138" s="185" t="s">
        <v>783</v>
      </c>
      <c r="F138" s="185" t="s">
        <v>1896</v>
      </c>
      <c r="G138" s="185" t="s">
        <v>218</v>
      </c>
      <c r="H138" s="185" t="s">
        <v>88</v>
      </c>
      <c r="I138" s="185" t="s">
        <v>88</v>
      </c>
      <c r="J138" s="185" t="s">
        <v>253</v>
      </c>
      <c r="K138" s="185" t="s">
        <v>254</v>
      </c>
      <c r="L138" s="1390">
        <v>5.4314436E7</v>
      </c>
      <c r="M138" s="1390">
        <v>5.4314436E7</v>
      </c>
      <c r="N138" s="1390">
        <v>5.4314436E7</v>
      </c>
      <c r="O138" s="1390">
        <v>5.4314436E7</v>
      </c>
      <c r="P138" s="1390">
        <v>5.4314436E7</v>
      </c>
      <c r="Q138" s="1390">
        <v>5.4314436E7</v>
      </c>
      <c r="R138" s="1390">
        <v>5.4314436E7</v>
      </c>
      <c r="S138" s="1390">
        <v>5.4314436E7</v>
      </c>
      <c r="T138" s="1390">
        <v>5.4314436E7</v>
      </c>
      <c r="U138" s="1390">
        <v>5.4314436E7</v>
      </c>
      <c r="V138" s="1390">
        <v>5.4314436E7</v>
      </c>
      <c r="W138" s="1390">
        <v>5.4314436E7</v>
      </c>
      <c r="X138" s="1391">
        <v>6.51773232E8</v>
      </c>
      <c r="Y138" s="1392">
        <f t="shared" si="3"/>
        <v>0</v>
      </c>
      <c r="Z138" s="1393">
        <v>977226.8099825652</v>
      </c>
      <c r="AA138" s="1393">
        <v>0.0</v>
      </c>
      <c r="AB138" s="1393">
        <v>0.0</v>
      </c>
      <c r="AC138" s="1393">
        <v>4.283402620068061E7</v>
      </c>
      <c r="AD138" s="1393">
        <v>0.0</v>
      </c>
      <c r="AE138" s="1393">
        <v>0.0</v>
      </c>
      <c r="AF138" s="1393">
        <v>0.0</v>
      </c>
      <c r="AG138" s="1393">
        <v>6568325.47406192</v>
      </c>
      <c r="AH138" s="1393">
        <v>977226.8099825652</v>
      </c>
      <c r="AI138" s="1393">
        <v>0.0</v>
      </c>
      <c r="AJ138" s="1393">
        <v>0.0</v>
      </c>
      <c r="AK138" s="1393">
        <v>4.283402620068061E7</v>
      </c>
      <c r="AL138" s="1393">
        <v>0.0</v>
      </c>
      <c r="AM138" s="1393">
        <v>0.0</v>
      </c>
      <c r="AN138" s="1393">
        <v>0.0</v>
      </c>
      <c r="AO138" s="1393">
        <v>6568325.47406192</v>
      </c>
      <c r="AP138" s="1393">
        <v>977226.8099825652</v>
      </c>
      <c r="AQ138" s="1393">
        <v>0.0</v>
      </c>
      <c r="AR138" s="1393">
        <v>0.0</v>
      </c>
      <c r="AS138" s="1393">
        <v>4.283402620068061E7</v>
      </c>
      <c r="AT138" s="1393">
        <v>0.0</v>
      </c>
      <c r="AU138" s="1393">
        <v>0.0</v>
      </c>
      <c r="AV138" s="1393">
        <v>0.0</v>
      </c>
      <c r="AW138" s="1393">
        <v>6568325.47406192</v>
      </c>
      <c r="AX138" s="1393">
        <v>977226.8099825652</v>
      </c>
      <c r="AY138" s="1393">
        <v>0.0</v>
      </c>
      <c r="AZ138" s="1393">
        <v>0.0</v>
      </c>
      <c r="BA138" s="1393">
        <v>4.283402620068061E7</v>
      </c>
      <c r="BB138" s="1393">
        <v>0.0</v>
      </c>
      <c r="BC138" s="1393">
        <v>0.0</v>
      </c>
      <c r="BD138" s="1393">
        <v>0.0</v>
      </c>
      <c r="BE138" s="1393">
        <v>6568325.47406192</v>
      </c>
      <c r="BF138" s="1393">
        <v>977226.8099825652</v>
      </c>
      <c r="BG138" s="1393">
        <v>0.0</v>
      </c>
      <c r="BH138" s="1393">
        <v>0.0</v>
      </c>
      <c r="BI138" s="1393">
        <v>4.283402620068061E7</v>
      </c>
      <c r="BJ138" s="1393">
        <v>0.0</v>
      </c>
      <c r="BK138" s="1393">
        <v>0.0</v>
      </c>
      <c r="BL138" s="1393">
        <v>0.0</v>
      </c>
      <c r="BM138" s="1393">
        <v>6568325.47406192</v>
      </c>
      <c r="BN138" s="1393">
        <v>977226.8099825652</v>
      </c>
      <c r="BO138" s="1393">
        <v>0.0</v>
      </c>
      <c r="BP138" s="1393">
        <v>0.0</v>
      </c>
      <c r="BQ138" s="1393">
        <v>4.283402620068061E7</v>
      </c>
      <c r="BR138" s="1393">
        <v>0.0</v>
      </c>
      <c r="BS138" s="1393">
        <v>0.0</v>
      </c>
      <c r="BT138" s="1393">
        <v>0.0</v>
      </c>
      <c r="BU138" s="1393">
        <v>6568325.47406192</v>
      </c>
      <c r="BV138" s="1393">
        <v>977226.8099825652</v>
      </c>
      <c r="BW138" s="1393">
        <v>0.0</v>
      </c>
      <c r="BX138" s="1393">
        <v>0.0</v>
      </c>
      <c r="BY138" s="1393">
        <v>4.283402620068061E7</v>
      </c>
      <c r="BZ138" s="1393">
        <v>0.0</v>
      </c>
      <c r="CA138" s="1393">
        <v>0.0</v>
      </c>
      <c r="CB138" s="1393">
        <v>0.0</v>
      </c>
      <c r="CC138" s="1393">
        <v>6568325.47406192</v>
      </c>
      <c r="CD138" s="1393">
        <v>977226.8099825652</v>
      </c>
      <c r="CE138" s="1393">
        <v>0.0</v>
      </c>
      <c r="CF138" s="1393">
        <v>0.0</v>
      </c>
      <c r="CG138" s="1393">
        <v>4.283402620068061E7</v>
      </c>
      <c r="CH138" s="1393">
        <v>0.0</v>
      </c>
      <c r="CI138" s="1393">
        <v>0.0</v>
      </c>
      <c r="CJ138" s="1393">
        <v>0.0</v>
      </c>
      <c r="CK138" s="1393">
        <v>6568325.47406192</v>
      </c>
      <c r="CL138" s="1393">
        <v>977226.8099825652</v>
      </c>
      <c r="CM138" s="1393">
        <v>0.0</v>
      </c>
      <c r="CN138" s="1393">
        <v>0.0</v>
      </c>
      <c r="CO138" s="1393">
        <v>4.283402620068061E7</v>
      </c>
      <c r="CP138" s="1393">
        <v>0.0</v>
      </c>
      <c r="CQ138" s="1393">
        <v>0.0</v>
      </c>
      <c r="CR138" s="1393">
        <v>0.0</v>
      </c>
      <c r="CS138" s="1393">
        <v>6568325.47406192</v>
      </c>
      <c r="CT138" s="1393">
        <v>977226.8099825652</v>
      </c>
      <c r="CU138" s="1393">
        <v>0.0</v>
      </c>
      <c r="CV138" s="1393">
        <v>0.0</v>
      </c>
      <c r="CW138" s="1393">
        <v>4.283402620068061E7</v>
      </c>
      <c r="CX138" s="1393">
        <v>0.0</v>
      </c>
      <c r="CY138" s="1393">
        <v>0.0</v>
      </c>
      <c r="CZ138" s="1393">
        <v>0.0</v>
      </c>
      <c r="DA138" s="1393">
        <v>6568325.47406192</v>
      </c>
      <c r="DB138" s="1393">
        <v>977226.8099825652</v>
      </c>
      <c r="DC138" s="1393">
        <v>0.0</v>
      </c>
      <c r="DD138" s="1393">
        <v>0.0</v>
      </c>
      <c r="DE138" s="1393">
        <v>4.283402620068061E7</v>
      </c>
      <c r="DF138" s="1393">
        <v>0.0</v>
      </c>
      <c r="DG138" s="1393">
        <v>0.0</v>
      </c>
      <c r="DH138" s="1393">
        <v>0.0</v>
      </c>
      <c r="DI138" s="1393">
        <v>6568325.47406192</v>
      </c>
      <c r="DJ138" s="1393">
        <v>977226.8099825652</v>
      </c>
      <c r="DK138" s="1393">
        <v>0.0</v>
      </c>
      <c r="DL138" s="1393">
        <v>0.0</v>
      </c>
      <c r="DM138" s="1393">
        <v>4.283402620068061E7</v>
      </c>
      <c r="DN138" s="1393">
        <v>0.0</v>
      </c>
      <c r="DO138" s="1393">
        <v>0.0</v>
      </c>
      <c r="DP138" s="1393">
        <v>0.0</v>
      </c>
      <c r="DQ138" s="1393">
        <v>6568325.47406192</v>
      </c>
      <c r="DR138" s="1379">
        <f t="shared" si="39"/>
        <v>604554941.8</v>
      </c>
    </row>
    <row r="139" hidden="1">
      <c r="A139" s="1401">
        <v>14.0</v>
      </c>
      <c r="B139" s="1402" t="s">
        <v>44</v>
      </c>
      <c r="C139" s="7"/>
      <c r="D139" s="1225"/>
      <c r="E139" s="1225"/>
      <c r="F139" s="1225"/>
      <c r="G139" s="1225"/>
      <c r="H139" s="1225"/>
      <c r="I139" s="1225"/>
      <c r="J139" s="1225"/>
      <c r="K139" s="1225"/>
      <c r="L139" s="1396">
        <f t="shared" ref="L139:X139" si="41">L140+L141+L142+L143+L144</f>
        <v>113291463</v>
      </c>
      <c r="M139" s="1396">
        <f t="shared" si="41"/>
        <v>113291463</v>
      </c>
      <c r="N139" s="1396">
        <f t="shared" si="41"/>
        <v>113291463</v>
      </c>
      <c r="O139" s="1396">
        <f t="shared" si="41"/>
        <v>113291463</v>
      </c>
      <c r="P139" s="1396">
        <f t="shared" si="41"/>
        <v>232533463</v>
      </c>
      <c r="Q139" s="1396">
        <f t="shared" si="41"/>
        <v>250083044</v>
      </c>
      <c r="R139" s="1396">
        <f t="shared" si="41"/>
        <v>250083044</v>
      </c>
      <c r="S139" s="1396">
        <f t="shared" si="41"/>
        <v>250083044</v>
      </c>
      <c r="T139" s="1396">
        <f t="shared" si="41"/>
        <v>322004377</v>
      </c>
      <c r="U139" s="1396">
        <f t="shared" si="41"/>
        <v>322004377</v>
      </c>
      <c r="V139" s="1396">
        <f t="shared" si="41"/>
        <v>322004377</v>
      </c>
      <c r="W139" s="1396">
        <f t="shared" si="41"/>
        <v>322004377</v>
      </c>
      <c r="X139" s="1396">
        <f t="shared" si="41"/>
        <v>2723965954</v>
      </c>
      <c r="Y139" s="1392">
        <f t="shared" si="3"/>
        <v>0.0000004768371582</v>
      </c>
    </row>
    <row r="140" hidden="1">
      <c r="A140" s="1401"/>
      <c r="B140" s="1407">
        <v>1.0</v>
      </c>
      <c r="C140" s="1404" t="s">
        <v>1278</v>
      </c>
      <c r="D140" s="185" t="s">
        <v>186</v>
      </c>
      <c r="E140" s="185" t="s">
        <v>1279</v>
      </c>
      <c r="F140" s="185" t="s">
        <v>1910</v>
      </c>
      <c r="G140" s="185" t="s">
        <v>86</v>
      </c>
      <c r="H140" s="185" t="s">
        <v>86</v>
      </c>
      <c r="I140" s="185" t="s">
        <v>103</v>
      </c>
      <c r="J140" s="185" t="s">
        <v>1911</v>
      </c>
      <c r="K140" s="185" t="s">
        <v>188</v>
      </c>
      <c r="L140" s="1390"/>
      <c r="M140" s="503"/>
      <c r="N140" s="503"/>
      <c r="O140" s="503"/>
      <c r="P140" s="503">
        <v>1.19242E8</v>
      </c>
      <c r="Q140" s="503">
        <v>1.19242E8</v>
      </c>
      <c r="R140" s="503">
        <v>1.19242E8</v>
      </c>
      <c r="S140" s="503">
        <v>1.19242E8</v>
      </c>
      <c r="T140" s="503">
        <v>1.19242E8</v>
      </c>
      <c r="U140" s="503">
        <v>1.19242E8</v>
      </c>
      <c r="V140" s="503">
        <v>1.19242E8</v>
      </c>
      <c r="W140" s="503">
        <v>1.19242E8</v>
      </c>
      <c r="X140" s="1405">
        <v>9.53936E8</v>
      </c>
      <c r="Y140" s="1392">
        <f t="shared" si="3"/>
        <v>0</v>
      </c>
      <c r="Z140" s="1393">
        <v>0.0</v>
      </c>
      <c r="AA140" s="1393">
        <v>0.0</v>
      </c>
      <c r="AB140" s="1393">
        <v>0.0</v>
      </c>
      <c r="AC140" s="1393">
        <v>0.0</v>
      </c>
      <c r="AD140" s="1393">
        <v>0.0</v>
      </c>
      <c r="AE140" s="1393">
        <v>0.0</v>
      </c>
      <c r="AF140" s="1393">
        <v>0.0</v>
      </c>
      <c r="AG140" s="1393">
        <v>0.0</v>
      </c>
      <c r="AH140" s="1393">
        <v>0.0</v>
      </c>
      <c r="AI140" s="1393">
        <v>0.0</v>
      </c>
      <c r="AJ140" s="1393">
        <v>0.0</v>
      </c>
      <c r="AK140" s="1393">
        <v>0.0</v>
      </c>
      <c r="AL140" s="1393">
        <v>0.0</v>
      </c>
      <c r="AM140" s="1393">
        <v>0.0</v>
      </c>
      <c r="AN140" s="1393">
        <v>0.0</v>
      </c>
      <c r="AO140" s="1393">
        <v>0.0</v>
      </c>
      <c r="AP140" s="1393">
        <v>0.0</v>
      </c>
      <c r="AQ140" s="1393">
        <v>0.0</v>
      </c>
      <c r="AR140" s="1393">
        <v>0.0</v>
      </c>
      <c r="AS140" s="1393">
        <v>0.0</v>
      </c>
      <c r="AT140" s="1393">
        <v>0.0</v>
      </c>
      <c r="AU140" s="1393">
        <v>0.0</v>
      </c>
      <c r="AV140" s="1393">
        <v>0.0</v>
      </c>
      <c r="AW140" s="1393">
        <v>0.0</v>
      </c>
      <c r="AX140" s="1393">
        <v>0.0</v>
      </c>
      <c r="AY140" s="1393">
        <v>0.0</v>
      </c>
      <c r="AZ140" s="1393">
        <v>0.0</v>
      </c>
      <c r="BA140" s="1393">
        <v>0.0</v>
      </c>
      <c r="BB140" s="1393">
        <v>0.0</v>
      </c>
      <c r="BC140" s="1393">
        <v>0.0</v>
      </c>
      <c r="BD140" s="1393">
        <v>0.0</v>
      </c>
      <c r="BE140" s="1393">
        <v>0.0</v>
      </c>
      <c r="BF140" s="1393">
        <v>2.141231337719189E7</v>
      </c>
      <c r="BG140" s="1393">
        <v>0.0</v>
      </c>
      <c r="BH140" s="1393">
        <v>0.0</v>
      </c>
      <c r="BI140" s="1393">
        <v>5.484623723614628E7</v>
      </c>
      <c r="BJ140" s="1393">
        <v>1.0706156688595945E7</v>
      </c>
      <c r="BK140" s="1393">
        <v>0.0</v>
      </c>
      <c r="BL140" s="1393">
        <v>0.0</v>
      </c>
      <c r="BM140" s="1393">
        <v>8744446.970798677</v>
      </c>
      <c r="BN140" s="1393">
        <v>2.158471206433574E7</v>
      </c>
      <c r="BO140" s="1393">
        <v>0.0</v>
      </c>
      <c r="BP140" s="1393">
        <v>0.0</v>
      </c>
      <c r="BQ140" s="1393">
        <v>5.504908525731063E7</v>
      </c>
      <c r="BR140" s="1393">
        <v>1.079235603216787E7</v>
      </c>
      <c r="BS140" s="1393">
        <v>0.0</v>
      </c>
      <c r="BT140" s="1393">
        <v>0.0</v>
      </c>
      <c r="BU140" s="1393">
        <v>8871702.997375386</v>
      </c>
      <c r="BV140" s="1393">
        <v>2.154973356722431E7</v>
      </c>
      <c r="BW140" s="1393">
        <v>0.0</v>
      </c>
      <c r="BX140" s="1393">
        <v>0.0</v>
      </c>
      <c r="BY140" s="1393">
        <v>5.497294743304922E7</v>
      </c>
      <c r="BZ140" s="1393">
        <v>1.0774866783612154E7</v>
      </c>
      <c r="CA140" s="1393">
        <v>0.0</v>
      </c>
      <c r="CB140" s="1393">
        <v>0.0</v>
      </c>
      <c r="CC140" s="1393">
        <v>8854213.748819668</v>
      </c>
      <c r="CD140" s="1393">
        <v>2.1549733567572575E7</v>
      </c>
      <c r="CE140" s="1393">
        <v>0.0</v>
      </c>
      <c r="CF140" s="1393">
        <v>0.0</v>
      </c>
      <c r="CG140" s="1393">
        <v>5.4972947432716176E7</v>
      </c>
      <c r="CH140" s="1393">
        <v>1.0774866783786288E7</v>
      </c>
      <c r="CI140" s="1393">
        <v>0.0</v>
      </c>
      <c r="CJ140" s="1393">
        <v>0.0</v>
      </c>
      <c r="CK140" s="1393">
        <v>8854213.749253629</v>
      </c>
      <c r="CL140" s="1393">
        <v>2.1697881645611957E7</v>
      </c>
      <c r="CM140" s="1393">
        <v>0.0</v>
      </c>
      <c r="CN140" s="1393">
        <v>0.0</v>
      </c>
      <c r="CO140" s="1393">
        <v>5.5152658052832E7</v>
      </c>
      <c r="CP140" s="1393">
        <v>1.0848940822805978E7</v>
      </c>
      <c r="CQ140" s="1393">
        <v>0.0</v>
      </c>
      <c r="CR140" s="1393">
        <v>0.0</v>
      </c>
      <c r="CS140" s="1393">
        <v>8962284.155063843</v>
      </c>
      <c r="CT140" s="1393">
        <v>2.1613450774654306E7</v>
      </c>
      <c r="CU140" s="1393">
        <v>0.0</v>
      </c>
      <c r="CV140" s="1393">
        <v>0.0</v>
      </c>
      <c r="CW140" s="1393">
        <v>5.503169876909541E7</v>
      </c>
      <c r="CX140" s="1393">
        <v>1.0806725387327153E7</v>
      </c>
      <c r="CY140" s="1393">
        <v>0.0</v>
      </c>
      <c r="CZ140" s="1393">
        <v>0.0</v>
      </c>
      <c r="DA140" s="1393">
        <v>8905108.981861392</v>
      </c>
      <c r="DB140" s="1393">
        <v>2.1680977697721444E7</v>
      </c>
      <c r="DC140" s="1393">
        <v>0.0</v>
      </c>
      <c r="DD140" s="1393">
        <v>0.0</v>
      </c>
      <c r="DE140" s="1393">
        <v>5.5137187559762605E7</v>
      </c>
      <c r="DF140" s="1393">
        <v>1.0840488848860722E7</v>
      </c>
      <c r="DG140" s="1393">
        <v>0.0</v>
      </c>
      <c r="DH140" s="1393">
        <v>0.0</v>
      </c>
      <c r="DI140" s="1393">
        <v>8948754.201766724</v>
      </c>
      <c r="DJ140" s="1393">
        <v>2.1613450774990592E7</v>
      </c>
      <c r="DK140" s="1393">
        <v>0.0</v>
      </c>
      <c r="DL140" s="1393">
        <v>0.0</v>
      </c>
      <c r="DM140" s="1393">
        <v>5.503169876875781E7</v>
      </c>
      <c r="DN140" s="1393">
        <v>1.0806725387495296E7</v>
      </c>
      <c r="DO140" s="1393">
        <v>0.0</v>
      </c>
      <c r="DP140" s="1393">
        <v>0.0</v>
      </c>
      <c r="DQ140" s="1393">
        <v>8905108.982284237</v>
      </c>
      <c r="DR140" s="1379">
        <f t="shared" ref="DR140:DR144" si="42">SUM(Z140:DQ140)</f>
        <v>770293674.5</v>
      </c>
    </row>
    <row r="141" hidden="1">
      <c r="A141" s="1401"/>
      <c r="B141" s="1403">
        <f t="shared" ref="B141:B144" si="43">B140+1</f>
        <v>2</v>
      </c>
      <c r="C141" s="1404" t="s">
        <v>1282</v>
      </c>
      <c r="D141" s="185" t="s">
        <v>186</v>
      </c>
      <c r="E141" s="185" t="s">
        <v>1279</v>
      </c>
      <c r="F141" s="185" t="s">
        <v>1910</v>
      </c>
      <c r="G141" s="185" t="s">
        <v>306</v>
      </c>
      <c r="H141" s="185" t="s">
        <v>92</v>
      </c>
      <c r="I141" s="185" t="s">
        <v>305</v>
      </c>
      <c r="J141" s="185" t="s">
        <v>1911</v>
      </c>
      <c r="K141" s="185" t="s">
        <v>188</v>
      </c>
      <c r="L141" s="1390"/>
      <c r="M141" s="503"/>
      <c r="N141" s="503"/>
      <c r="O141" s="503"/>
      <c r="P141" s="503"/>
      <c r="Q141" s="503"/>
      <c r="R141" s="503"/>
      <c r="S141" s="503"/>
      <c r="T141" s="503">
        <v>7.1921333E7</v>
      </c>
      <c r="U141" s="503">
        <v>7.1921333E7</v>
      </c>
      <c r="V141" s="503">
        <v>7.1921333E7</v>
      </c>
      <c r="W141" s="503">
        <v>7.1921333E7</v>
      </c>
      <c r="X141" s="1405">
        <v>2.87685332E8</v>
      </c>
      <c r="Y141" s="1392">
        <f t="shared" si="3"/>
        <v>0</v>
      </c>
      <c r="Z141" s="1393">
        <v>0.0</v>
      </c>
      <c r="AA141" s="1393">
        <v>0.0</v>
      </c>
      <c r="AB141" s="1393">
        <v>0.0</v>
      </c>
      <c r="AC141" s="1393">
        <v>0.0</v>
      </c>
      <c r="AD141" s="1393">
        <v>0.0</v>
      </c>
      <c r="AE141" s="1393">
        <v>0.0</v>
      </c>
      <c r="AF141" s="1393">
        <v>0.0</v>
      </c>
      <c r="AG141" s="1393">
        <v>0.0</v>
      </c>
      <c r="AH141" s="1393">
        <v>0.0</v>
      </c>
      <c r="AI141" s="1393">
        <v>0.0</v>
      </c>
      <c r="AJ141" s="1393">
        <v>0.0</v>
      </c>
      <c r="AK141" s="1393">
        <v>0.0</v>
      </c>
      <c r="AL141" s="1393">
        <v>0.0</v>
      </c>
      <c r="AM141" s="1393">
        <v>0.0</v>
      </c>
      <c r="AN141" s="1393">
        <v>0.0</v>
      </c>
      <c r="AO141" s="1393">
        <v>0.0</v>
      </c>
      <c r="AP141" s="1393">
        <v>0.0</v>
      </c>
      <c r="AQ141" s="1393">
        <v>0.0</v>
      </c>
      <c r="AR141" s="1393">
        <v>0.0</v>
      </c>
      <c r="AS141" s="1393">
        <v>0.0</v>
      </c>
      <c r="AT141" s="1393">
        <v>0.0</v>
      </c>
      <c r="AU141" s="1393">
        <v>0.0</v>
      </c>
      <c r="AV141" s="1393">
        <v>0.0</v>
      </c>
      <c r="AW141" s="1393">
        <v>0.0</v>
      </c>
      <c r="AX141" s="1393">
        <v>0.0</v>
      </c>
      <c r="AY141" s="1393">
        <v>0.0</v>
      </c>
      <c r="AZ141" s="1393">
        <v>0.0</v>
      </c>
      <c r="BA141" s="1393">
        <v>0.0</v>
      </c>
      <c r="BB141" s="1393">
        <v>0.0</v>
      </c>
      <c r="BC141" s="1393">
        <v>0.0</v>
      </c>
      <c r="BD141" s="1393">
        <v>0.0</v>
      </c>
      <c r="BE141" s="1393">
        <v>0.0</v>
      </c>
      <c r="BF141" s="1393">
        <v>0.0</v>
      </c>
      <c r="BG141" s="1393">
        <v>0.0</v>
      </c>
      <c r="BH141" s="1393">
        <v>0.0</v>
      </c>
      <c r="BI141" s="1393">
        <v>0.0</v>
      </c>
      <c r="BJ141" s="1393">
        <v>0.0</v>
      </c>
      <c r="BK141" s="1393">
        <v>0.0</v>
      </c>
      <c r="BL141" s="1393">
        <v>0.0</v>
      </c>
      <c r="BM141" s="1393">
        <v>0.0</v>
      </c>
      <c r="BN141" s="1393">
        <v>0.0</v>
      </c>
      <c r="BO141" s="1393">
        <v>0.0</v>
      </c>
      <c r="BP141" s="1393">
        <v>0.0</v>
      </c>
      <c r="BQ141" s="1393">
        <v>0.0</v>
      </c>
      <c r="BR141" s="1393">
        <v>0.0</v>
      </c>
      <c r="BS141" s="1393">
        <v>0.0</v>
      </c>
      <c r="BT141" s="1393">
        <v>0.0</v>
      </c>
      <c r="BU141" s="1393">
        <v>0.0</v>
      </c>
      <c r="BV141" s="1393">
        <v>0.0</v>
      </c>
      <c r="BW141" s="1393">
        <v>0.0</v>
      </c>
      <c r="BX141" s="1393">
        <v>0.0</v>
      </c>
      <c r="BY141" s="1393">
        <v>0.0</v>
      </c>
      <c r="BZ141" s="1393">
        <v>0.0</v>
      </c>
      <c r="CA141" s="1393">
        <v>0.0</v>
      </c>
      <c r="CB141" s="1393">
        <v>0.0</v>
      </c>
      <c r="CC141" s="1393">
        <v>0.0</v>
      </c>
      <c r="CD141" s="1393">
        <v>0.0</v>
      </c>
      <c r="CE141" s="1393">
        <v>0.0</v>
      </c>
      <c r="CF141" s="1393">
        <v>0.0</v>
      </c>
      <c r="CG141" s="1393">
        <v>0.0</v>
      </c>
      <c r="CH141" s="1393">
        <v>0.0</v>
      </c>
      <c r="CI141" s="1393">
        <v>0.0</v>
      </c>
      <c r="CJ141" s="1393">
        <v>0.0</v>
      </c>
      <c r="CK141" s="1393">
        <v>0.0</v>
      </c>
      <c r="CL141" s="1393">
        <v>4.76573965337651E7</v>
      </c>
      <c r="CM141" s="1393">
        <v>0.0</v>
      </c>
      <c r="CN141" s="1393">
        <v>0.0</v>
      </c>
      <c r="CO141" s="1393">
        <v>1.039339659662995E7</v>
      </c>
      <c r="CP141" s="1393">
        <v>0.0</v>
      </c>
      <c r="CQ141" s="1393">
        <v>0.0</v>
      </c>
      <c r="CR141" s="1393">
        <v>0.0</v>
      </c>
      <c r="CS141" s="1393">
        <v>3517188.3194643664</v>
      </c>
      <c r="CT141" s="1393">
        <v>4.749737637722096E7</v>
      </c>
      <c r="CU141" s="1393">
        <v>0.0</v>
      </c>
      <c r="CV141" s="1393">
        <v>0.0</v>
      </c>
      <c r="CW141" s="1393">
        <v>1.0364709945925003E7</v>
      </c>
      <c r="CX141" s="1393">
        <v>0.0</v>
      </c>
      <c r="CY141" s="1393">
        <v>0.0</v>
      </c>
      <c r="CZ141" s="1393">
        <v>0.0</v>
      </c>
      <c r="DA141" s="1393">
        <v>3504188.9622854665</v>
      </c>
      <c r="DB141" s="1393">
        <v>4.631595329594786E7</v>
      </c>
      <c r="DC141" s="1393">
        <v>0.0</v>
      </c>
      <c r="DD141" s="1393">
        <v>0.0</v>
      </c>
      <c r="DE141" s="1393">
        <v>1.0152917431786982E7</v>
      </c>
      <c r="DF141" s="1393">
        <v>0.0</v>
      </c>
      <c r="DG141" s="1393">
        <v>0.0</v>
      </c>
      <c r="DH141" s="1393">
        <v>0.0</v>
      </c>
      <c r="DI141" s="1393">
        <v>3408215.1740795015</v>
      </c>
      <c r="DJ141" s="1393">
        <v>5.1862600458471715E7</v>
      </c>
      <c r="DK141" s="1393">
        <v>0.0</v>
      </c>
      <c r="DL141" s="1393">
        <v>0.0</v>
      </c>
      <c r="DM141" s="1393">
        <v>7989673.648113667</v>
      </c>
      <c r="DN141" s="1393">
        <v>0.0</v>
      </c>
      <c r="DO141" s="1393">
        <v>0.0</v>
      </c>
      <c r="DP141" s="1393">
        <v>0.0</v>
      </c>
      <c r="DQ141" s="1393">
        <v>2700014.7761577787</v>
      </c>
      <c r="DR141" s="1379">
        <f t="shared" si="42"/>
        <v>245363631.5</v>
      </c>
    </row>
    <row r="142" hidden="1">
      <c r="A142" s="1401"/>
      <c r="B142" s="1403">
        <f t="shared" si="43"/>
        <v>3</v>
      </c>
      <c r="C142" s="1404" t="s">
        <v>1274</v>
      </c>
      <c r="D142" s="185" t="s">
        <v>186</v>
      </c>
      <c r="E142" s="185" t="s">
        <v>1275</v>
      </c>
      <c r="F142" s="185" t="s">
        <v>1910</v>
      </c>
      <c r="G142" s="185" t="s">
        <v>306</v>
      </c>
      <c r="H142" s="185" t="s">
        <v>92</v>
      </c>
      <c r="I142" s="185" t="s">
        <v>305</v>
      </c>
      <c r="J142" s="185" t="s">
        <v>1911</v>
      </c>
      <c r="K142" s="185" t="s">
        <v>188</v>
      </c>
      <c r="L142" s="1390"/>
      <c r="M142" s="503"/>
      <c r="N142" s="503"/>
      <c r="O142" s="503"/>
      <c r="P142" s="503"/>
      <c r="Q142" s="503">
        <v>1.7549581E7</v>
      </c>
      <c r="R142" s="503">
        <v>1.7549581E7</v>
      </c>
      <c r="S142" s="503">
        <v>1.7549581E7</v>
      </c>
      <c r="T142" s="503">
        <v>1.7549581E7</v>
      </c>
      <c r="U142" s="503">
        <v>1.7549581E7</v>
      </c>
      <c r="V142" s="503">
        <v>1.7549581E7</v>
      </c>
      <c r="W142" s="503">
        <v>1.7549581E7</v>
      </c>
      <c r="X142" s="1405">
        <v>1.22847067E8</v>
      </c>
      <c r="Y142" s="1392">
        <f t="shared" si="3"/>
        <v>0</v>
      </c>
      <c r="Z142" s="1393">
        <v>0.0</v>
      </c>
      <c r="AA142" s="1393">
        <v>0.0</v>
      </c>
      <c r="AB142" s="1393">
        <v>0.0</v>
      </c>
      <c r="AC142" s="1393">
        <v>0.0</v>
      </c>
      <c r="AD142" s="1393">
        <v>0.0</v>
      </c>
      <c r="AE142" s="1393">
        <v>0.0</v>
      </c>
      <c r="AF142" s="1393">
        <v>0.0</v>
      </c>
      <c r="AG142" s="1393">
        <v>0.0</v>
      </c>
      <c r="AH142" s="1393">
        <v>0.0</v>
      </c>
      <c r="AI142" s="1393">
        <v>0.0</v>
      </c>
      <c r="AJ142" s="1393">
        <v>0.0</v>
      </c>
      <c r="AK142" s="1393">
        <v>0.0</v>
      </c>
      <c r="AL142" s="1393">
        <v>0.0</v>
      </c>
      <c r="AM142" s="1393">
        <v>0.0</v>
      </c>
      <c r="AN142" s="1393">
        <v>0.0</v>
      </c>
      <c r="AO142" s="1393">
        <v>0.0</v>
      </c>
      <c r="AP142" s="1393">
        <v>0.0</v>
      </c>
      <c r="AQ142" s="1393">
        <v>0.0</v>
      </c>
      <c r="AR142" s="1393">
        <v>0.0</v>
      </c>
      <c r="AS142" s="1393">
        <v>0.0</v>
      </c>
      <c r="AT142" s="1393">
        <v>0.0</v>
      </c>
      <c r="AU142" s="1393">
        <v>0.0</v>
      </c>
      <c r="AV142" s="1393">
        <v>0.0</v>
      </c>
      <c r="AW142" s="1393">
        <v>0.0</v>
      </c>
      <c r="AX142" s="1393">
        <v>0.0</v>
      </c>
      <c r="AY142" s="1393">
        <v>0.0</v>
      </c>
      <c r="AZ142" s="1393">
        <v>0.0</v>
      </c>
      <c r="BA142" s="1393">
        <v>0.0</v>
      </c>
      <c r="BB142" s="1393">
        <v>0.0</v>
      </c>
      <c r="BC142" s="1393">
        <v>0.0</v>
      </c>
      <c r="BD142" s="1393">
        <v>0.0</v>
      </c>
      <c r="BE142" s="1393">
        <v>0.0</v>
      </c>
      <c r="BF142" s="1393">
        <v>0.0</v>
      </c>
      <c r="BG142" s="1393">
        <v>0.0</v>
      </c>
      <c r="BH142" s="1393">
        <v>0.0</v>
      </c>
      <c r="BI142" s="1393">
        <v>0.0</v>
      </c>
      <c r="BJ142" s="1393">
        <v>0.0</v>
      </c>
      <c r="BK142" s="1393">
        <v>0.0</v>
      </c>
      <c r="BL142" s="1393">
        <v>0.0</v>
      </c>
      <c r="BM142" s="1393">
        <v>0.0</v>
      </c>
      <c r="BN142" s="1393">
        <v>1.2460460837647233E7</v>
      </c>
      <c r="BO142" s="1393">
        <v>0.0</v>
      </c>
      <c r="BP142" s="1393">
        <v>0.0</v>
      </c>
      <c r="BQ142" s="1393">
        <v>1912588.809262217</v>
      </c>
      <c r="BR142" s="1393">
        <v>0.0</v>
      </c>
      <c r="BS142" s="1393">
        <v>0.0</v>
      </c>
      <c r="BT142" s="1393">
        <v>0.0</v>
      </c>
      <c r="BU142" s="1393">
        <v>640600.2647355867</v>
      </c>
      <c r="BV142" s="1393">
        <v>1.2104178362435495E7</v>
      </c>
      <c r="BW142" s="1393">
        <v>0.0</v>
      </c>
      <c r="BX142" s="1393">
        <v>0.0</v>
      </c>
      <c r="BY142" s="1393">
        <v>2625150.6424405472</v>
      </c>
      <c r="BZ142" s="1393">
        <v>0.0</v>
      </c>
      <c r="CA142" s="1393">
        <v>0.0</v>
      </c>
      <c r="CB142" s="1393">
        <v>0.0</v>
      </c>
      <c r="CC142" s="1393">
        <v>896102.5067981652</v>
      </c>
      <c r="CD142" s="1393">
        <v>1.2222025991725747E7</v>
      </c>
      <c r="CE142" s="1393">
        <v>0.0</v>
      </c>
      <c r="CF142" s="1393">
        <v>0.0</v>
      </c>
      <c r="CG142" s="1393">
        <v>2644353.9275111277</v>
      </c>
      <c r="CH142" s="1393">
        <v>0.0</v>
      </c>
      <c r="CI142" s="1393">
        <v>0.0</v>
      </c>
      <c r="CJ142" s="1393">
        <v>0.0</v>
      </c>
      <c r="CK142" s="1393">
        <v>906044.2693681978</v>
      </c>
      <c r="CL142" s="1393">
        <v>1.1628918789901042E7</v>
      </c>
      <c r="CM142" s="1393">
        <v>0.0</v>
      </c>
      <c r="CN142" s="1393">
        <v>0.0</v>
      </c>
      <c r="CO142" s="1393">
        <v>2536100.8734040237</v>
      </c>
      <c r="CP142" s="1393">
        <v>0.0</v>
      </c>
      <c r="CQ142" s="1393">
        <v>0.0</v>
      </c>
      <c r="CR142" s="1393">
        <v>0.0</v>
      </c>
      <c r="CS142" s="1393">
        <v>858231.8865626946</v>
      </c>
      <c r="CT142" s="1393">
        <v>1.1589872145716846E7</v>
      </c>
      <c r="CU142" s="1393">
        <v>0.0</v>
      </c>
      <c r="CV142" s="1393">
        <v>0.0</v>
      </c>
      <c r="CW142" s="1393">
        <v>2529101.021216007</v>
      </c>
      <c r="CX142" s="1393">
        <v>0.0</v>
      </c>
      <c r="CY142" s="1393">
        <v>0.0</v>
      </c>
      <c r="CZ142" s="1393">
        <v>0.0</v>
      </c>
      <c r="DA142" s="1393">
        <v>855059.9031991626</v>
      </c>
      <c r="DB142" s="1393">
        <v>1.13015921709829E7</v>
      </c>
      <c r="DC142" s="1393">
        <v>0.0</v>
      </c>
      <c r="DD142" s="1393">
        <v>0.0</v>
      </c>
      <c r="DE142" s="1393">
        <v>2477421.363359013</v>
      </c>
      <c r="DF142" s="1393">
        <v>0.0</v>
      </c>
      <c r="DG142" s="1393">
        <v>0.0</v>
      </c>
      <c r="DH142" s="1393">
        <v>0.0</v>
      </c>
      <c r="DI142" s="1393">
        <v>831641.2636976197</v>
      </c>
      <c r="DJ142" s="1393">
        <v>1.2655033905122232E7</v>
      </c>
      <c r="DK142" s="1393">
        <v>0.0</v>
      </c>
      <c r="DL142" s="1393">
        <v>0.0</v>
      </c>
      <c r="DM142" s="1393">
        <v>1949566.5472598553</v>
      </c>
      <c r="DN142" s="1393">
        <v>0.0</v>
      </c>
      <c r="DO142" s="1393">
        <v>0.0</v>
      </c>
      <c r="DP142" s="1393">
        <v>0.0</v>
      </c>
      <c r="DQ142" s="1393">
        <v>658832.7279108941</v>
      </c>
      <c r="DR142" s="1379">
        <f t="shared" si="42"/>
        <v>106282878.2</v>
      </c>
    </row>
    <row r="143" hidden="1">
      <c r="A143" s="1401"/>
      <c r="B143" s="1394">
        <f t="shared" si="43"/>
        <v>4</v>
      </c>
      <c r="C143" s="1389" t="s">
        <v>1258</v>
      </c>
      <c r="D143" s="185" t="s">
        <v>186</v>
      </c>
      <c r="E143" s="185" t="s">
        <v>1259</v>
      </c>
      <c r="F143" s="185" t="s">
        <v>1896</v>
      </c>
      <c r="G143" s="185" t="s">
        <v>86</v>
      </c>
      <c r="H143" s="185" t="s">
        <v>86</v>
      </c>
      <c r="I143" s="185" t="s">
        <v>103</v>
      </c>
      <c r="J143" s="185" t="s">
        <v>1889</v>
      </c>
      <c r="K143" s="185" t="s">
        <v>188</v>
      </c>
      <c r="L143" s="1390">
        <v>4.883498468468468E7</v>
      </c>
      <c r="M143" s="1390">
        <v>4.883498468468468E7</v>
      </c>
      <c r="N143" s="1390">
        <v>4.883498468468468E7</v>
      </c>
      <c r="O143" s="1390">
        <v>4.883498468468468E7</v>
      </c>
      <c r="P143" s="1390">
        <v>4.883498468468468E7</v>
      </c>
      <c r="Q143" s="1390">
        <v>4.883498468468468E7</v>
      </c>
      <c r="R143" s="1390">
        <v>4.883498468468468E7</v>
      </c>
      <c r="S143" s="1390">
        <v>4.883498468468468E7</v>
      </c>
      <c r="T143" s="1390">
        <v>4.883498468468468E7</v>
      </c>
      <c r="U143" s="1390">
        <v>4.883498468468468E7</v>
      </c>
      <c r="V143" s="1390">
        <v>4.883498468468468E7</v>
      </c>
      <c r="W143" s="1390">
        <v>4.883498468468468E7</v>
      </c>
      <c r="X143" s="1391">
        <v>5.860198162162162E8</v>
      </c>
      <c r="Y143" s="1392">
        <f t="shared" si="3"/>
        <v>0</v>
      </c>
      <c r="Z143" s="1393">
        <v>6035103.0267179385</v>
      </c>
      <c r="AA143" s="1393">
        <v>0.0</v>
      </c>
      <c r="AB143" s="1393">
        <v>0.0</v>
      </c>
      <c r="AC143" s="1393">
        <v>3.362771384309169E7</v>
      </c>
      <c r="AD143" s="1393">
        <v>0.0</v>
      </c>
      <c r="AE143" s="1393">
        <v>0.0</v>
      </c>
      <c r="AF143" s="1393">
        <v>0.0</v>
      </c>
      <c r="AG143" s="1393">
        <v>1960238.6057514993</v>
      </c>
      <c r="AH143" s="1393">
        <v>6156578.8636523755</v>
      </c>
      <c r="AI143" s="1393">
        <v>0.0</v>
      </c>
      <c r="AJ143" s="1393">
        <v>0.0</v>
      </c>
      <c r="AK143" s="1393">
        <v>3.421761584878644E7</v>
      </c>
      <c r="AL143" s="1393">
        <v>0.0</v>
      </c>
      <c r="AM143" s="1393">
        <v>0.0</v>
      </c>
      <c r="AN143" s="1393">
        <v>0.0</v>
      </c>
      <c r="AO143" s="1393">
        <v>1999694.705203435</v>
      </c>
      <c r="AP143" s="1393">
        <v>6765342.639407347</v>
      </c>
      <c r="AQ143" s="1393">
        <v>0.0</v>
      </c>
      <c r="AR143" s="1393">
        <v>0.0</v>
      </c>
      <c r="AS143" s="1393">
        <v>3.754107401431634E7</v>
      </c>
      <c r="AT143" s="1393">
        <v>0.0</v>
      </c>
      <c r="AU143" s="1393">
        <v>0.0</v>
      </c>
      <c r="AV143" s="1393">
        <v>0.0</v>
      </c>
      <c r="AW143" s="1393">
        <v>2197424.9261681805</v>
      </c>
      <c r="AX143" s="1393">
        <v>6287332.361536997</v>
      </c>
      <c r="AY143" s="1393">
        <v>0.0</v>
      </c>
      <c r="AZ143" s="1393">
        <v>0.0</v>
      </c>
      <c r="BA143" s="1393">
        <v>3.491142792515831E7</v>
      </c>
      <c r="BB143" s="1393">
        <v>0.0</v>
      </c>
      <c r="BC143" s="1393">
        <v>0.0</v>
      </c>
      <c r="BD143" s="1393">
        <v>0.0</v>
      </c>
      <c r="BE143" s="1393">
        <v>2042164.2460307889</v>
      </c>
      <c r="BF143" s="1393">
        <v>6220545.338380345</v>
      </c>
      <c r="BG143" s="1393">
        <v>0.0</v>
      </c>
      <c r="BH143" s="1393">
        <v>0.0</v>
      </c>
      <c r="BI143" s="1393">
        <v>3.454385023864589E7</v>
      </c>
      <c r="BJ143" s="1393">
        <v>0.0</v>
      </c>
      <c r="BK143" s="1393">
        <v>0.0</v>
      </c>
      <c r="BL143" s="1393">
        <v>0.0</v>
      </c>
      <c r="BM143" s="1393">
        <v>2020471.4098728474</v>
      </c>
      <c r="BN143" s="1393">
        <v>6313721.649539592</v>
      </c>
      <c r="BO143" s="1393">
        <v>0.0</v>
      </c>
      <c r="BP143" s="1393">
        <v>0.0</v>
      </c>
      <c r="BQ143" s="1393">
        <v>3.5054060934396625E7</v>
      </c>
      <c r="BR143" s="1393">
        <v>0.0</v>
      </c>
      <c r="BS143" s="1393">
        <v>0.0</v>
      </c>
      <c r="BT143" s="1393">
        <v>0.0</v>
      </c>
      <c r="BU143" s="1393">
        <v>2050735.6491852952</v>
      </c>
      <c r="BV143" s="1393">
        <v>6603993.76239127</v>
      </c>
      <c r="BW143" s="1393">
        <v>0.0</v>
      </c>
      <c r="BX143" s="1393">
        <v>0.0</v>
      </c>
      <c r="BY143" s="1393">
        <v>3.664941427567778E7</v>
      </c>
      <c r="BZ143" s="1393">
        <v>0.0</v>
      </c>
      <c r="CA143" s="1393">
        <v>0.0</v>
      </c>
      <c r="CB143" s="1393">
        <v>0.0</v>
      </c>
      <c r="CC143" s="1393">
        <v>2145017.8179015354</v>
      </c>
      <c r="CD143" s="1393">
        <v>6644914.0506347865</v>
      </c>
      <c r="CE143" s="1393">
        <v>0.0</v>
      </c>
      <c r="CF143" s="1393">
        <v>0.0</v>
      </c>
      <c r="CG143" s="1393">
        <v>3.68742451123968E7</v>
      </c>
      <c r="CH143" s="1393">
        <v>0.0</v>
      </c>
      <c r="CI143" s="1393">
        <v>0.0</v>
      </c>
      <c r="CJ143" s="1393">
        <v>0.0</v>
      </c>
      <c r="CK143" s="1393">
        <v>2158308.979364448</v>
      </c>
      <c r="CL143" s="1393">
        <v>6428057.862149816</v>
      </c>
      <c r="CM143" s="1393">
        <v>0.0</v>
      </c>
      <c r="CN143" s="1393">
        <v>0.0</v>
      </c>
      <c r="CO143" s="1393">
        <v>3.5680094235410504E7</v>
      </c>
      <c r="CP143" s="1393">
        <v>0.0</v>
      </c>
      <c r="CQ143" s="1393">
        <v>0.0</v>
      </c>
      <c r="CR143" s="1393">
        <v>0.0</v>
      </c>
      <c r="CS143" s="1393">
        <v>2087872.754716343</v>
      </c>
      <c r="CT143" s="1393">
        <v>6413768.868830996</v>
      </c>
      <c r="CU143" s="1393">
        <v>0.0</v>
      </c>
      <c r="CV143" s="1393">
        <v>0.0</v>
      </c>
      <c r="CW143" s="1393">
        <v>3.560156016931561E7</v>
      </c>
      <c r="CX143" s="1393">
        <v>0.0</v>
      </c>
      <c r="CY143" s="1393">
        <v>0.0</v>
      </c>
      <c r="CZ143" s="1393">
        <v>0.0</v>
      </c>
      <c r="DA143" s="1393">
        <v>2083231.6017456525</v>
      </c>
      <c r="DB143" s="1393">
        <v>6308569.382880052</v>
      </c>
      <c r="DC143" s="1393">
        <v>0.0</v>
      </c>
      <c r="DD143" s="1393">
        <v>0.0</v>
      </c>
      <c r="DE143" s="1393">
        <v>3.5023224428650625E7</v>
      </c>
      <c r="DF143" s="1393">
        <v>0.0</v>
      </c>
      <c r="DG143" s="1393">
        <v>0.0</v>
      </c>
      <c r="DH143" s="1393">
        <v>0.0</v>
      </c>
      <c r="DI143" s="1393">
        <v>2049062.161264965</v>
      </c>
      <c r="DJ143" s="1393">
        <v>6407282.953411111</v>
      </c>
      <c r="DK143" s="1393">
        <v>0.0</v>
      </c>
      <c r="DL143" s="1393">
        <v>0.0</v>
      </c>
      <c r="DM143" s="1393">
        <v>3.556576636282236E7</v>
      </c>
      <c r="DN143" s="1393">
        <v>0.0</v>
      </c>
      <c r="DO143" s="1393">
        <v>0.0</v>
      </c>
      <c r="DP143" s="1393">
        <v>0.0</v>
      </c>
      <c r="DQ143" s="1393">
        <v>2081124.9365001025</v>
      </c>
      <c r="DR143" s="1379">
        <f t="shared" si="42"/>
        <v>526750605.9</v>
      </c>
    </row>
    <row r="144" hidden="1">
      <c r="A144" s="1401"/>
      <c r="B144" s="1394">
        <f t="shared" si="43"/>
        <v>5</v>
      </c>
      <c r="C144" s="1389" t="s">
        <v>1912</v>
      </c>
      <c r="D144" s="185" t="s">
        <v>186</v>
      </c>
      <c r="E144" s="185" t="s">
        <v>1259</v>
      </c>
      <c r="F144" s="185" t="s">
        <v>1896</v>
      </c>
      <c r="G144" s="185" t="s">
        <v>218</v>
      </c>
      <c r="H144" s="185" t="s">
        <v>88</v>
      </c>
      <c r="I144" s="185" t="s">
        <v>88</v>
      </c>
      <c r="J144" s="185" t="s">
        <v>1889</v>
      </c>
      <c r="K144" s="185" t="s">
        <v>188</v>
      </c>
      <c r="L144" s="1390">
        <v>6.4456478270344205E7</v>
      </c>
      <c r="M144" s="1390">
        <v>6.4456478270344205E7</v>
      </c>
      <c r="N144" s="1390">
        <v>6.4456478270344205E7</v>
      </c>
      <c r="O144" s="1390">
        <v>6.4456478270344205E7</v>
      </c>
      <c r="P144" s="1390">
        <v>6.4456478270344205E7</v>
      </c>
      <c r="Q144" s="1390">
        <v>6.4456478270344205E7</v>
      </c>
      <c r="R144" s="1390">
        <v>6.4456478270344205E7</v>
      </c>
      <c r="S144" s="1390">
        <v>6.4456478270344205E7</v>
      </c>
      <c r="T144" s="1390">
        <v>6.4456478270344205E7</v>
      </c>
      <c r="U144" s="1390">
        <v>6.4456478270344205E7</v>
      </c>
      <c r="V144" s="1390">
        <v>6.4456478270344205E7</v>
      </c>
      <c r="W144" s="1390">
        <v>6.4456478270344205E7</v>
      </c>
      <c r="X144" s="1391">
        <v>7.734777392441306E8</v>
      </c>
      <c r="Y144" s="1392">
        <f t="shared" si="3"/>
        <v>0</v>
      </c>
      <c r="Z144" s="1393">
        <v>1159702.7103961643</v>
      </c>
      <c r="AA144" s="1393">
        <v>0.0</v>
      </c>
      <c r="AB144" s="1393">
        <v>0.0</v>
      </c>
      <c r="AC144" s="1393">
        <v>5.083235107210768E7</v>
      </c>
      <c r="AD144" s="1393">
        <v>0.0</v>
      </c>
      <c r="AE144" s="1393">
        <v>0.0</v>
      </c>
      <c r="AF144" s="1393">
        <v>0.0</v>
      </c>
      <c r="AG144" s="1393">
        <v>7794817.720125464</v>
      </c>
      <c r="AH144" s="1393">
        <v>1159702.7103961643</v>
      </c>
      <c r="AI144" s="1393">
        <v>0.0</v>
      </c>
      <c r="AJ144" s="1393">
        <v>0.0</v>
      </c>
      <c r="AK144" s="1393">
        <v>5.083235107210768E7</v>
      </c>
      <c r="AL144" s="1393">
        <v>0.0</v>
      </c>
      <c r="AM144" s="1393">
        <v>0.0</v>
      </c>
      <c r="AN144" s="1393">
        <v>0.0</v>
      </c>
      <c r="AO144" s="1393">
        <v>7794817.720125464</v>
      </c>
      <c r="AP144" s="1393">
        <v>1159702.7103961643</v>
      </c>
      <c r="AQ144" s="1393">
        <v>0.0</v>
      </c>
      <c r="AR144" s="1393">
        <v>0.0</v>
      </c>
      <c r="AS144" s="1393">
        <v>5.083235107210768E7</v>
      </c>
      <c r="AT144" s="1393">
        <v>0.0</v>
      </c>
      <c r="AU144" s="1393">
        <v>0.0</v>
      </c>
      <c r="AV144" s="1393">
        <v>0.0</v>
      </c>
      <c r="AW144" s="1393">
        <v>7794817.720125464</v>
      </c>
      <c r="AX144" s="1393">
        <v>1159702.7103961643</v>
      </c>
      <c r="AY144" s="1393">
        <v>0.0</v>
      </c>
      <c r="AZ144" s="1393">
        <v>0.0</v>
      </c>
      <c r="BA144" s="1393">
        <v>5.083235107210768E7</v>
      </c>
      <c r="BB144" s="1393">
        <v>0.0</v>
      </c>
      <c r="BC144" s="1393">
        <v>0.0</v>
      </c>
      <c r="BD144" s="1393">
        <v>0.0</v>
      </c>
      <c r="BE144" s="1393">
        <v>7794817.720125464</v>
      </c>
      <c r="BF144" s="1393">
        <v>1159702.7103961643</v>
      </c>
      <c r="BG144" s="1393">
        <v>0.0</v>
      </c>
      <c r="BH144" s="1393">
        <v>0.0</v>
      </c>
      <c r="BI144" s="1393">
        <v>5.083235107210768E7</v>
      </c>
      <c r="BJ144" s="1393">
        <v>0.0</v>
      </c>
      <c r="BK144" s="1393">
        <v>0.0</v>
      </c>
      <c r="BL144" s="1393">
        <v>0.0</v>
      </c>
      <c r="BM144" s="1393">
        <v>7794817.720125464</v>
      </c>
      <c r="BN144" s="1393">
        <v>1159702.7103961643</v>
      </c>
      <c r="BO144" s="1393">
        <v>0.0</v>
      </c>
      <c r="BP144" s="1393">
        <v>0.0</v>
      </c>
      <c r="BQ144" s="1393">
        <v>5.083235107210768E7</v>
      </c>
      <c r="BR144" s="1393">
        <v>0.0</v>
      </c>
      <c r="BS144" s="1393">
        <v>0.0</v>
      </c>
      <c r="BT144" s="1393">
        <v>0.0</v>
      </c>
      <c r="BU144" s="1393">
        <v>7794817.720125464</v>
      </c>
      <c r="BV144" s="1393">
        <v>1159702.7103961643</v>
      </c>
      <c r="BW144" s="1393">
        <v>0.0</v>
      </c>
      <c r="BX144" s="1393">
        <v>0.0</v>
      </c>
      <c r="BY144" s="1393">
        <v>5.083235107210768E7</v>
      </c>
      <c r="BZ144" s="1393">
        <v>0.0</v>
      </c>
      <c r="CA144" s="1393">
        <v>0.0</v>
      </c>
      <c r="CB144" s="1393">
        <v>0.0</v>
      </c>
      <c r="CC144" s="1393">
        <v>7794817.720125464</v>
      </c>
      <c r="CD144" s="1393">
        <v>1159702.7103961643</v>
      </c>
      <c r="CE144" s="1393">
        <v>0.0</v>
      </c>
      <c r="CF144" s="1393">
        <v>0.0</v>
      </c>
      <c r="CG144" s="1393">
        <v>5.083235107210768E7</v>
      </c>
      <c r="CH144" s="1393">
        <v>0.0</v>
      </c>
      <c r="CI144" s="1393">
        <v>0.0</v>
      </c>
      <c r="CJ144" s="1393">
        <v>0.0</v>
      </c>
      <c r="CK144" s="1393">
        <v>7794817.720125464</v>
      </c>
      <c r="CL144" s="1393">
        <v>1159702.7103961643</v>
      </c>
      <c r="CM144" s="1393">
        <v>0.0</v>
      </c>
      <c r="CN144" s="1393">
        <v>0.0</v>
      </c>
      <c r="CO144" s="1393">
        <v>5.083235107210768E7</v>
      </c>
      <c r="CP144" s="1393">
        <v>0.0</v>
      </c>
      <c r="CQ144" s="1393">
        <v>0.0</v>
      </c>
      <c r="CR144" s="1393">
        <v>0.0</v>
      </c>
      <c r="CS144" s="1393">
        <v>7794817.720125464</v>
      </c>
      <c r="CT144" s="1393">
        <v>1159702.7103961643</v>
      </c>
      <c r="CU144" s="1393">
        <v>0.0</v>
      </c>
      <c r="CV144" s="1393">
        <v>0.0</v>
      </c>
      <c r="CW144" s="1393">
        <v>5.083235107210768E7</v>
      </c>
      <c r="CX144" s="1393">
        <v>0.0</v>
      </c>
      <c r="CY144" s="1393">
        <v>0.0</v>
      </c>
      <c r="CZ144" s="1393">
        <v>0.0</v>
      </c>
      <c r="DA144" s="1393">
        <v>7794817.720125464</v>
      </c>
      <c r="DB144" s="1393">
        <v>1159702.7103961643</v>
      </c>
      <c r="DC144" s="1393">
        <v>0.0</v>
      </c>
      <c r="DD144" s="1393">
        <v>0.0</v>
      </c>
      <c r="DE144" s="1393">
        <v>5.083235107210768E7</v>
      </c>
      <c r="DF144" s="1393">
        <v>0.0</v>
      </c>
      <c r="DG144" s="1393">
        <v>0.0</v>
      </c>
      <c r="DH144" s="1393">
        <v>0.0</v>
      </c>
      <c r="DI144" s="1393">
        <v>7794817.720125464</v>
      </c>
      <c r="DJ144" s="1393">
        <v>1159702.7103961643</v>
      </c>
      <c r="DK144" s="1393">
        <v>0.0</v>
      </c>
      <c r="DL144" s="1393">
        <v>0.0</v>
      </c>
      <c r="DM144" s="1393">
        <v>5.083235107210768E7</v>
      </c>
      <c r="DN144" s="1393">
        <v>0.0</v>
      </c>
      <c r="DO144" s="1393">
        <v>0.0</v>
      </c>
      <c r="DP144" s="1393">
        <v>0.0</v>
      </c>
      <c r="DQ144" s="1393">
        <v>7794817.720125464</v>
      </c>
      <c r="DR144" s="1379">
        <f t="shared" si="42"/>
        <v>717442458</v>
      </c>
    </row>
    <row r="145" hidden="1">
      <c r="A145" s="1401">
        <v>15.0</v>
      </c>
      <c r="B145" s="1402" t="s">
        <v>45</v>
      </c>
      <c r="C145" s="7"/>
      <c r="D145" s="1225"/>
      <c r="E145" s="1225"/>
      <c r="F145" s="1225"/>
      <c r="G145" s="1225"/>
      <c r="H145" s="1225"/>
      <c r="I145" s="1225"/>
      <c r="J145" s="1225"/>
      <c r="K145" s="1225"/>
      <c r="L145" s="1396">
        <f t="shared" ref="L145:X145" si="44">L146+L147+L148</f>
        <v>0</v>
      </c>
      <c r="M145" s="1396">
        <f t="shared" si="44"/>
        <v>0</v>
      </c>
      <c r="N145" s="1396">
        <f t="shared" si="44"/>
        <v>0</v>
      </c>
      <c r="O145" s="1396">
        <f t="shared" si="44"/>
        <v>32415417</v>
      </c>
      <c r="P145" s="1396">
        <f t="shared" si="44"/>
        <v>68008667</v>
      </c>
      <c r="Q145" s="1396">
        <f t="shared" si="44"/>
        <v>68008667</v>
      </c>
      <c r="R145" s="1396">
        <f t="shared" si="44"/>
        <v>68008667</v>
      </c>
      <c r="S145" s="1396">
        <f t="shared" si="44"/>
        <v>68008667</v>
      </c>
      <c r="T145" s="1396">
        <f t="shared" si="44"/>
        <v>68008667</v>
      </c>
      <c r="U145" s="1396">
        <f t="shared" si="44"/>
        <v>68008667</v>
      </c>
      <c r="V145" s="1396">
        <f t="shared" si="44"/>
        <v>78508667</v>
      </c>
      <c r="W145" s="1396">
        <f t="shared" si="44"/>
        <v>78508667</v>
      </c>
      <c r="X145" s="1396">
        <f t="shared" si="44"/>
        <v>597484753</v>
      </c>
      <c r="Y145" s="1392">
        <f t="shared" si="3"/>
        <v>0</v>
      </c>
    </row>
    <row r="146" hidden="1">
      <c r="A146" s="1401"/>
      <c r="B146" s="1407">
        <v>1.0</v>
      </c>
      <c r="C146" s="1404" t="s">
        <v>1298</v>
      </c>
      <c r="D146" s="185" t="s">
        <v>186</v>
      </c>
      <c r="E146" s="185" t="s">
        <v>1297</v>
      </c>
      <c r="F146" s="185" t="s">
        <v>1910</v>
      </c>
      <c r="G146" s="185" t="s">
        <v>86</v>
      </c>
      <c r="H146" s="185" t="s">
        <v>86</v>
      </c>
      <c r="I146" s="185" t="s">
        <v>103</v>
      </c>
      <c r="J146" s="185" t="s">
        <v>1911</v>
      </c>
      <c r="K146" s="185" t="s">
        <v>188</v>
      </c>
      <c r="L146" s="1390"/>
      <c r="M146" s="503"/>
      <c r="N146" s="503"/>
      <c r="O146" s="503"/>
      <c r="P146" s="503"/>
      <c r="Q146" s="503"/>
      <c r="R146" s="503"/>
      <c r="S146" s="503"/>
      <c r="T146" s="503"/>
      <c r="U146" s="503"/>
      <c r="V146" s="503">
        <v>1.05E7</v>
      </c>
      <c r="W146" s="503">
        <v>1.05E7</v>
      </c>
      <c r="X146" s="1405">
        <v>2.1E7</v>
      </c>
      <c r="Y146" s="1392">
        <f t="shared" si="3"/>
        <v>0</v>
      </c>
      <c r="Z146" s="1393">
        <v>0.0</v>
      </c>
      <c r="AA146" s="1393">
        <v>0.0</v>
      </c>
      <c r="AB146" s="1393">
        <v>0.0</v>
      </c>
      <c r="AC146" s="1393">
        <v>0.0</v>
      </c>
      <c r="AD146" s="1393">
        <v>0.0</v>
      </c>
      <c r="AE146" s="1393">
        <v>0.0</v>
      </c>
      <c r="AF146" s="1393">
        <v>0.0</v>
      </c>
      <c r="AG146" s="1393">
        <v>0.0</v>
      </c>
      <c r="AH146" s="1393">
        <v>0.0</v>
      </c>
      <c r="AI146" s="1393">
        <v>0.0</v>
      </c>
      <c r="AJ146" s="1393">
        <v>0.0</v>
      </c>
      <c r="AK146" s="1393">
        <v>0.0</v>
      </c>
      <c r="AL146" s="1393">
        <v>0.0</v>
      </c>
      <c r="AM146" s="1393">
        <v>0.0</v>
      </c>
      <c r="AN146" s="1393">
        <v>0.0</v>
      </c>
      <c r="AO146" s="1393">
        <v>0.0</v>
      </c>
      <c r="AP146" s="1393">
        <v>0.0</v>
      </c>
      <c r="AQ146" s="1393">
        <v>0.0</v>
      </c>
      <c r="AR146" s="1393">
        <v>0.0</v>
      </c>
      <c r="AS146" s="1393">
        <v>0.0</v>
      </c>
      <c r="AT146" s="1393">
        <v>0.0</v>
      </c>
      <c r="AU146" s="1393">
        <v>0.0</v>
      </c>
      <c r="AV146" s="1393">
        <v>0.0</v>
      </c>
      <c r="AW146" s="1393">
        <v>0.0</v>
      </c>
      <c r="AX146" s="1393">
        <v>0.0</v>
      </c>
      <c r="AY146" s="1393">
        <v>0.0</v>
      </c>
      <c r="AZ146" s="1393">
        <v>0.0</v>
      </c>
      <c r="BA146" s="1393">
        <v>0.0</v>
      </c>
      <c r="BB146" s="1393">
        <v>0.0</v>
      </c>
      <c r="BC146" s="1393">
        <v>0.0</v>
      </c>
      <c r="BD146" s="1393">
        <v>0.0</v>
      </c>
      <c r="BE146" s="1393">
        <v>0.0</v>
      </c>
      <c r="BF146" s="1393">
        <v>0.0</v>
      </c>
      <c r="BG146" s="1393">
        <v>0.0</v>
      </c>
      <c r="BH146" s="1393">
        <v>0.0</v>
      </c>
      <c r="BI146" s="1393">
        <v>0.0</v>
      </c>
      <c r="BJ146" s="1393">
        <v>0.0</v>
      </c>
      <c r="BK146" s="1393">
        <v>0.0</v>
      </c>
      <c r="BL146" s="1393">
        <v>0.0</v>
      </c>
      <c r="BM146" s="1393">
        <v>0.0</v>
      </c>
      <c r="BN146" s="1393">
        <v>0.0</v>
      </c>
      <c r="BO146" s="1393">
        <v>0.0</v>
      </c>
      <c r="BP146" s="1393">
        <v>0.0</v>
      </c>
      <c r="BQ146" s="1393">
        <v>0.0</v>
      </c>
      <c r="BR146" s="1393">
        <v>0.0</v>
      </c>
      <c r="BS146" s="1393">
        <v>0.0</v>
      </c>
      <c r="BT146" s="1393">
        <v>0.0</v>
      </c>
      <c r="BU146" s="1393">
        <v>0.0</v>
      </c>
      <c r="BV146" s="1393">
        <v>0.0</v>
      </c>
      <c r="BW146" s="1393">
        <v>0.0</v>
      </c>
      <c r="BX146" s="1393">
        <v>0.0</v>
      </c>
      <c r="BY146" s="1393">
        <v>0.0</v>
      </c>
      <c r="BZ146" s="1393">
        <v>0.0</v>
      </c>
      <c r="CA146" s="1393">
        <v>0.0</v>
      </c>
      <c r="CB146" s="1393">
        <v>0.0</v>
      </c>
      <c r="CC146" s="1393">
        <v>0.0</v>
      </c>
      <c r="CD146" s="1393">
        <v>0.0</v>
      </c>
      <c r="CE146" s="1393">
        <v>0.0</v>
      </c>
      <c r="CF146" s="1393">
        <v>0.0</v>
      </c>
      <c r="CG146" s="1393">
        <v>0.0</v>
      </c>
      <c r="CH146" s="1393">
        <v>0.0</v>
      </c>
      <c r="CI146" s="1393">
        <v>0.0</v>
      </c>
      <c r="CJ146" s="1393">
        <v>0.0</v>
      </c>
      <c r="CK146" s="1393">
        <v>0.0</v>
      </c>
      <c r="CL146" s="1393">
        <v>0.0</v>
      </c>
      <c r="CM146" s="1393">
        <v>0.0</v>
      </c>
      <c r="CN146" s="1393">
        <v>0.0</v>
      </c>
      <c r="CO146" s="1393">
        <v>0.0</v>
      </c>
      <c r="CP146" s="1393">
        <v>0.0</v>
      </c>
      <c r="CQ146" s="1393">
        <v>0.0</v>
      </c>
      <c r="CR146" s="1393">
        <v>0.0</v>
      </c>
      <c r="CS146" s="1393">
        <v>0.0</v>
      </c>
      <c r="CT146" s="1393">
        <v>0.0</v>
      </c>
      <c r="CU146" s="1393">
        <v>0.0</v>
      </c>
      <c r="CV146" s="1393">
        <v>0.0</v>
      </c>
      <c r="CW146" s="1393">
        <v>0.0</v>
      </c>
      <c r="CX146" s="1393">
        <v>0.0</v>
      </c>
      <c r="CY146" s="1393">
        <v>0.0</v>
      </c>
      <c r="CZ146" s="1393">
        <v>0.0</v>
      </c>
      <c r="DA146" s="1393">
        <v>0.0</v>
      </c>
      <c r="DB146" s="1393">
        <v>1356404.2038291928</v>
      </c>
      <c r="DC146" s="1393">
        <v>0.0</v>
      </c>
      <c r="DD146" s="1393">
        <v>0.0</v>
      </c>
      <c r="DE146" s="1393">
        <v>7530336.271737607</v>
      </c>
      <c r="DF146" s="1393">
        <v>0.0</v>
      </c>
      <c r="DG146" s="1393">
        <v>0.0</v>
      </c>
      <c r="DH146" s="1393">
        <v>0.0</v>
      </c>
      <c r="DI146" s="1393">
        <v>440568.43331067084</v>
      </c>
      <c r="DJ146" s="1393">
        <v>1377628.5883000488</v>
      </c>
      <c r="DK146" s="1393">
        <v>0.0</v>
      </c>
      <c r="DL146" s="1393">
        <v>0.0</v>
      </c>
      <c r="DM146" s="1393">
        <v>7646988.101273039</v>
      </c>
      <c r="DN146" s="1393">
        <v>0.0</v>
      </c>
      <c r="DO146" s="1393">
        <v>0.0</v>
      </c>
      <c r="DP146" s="1393">
        <v>0.0</v>
      </c>
      <c r="DQ146" s="1393">
        <v>447462.2440109847</v>
      </c>
      <c r="DR146" s="1379">
        <f t="shared" ref="DR146:DR148" si="45">SUM(Z146:DQ146)</f>
        <v>18799387.84</v>
      </c>
    </row>
    <row r="147" hidden="1">
      <c r="A147" s="1401"/>
      <c r="B147" s="1403">
        <f t="shared" ref="B147:B148" si="46">B146+1</f>
        <v>2</v>
      </c>
      <c r="C147" s="1404" t="s">
        <v>1301</v>
      </c>
      <c r="D147" s="185" t="s">
        <v>186</v>
      </c>
      <c r="E147" s="185" t="s">
        <v>1297</v>
      </c>
      <c r="F147" s="185" t="s">
        <v>1910</v>
      </c>
      <c r="G147" s="185" t="s">
        <v>86</v>
      </c>
      <c r="H147" s="185" t="s">
        <v>86</v>
      </c>
      <c r="I147" s="185" t="s">
        <v>103</v>
      </c>
      <c r="J147" s="185" t="s">
        <v>1911</v>
      </c>
      <c r="K147" s="185" t="s">
        <v>188</v>
      </c>
      <c r="L147" s="1390"/>
      <c r="M147" s="503"/>
      <c r="N147" s="503"/>
      <c r="O147" s="503"/>
      <c r="P147" s="503">
        <v>3.559325E7</v>
      </c>
      <c r="Q147" s="503">
        <v>3.559325E7</v>
      </c>
      <c r="R147" s="503">
        <v>3.559325E7</v>
      </c>
      <c r="S147" s="503">
        <v>3.559325E7</v>
      </c>
      <c r="T147" s="503">
        <v>3.559325E7</v>
      </c>
      <c r="U147" s="503">
        <v>3.559325E7</v>
      </c>
      <c r="V147" s="503">
        <v>3.559325E7</v>
      </c>
      <c r="W147" s="503">
        <v>3.559325E7</v>
      </c>
      <c r="X147" s="1405">
        <v>2.84746E8</v>
      </c>
      <c r="Y147" s="1392">
        <f t="shared" si="3"/>
        <v>0</v>
      </c>
      <c r="Z147" s="1393">
        <v>0.0</v>
      </c>
      <c r="AA147" s="1393">
        <v>0.0</v>
      </c>
      <c r="AB147" s="1393">
        <v>0.0</v>
      </c>
      <c r="AC147" s="1393">
        <v>0.0</v>
      </c>
      <c r="AD147" s="1393">
        <v>0.0</v>
      </c>
      <c r="AE147" s="1393">
        <v>0.0</v>
      </c>
      <c r="AF147" s="1393">
        <v>0.0</v>
      </c>
      <c r="AG147" s="1393">
        <v>0.0</v>
      </c>
      <c r="AH147" s="1393">
        <v>0.0</v>
      </c>
      <c r="AI147" s="1393">
        <v>0.0</v>
      </c>
      <c r="AJ147" s="1393">
        <v>0.0</v>
      </c>
      <c r="AK147" s="1393">
        <v>0.0</v>
      </c>
      <c r="AL147" s="1393">
        <v>0.0</v>
      </c>
      <c r="AM147" s="1393">
        <v>0.0</v>
      </c>
      <c r="AN147" s="1393">
        <v>0.0</v>
      </c>
      <c r="AO147" s="1393">
        <v>0.0</v>
      </c>
      <c r="AP147" s="1393">
        <v>0.0</v>
      </c>
      <c r="AQ147" s="1393">
        <v>0.0</v>
      </c>
      <c r="AR147" s="1393">
        <v>0.0</v>
      </c>
      <c r="AS147" s="1393">
        <v>0.0</v>
      </c>
      <c r="AT147" s="1393">
        <v>0.0</v>
      </c>
      <c r="AU147" s="1393">
        <v>0.0</v>
      </c>
      <c r="AV147" s="1393">
        <v>0.0</v>
      </c>
      <c r="AW147" s="1393">
        <v>0.0</v>
      </c>
      <c r="AX147" s="1393">
        <v>0.0</v>
      </c>
      <c r="AY147" s="1393">
        <v>0.0</v>
      </c>
      <c r="AZ147" s="1393">
        <v>0.0</v>
      </c>
      <c r="BA147" s="1393">
        <v>0.0</v>
      </c>
      <c r="BB147" s="1393">
        <v>0.0</v>
      </c>
      <c r="BC147" s="1393">
        <v>0.0</v>
      </c>
      <c r="BD147" s="1393">
        <v>0.0</v>
      </c>
      <c r="BE147" s="1393">
        <v>0.0</v>
      </c>
      <c r="BF147" s="1393">
        <v>4533828.090556221</v>
      </c>
      <c r="BG147" s="1393">
        <v>0.0</v>
      </c>
      <c r="BH147" s="1393">
        <v>0.0</v>
      </c>
      <c r="BI147" s="1393">
        <v>2.517719428900076E7</v>
      </c>
      <c r="BJ147" s="1393">
        <v>0.0</v>
      </c>
      <c r="BK147" s="1393">
        <v>0.0</v>
      </c>
      <c r="BL147" s="1393">
        <v>0.0</v>
      </c>
      <c r="BM147" s="1393">
        <v>1472615.2669811384</v>
      </c>
      <c r="BN147" s="1393">
        <v>4601739.399602028</v>
      </c>
      <c r="BO147" s="1393">
        <v>0.0</v>
      </c>
      <c r="BP147" s="1393">
        <v>0.0</v>
      </c>
      <c r="BQ147" s="1393">
        <v>2.5549060011162546E7</v>
      </c>
      <c r="BR147" s="1393">
        <v>0.0</v>
      </c>
      <c r="BS147" s="1393">
        <v>0.0</v>
      </c>
      <c r="BT147" s="1393">
        <v>0.0</v>
      </c>
      <c r="BU147" s="1393">
        <v>1494673.278115226</v>
      </c>
      <c r="BV147" s="1393">
        <v>4813303.464738269</v>
      </c>
      <c r="BW147" s="1393">
        <v>0.0</v>
      </c>
      <c r="BX147" s="1393">
        <v>0.0</v>
      </c>
      <c r="BY147" s="1393">
        <v>2.6711829093229312E7</v>
      </c>
      <c r="BZ147" s="1393">
        <v>0.0</v>
      </c>
      <c r="CA147" s="1393">
        <v>0.0</v>
      </c>
      <c r="CB147" s="1393">
        <v>0.0</v>
      </c>
      <c r="CC147" s="1393">
        <v>1563390.5885296133</v>
      </c>
      <c r="CD147" s="1393">
        <v>4843128.109077317</v>
      </c>
      <c r="CE147" s="1393">
        <v>0.0</v>
      </c>
      <c r="CF147" s="1393">
        <v>0.0</v>
      </c>
      <c r="CG147" s="1393">
        <v>2.687569645656974E7</v>
      </c>
      <c r="CH147" s="1393">
        <v>0.0</v>
      </c>
      <c r="CI147" s="1393">
        <v>0.0</v>
      </c>
      <c r="CJ147" s="1393">
        <v>0.0</v>
      </c>
      <c r="CK147" s="1393">
        <v>1573077.8165648908</v>
      </c>
      <c r="CL147" s="1393">
        <v>4685073.047104227</v>
      </c>
      <c r="CM147" s="1393">
        <v>0.0</v>
      </c>
      <c r="CN147" s="1393">
        <v>0.0</v>
      </c>
      <c r="CO147" s="1393">
        <v>2.6005342734197788E7</v>
      </c>
      <c r="CP147" s="1393">
        <v>0.0</v>
      </c>
      <c r="CQ147" s="1393">
        <v>0.0</v>
      </c>
      <c r="CR147" s="1393">
        <v>0.0</v>
      </c>
      <c r="CS147" s="1393">
        <v>1521740.5596957915</v>
      </c>
      <c r="CT147" s="1393">
        <v>4674658.551948165</v>
      </c>
      <c r="CU147" s="1393">
        <v>0.0</v>
      </c>
      <c r="CV147" s="1393">
        <v>0.0</v>
      </c>
      <c r="CW147" s="1393">
        <v>2.5948103386912625E7</v>
      </c>
      <c r="CX147" s="1393">
        <v>0.0</v>
      </c>
      <c r="CY147" s="1393">
        <v>0.0</v>
      </c>
      <c r="CZ147" s="1393">
        <v>0.0</v>
      </c>
      <c r="DA147" s="1393">
        <v>1518357.867573727</v>
      </c>
      <c r="DB147" s="1393">
        <v>4597984.183613659</v>
      </c>
      <c r="DC147" s="1393">
        <v>0.0</v>
      </c>
      <c r="DD147" s="1393">
        <v>0.0</v>
      </c>
      <c r="DE147" s="1393">
        <v>2.5526584905145194E7</v>
      </c>
      <c r="DF147" s="1393">
        <v>0.0</v>
      </c>
      <c r="DG147" s="1393">
        <v>0.0</v>
      </c>
      <c r="DH147" s="1393">
        <v>0.0</v>
      </c>
      <c r="DI147" s="1393">
        <v>1493453.5608509558</v>
      </c>
      <c r="DJ147" s="1393">
        <v>4669931.309572449</v>
      </c>
      <c r="DK147" s="1393">
        <v>0.0</v>
      </c>
      <c r="DL147" s="1393">
        <v>0.0</v>
      </c>
      <c r="DM147" s="1393">
        <v>2.592201516529872E7</v>
      </c>
      <c r="DN147" s="1393">
        <v>0.0</v>
      </c>
      <c r="DO147" s="1393">
        <v>0.0</v>
      </c>
      <c r="DP147" s="1393">
        <v>0.0</v>
      </c>
      <c r="DQ147" s="1393">
        <v>1516822.4301565697</v>
      </c>
      <c r="DR147" s="1379">
        <f t="shared" si="45"/>
        <v>257289603.6</v>
      </c>
    </row>
    <row r="148" hidden="1">
      <c r="A148" s="1401"/>
      <c r="B148" s="1403">
        <f t="shared" si="46"/>
        <v>3</v>
      </c>
      <c r="C148" s="1404" t="s">
        <v>1304</v>
      </c>
      <c r="D148" s="185" t="s">
        <v>186</v>
      </c>
      <c r="E148" s="185" t="s">
        <v>1297</v>
      </c>
      <c r="F148" s="185" t="s">
        <v>1910</v>
      </c>
      <c r="G148" s="185" t="s">
        <v>86</v>
      </c>
      <c r="H148" s="185" t="s">
        <v>86</v>
      </c>
      <c r="I148" s="185" t="s">
        <v>103</v>
      </c>
      <c r="J148" s="185" t="s">
        <v>1911</v>
      </c>
      <c r="K148" s="185" t="s">
        <v>188</v>
      </c>
      <c r="L148" s="1390"/>
      <c r="M148" s="503"/>
      <c r="N148" s="503"/>
      <c r="O148" s="503">
        <v>3.2415417E7</v>
      </c>
      <c r="P148" s="503">
        <v>3.2415417E7</v>
      </c>
      <c r="Q148" s="503">
        <v>3.2415417E7</v>
      </c>
      <c r="R148" s="503">
        <v>3.2415417E7</v>
      </c>
      <c r="S148" s="503">
        <v>3.2415417E7</v>
      </c>
      <c r="T148" s="503">
        <v>3.2415417E7</v>
      </c>
      <c r="U148" s="503">
        <v>3.2415417E7</v>
      </c>
      <c r="V148" s="503">
        <v>3.2415417E7</v>
      </c>
      <c r="W148" s="503">
        <v>3.2415417E7</v>
      </c>
      <c r="X148" s="1405">
        <v>2.91738753E8</v>
      </c>
      <c r="Y148" s="1392">
        <f t="shared" si="3"/>
        <v>0</v>
      </c>
      <c r="Z148" s="1393">
        <v>0.0</v>
      </c>
      <c r="AA148" s="1393">
        <v>0.0</v>
      </c>
      <c r="AB148" s="1393">
        <v>0.0</v>
      </c>
      <c r="AC148" s="1393">
        <v>0.0</v>
      </c>
      <c r="AD148" s="1393">
        <v>0.0</v>
      </c>
      <c r="AE148" s="1393">
        <v>0.0</v>
      </c>
      <c r="AF148" s="1393">
        <v>0.0</v>
      </c>
      <c r="AG148" s="1393">
        <v>0.0</v>
      </c>
      <c r="AH148" s="1393">
        <v>0.0</v>
      </c>
      <c r="AI148" s="1393">
        <v>0.0</v>
      </c>
      <c r="AJ148" s="1393">
        <v>0.0</v>
      </c>
      <c r="AK148" s="1393">
        <v>0.0</v>
      </c>
      <c r="AL148" s="1393">
        <v>0.0</v>
      </c>
      <c r="AM148" s="1393">
        <v>0.0</v>
      </c>
      <c r="AN148" s="1393">
        <v>0.0</v>
      </c>
      <c r="AO148" s="1393">
        <v>0.0</v>
      </c>
      <c r="AP148" s="1393">
        <v>0.0</v>
      </c>
      <c r="AQ148" s="1393">
        <v>0.0</v>
      </c>
      <c r="AR148" s="1393">
        <v>0.0</v>
      </c>
      <c r="AS148" s="1393">
        <v>0.0</v>
      </c>
      <c r="AT148" s="1393">
        <v>0.0</v>
      </c>
      <c r="AU148" s="1393">
        <v>0.0</v>
      </c>
      <c r="AV148" s="1393">
        <v>0.0</v>
      </c>
      <c r="AW148" s="1393">
        <v>0.0</v>
      </c>
      <c r="AX148" s="1393">
        <v>4173370.8248859765</v>
      </c>
      <c r="AY148" s="1393">
        <v>0.0</v>
      </c>
      <c r="AZ148" s="1393">
        <v>0.0</v>
      </c>
      <c r="BA148" s="1393">
        <v>2.3173315228137214E7</v>
      </c>
      <c r="BB148" s="1393">
        <v>0.0</v>
      </c>
      <c r="BC148" s="1393">
        <v>0.0</v>
      </c>
      <c r="BD148" s="1393">
        <v>0.0</v>
      </c>
      <c r="BE148" s="1393">
        <v>1355536.5286791846</v>
      </c>
      <c r="BF148" s="1393">
        <v>4129039.302724356</v>
      </c>
      <c r="BG148" s="1393">
        <v>0.0</v>
      </c>
      <c r="BH148" s="1393">
        <v>0.0</v>
      </c>
      <c r="BI148" s="1393">
        <v>2.292932653713775E7</v>
      </c>
      <c r="BJ148" s="1393">
        <v>0.0</v>
      </c>
      <c r="BK148" s="1393">
        <v>0.0</v>
      </c>
      <c r="BL148" s="1393">
        <v>0.0</v>
      </c>
      <c r="BM148" s="1393">
        <v>1341137.3774454405</v>
      </c>
      <c r="BN148" s="1393">
        <v>4190887.3610425955</v>
      </c>
      <c r="BO148" s="1393">
        <v>0.0</v>
      </c>
      <c r="BP148" s="1393">
        <v>0.0</v>
      </c>
      <c r="BQ148" s="1393">
        <v>2.326799138094607E7</v>
      </c>
      <c r="BR148" s="1393">
        <v>0.0</v>
      </c>
      <c r="BS148" s="1393">
        <v>0.0</v>
      </c>
      <c r="BT148" s="1393">
        <v>0.0</v>
      </c>
      <c r="BU148" s="1393">
        <v>1361226.0074273078</v>
      </c>
      <c r="BV148" s="1393">
        <v>4383562.5843955185</v>
      </c>
      <c r="BW148" s="1393">
        <v>0.0</v>
      </c>
      <c r="BX148" s="1393">
        <v>0.0</v>
      </c>
      <c r="BY148" s="1393">
        <v>2.4326946229685683E7</v>
      </c>
      <c r="BZ148" s="1393">
        <v>0.0</v>
      </c>
      <c r="CA148" s="1393">
        <v>0.0</v>
      </c>
      <c r="CB148" s="1393">
        <v>0.0</v>
      </c>
      <c r="CC148" s="1393">
        <v>1423808.1057802485</v>
      </c>
      <c r="CD148" s="1393">
        <v>4410724.427810405</v>
      </c>
      <c r="CE148" s="1393">
        <v>0.0</v>
      </c>
      <c r="CF148" s="1393">
        <v>0.0</v>
      </c>
      <c r="CG148" s="1393">
        <v>2.4476183203420043E7</v>
      </c>
      <c r="CH148" s="1393">
        <v>0.0</v>
      </c>
      <c r="CI148" s="1393">
        <v>0.0</v>
      </c>
      <c r="CJ148" s="1393">
        <v>0.0</v>
      </c>
      <c r="CK148" s="1393">
        <v>1432630.4396873126</v>
      </c>
      <c r="CL148" s="1393">
        <v>4266780.822131841</v>
      </c>
      <c r="CM148" s="1393">
        <v>0.0</v>
      </c>
      <c r="CN148" s="1393">
        <v>0.0</v>
      </c>
      <c r="CO148" s="1393">
        <v>2.368353631536714E7</v>
      </c>
      <c r="CP148" s="1393">
        <v>0.0</v>
      </c>
      <c r="CQ148" s="1393">
        <v>0.0</v>
      </c>
      <c r="CR148" s="1393">
        <v>0.0</v>
      </c>
      <c r="CS148" s="1393">
        <v>1385876.670670773</v>
      </c>
      <c r="CT148" s="1393">
        <v>4257296.152894605</v>
      </c>
      <c r="CU148" s="1393">
        <v>0.0</v>
      </c>
      <c r="CV148" s="1393">
        <v>0.0</v>
      </c>
      <c r="CW148" s="1393">
        <v>2.363140740578298E7</v>
      </c>
      <c r="CX148" s="1393">
        <v>0.0</v>
      </c>
      <c r="CY148" s="1393">
        <v>0.0</v>
      </c>
      <c r="CZ148" s="1393">
        <v>0.0</v>
      </c>
      <c r="DA148" s="1393">
        <v>1382795.9917296998</v>
      </c>
      <c r="DB148" s="1393">
        <v>4187467.4178739316</v>
      </c>
      <c r="DC148" s="1393">
        <v>0.0</v>
      </c>
      <c r="DD148" s="1393">
        <v>0.0</v>
      </c>
      <c r="DE148" s="1393">
        <v>2.3247522895104744E7</v>
      </c>
      <c r="DF148" s="1393">
        <v>0.0</v>
      </c>
      <c r="DG148" s="1393">
        <v>0.0</v>
      </c>
      <c r="DH148" s="1393">
        <v>0.0</v>
      </c>
      <c r="DI148" s="1393">
        <v>1360115.188838294</v>
      </c>
      <c r="DJ148" s="1393">
        <v>4252990.967701658</v>
      </c>
      <c r="DK148" s="1393">
        <v>0.0</v>
      </c>
      <c r="DL148" s="1393">
        <v>0.0</v>
      </c>
      <c r="DM148" s="1393">
        <v>2.3607648390171785E7</v>
      </c>
      <c r="DN148" s="1393">
        <v>0.0</v>
      </c>
      <c r="DO148" s="1393">
        <v>0.0</v>
      </c>
      <c r="DP148" s="1393">
        <v>0.0</v>
      </c>
      <c r="DQ148" s="1393">
        <v>1381397.6410830307</v>
      </c>
      <c r="DR148" s="1379">
        <f t="shared" si="45"/>
        <v>263020521.4</v>
      </c>
    </row>
    <row r="149" hidden="1">
      <c r="A149" s="1401">
        <v>16.0</v>
      </c>
      <c r="B149" s="1402" t="s">
        <v>46</v>
      </c>
      <c r="C149" s="7"/>
      <c r="D149" s="1225"/>
      <c r="E149" s="1225"/>
      <c r="F149" s="1225"/>
      <c r="G149" s="1225"/>
      <c r="H149" s="1225"/>
      <c r="I149" s="1225"/>
      <c r="J149" s="1225"/>
      <c r="K149" s="1225"/>
      <c r="L149" s="1396">
        <f t="shared" ref="L149:X149" si="47">L150+L151+L152+L153+L154+L155</f>
        <v>444620992</v>
      </c>
      <c r="M149" s="1396">
        <f t="shared" si="47"/>
        <v>444620992</v>
      </c>
      <c r="N149" s="1396">
        <f t="shared" si="47"/>
        <v>444620992</v>
      </c>
      <c r="O149" s="1396">
        <f t="shared" si="47"/>
        <v>444620992</v>
      </c>
      <c r="P149" s="1396">
        <f t="shared" si="47"/>
        <v>444620992</v>
      </c>
      <c r="Q149" s="1396">
        <f t="shared" si="47"/>
        <v>444620992</v>
      </c>
      <c r="R149" s="1396">
        <f t="shared" si="47"/>
        <v>444620992</v>
      </c>
      <c r="S149" s="1396">
        <f t="shared" si="47"/>
        <v>444620992</v>
      </c>
      <c r="T149" s="1396">
        <f t="shared" si="47"/>
        <v>615056902</v>
      </c>
      <c r="U149" s="1396">
        <f t="shared" si="47"/>
        <v>615056902</v>
      </c>
      <c r="V149" s="1396">
        <f t="shared" si="47"/>
        <v>615056902</v>
      </c>
      <c r="W149" s="1396">
        <f t="shared" si="47"/>
        <v>615056902</v>
      </c>
      <c r="X149" s="1396">
        <f t="shared" si="47"/>
        <v>6017195544</v>
      </c>
      <c r="Y149" s="1392">
        <f t="shared" si="3"/>
        <v>0</v>
      </c>
    </row>
    <row r="150" hidden="1">
      <c r="A150" s="25"/>
      <c r="B150" s="1407">
        <v>1.0</v>
      </c>
      <c r="C150" s="1404" t="s">
        <v>1312</v>
      </c>
      <c r="D150" s="185" t="s">
        <v>186</v>
      </c>
      <c r="E150" s="185" t="s">
        <v>1313</v>
      </c>
      <c r="F150" s="185" t="s">
        <v>1910</v>
      </c>
      <c r="G150" s="185" t="s">
        <v>86</v>
      </c>
      <c r="H150" s="185" t="s">
        <v>86</v>
      </c>
      <c r="I150" s="185" t="s">
        <v>103</v>
      </c>
      <c r="J150" s="185" t="s">
        <v>1911</v>
      </c>
      <c r="K150" s="185" t="s">
        <v>188</v>
      </c>
      <c r="L150" s="1390"/>
      <c r="M150" s="503"/>
      <c r="N150" s="503"/>
      <c r="O150" s="503"/>
      <c r="P150" s="503"/>
      <c r="Q150" s="503"/>
      <c r="R150" s="503"/>
      <c r="S150" s="503"/>
      <c r="T150" s="503">
        <v>1.7043591E8</v>
      </c>
      <c r="U150" s="503">
        <v>1.7043591E8</v>
      </c>
      <c r="V150" s="503">
        <v>1.7043591E8</v>
      </c>
      <c r="W150" s="503">
        <v>1.7043591E8</v>
      </c>
      <c r="X150" s="1405">
        <v>6.8174364E8</v>
      </c>
      <c r="Y150" s="1392">
        <f t="shared" si="3"/>
        <v>0</v>
      </c>
      <c r="Z150" s="1393">
        <v>0.0</v>
      </c>
      <c r="AA150" s="1393">
        <v>0.0</v>
      </c>
      <c r="AB150" s="1393">
        <v>0.0</v>
      </c>
      <c r="AC150" s="1393">
        <v>0.0</v>
      </c>
      <c r="AD150" s="1393">
        <v>0.0</v>
      </c>
      <c r="AE150" s="1393">
        <v>0.0</v>
      </c>
      <c r="AF150" s="1393">
        <v>0.0</v>
      </c>
      <c r="AG150" s="1393">
        <v>0.0</v>
      </c>
      <c r="AH150" s="1393">
        <v>0.0</v>
      </c>
      <c r="AI150" s="1393">
        <v>0.0</v>
      </c>
      <c r="AJ150" s="1393">
        <v>0.0</v>
      </c>
      <c r="AK150" s="1393">
        <v>0.0</v>
      </c>
      <c r="AL150" s="1393">
        <v>0.0</v>
      </c>
      <c r="AM150" s="1393">
        <v>0.0</v>
      </c>
      <c r="AN150" s="1393">
        <v>0.0</v>
      </c>
      <c r="AO150" s="1393">
        <v>0.0</v>
      </c>
      <c r="AP150" s="1393">
        <v>0.0</v>
      </c>
      <c r="AQ150" s="1393">
        <v>0.0</v>
      </c>
      <c r="AR150" s="1393">
        <v>0.0</v>
      </c>
      <c r="AS150" s="1393">
        <v>0.0</v>
      </c>
      <c r="AT150" s="1393">
        <v>0.0</v>
      </c>
      <c r="AU150" s="1393">
        <v>0.0</v>
      </c>
      <c r="AV150" s="1393">
        <v>0.0</v>
      </c>
      <c r="AW150" s="1393">
        <v>0.0</v>
      </c>
      <c r="AX150" s="1393">
        <v>0.0</v>
      </c>
      <c r="AY150" s="1393">
        <v>0.0</v>
      </c>
      <c r="AZ150" s="1393">
        <v>0.0</v>
      </c>
      <c r="BA150" s="1393">
        <v>0.0</v>
      </c>
      <c r="BB150" s="1393">
        <v>0.0</v>
      </c>
      <c r="BC150" s="1393">
        <v>0.0</v>
      </c>
      <c r="BD150" s="1393">
        <v>0.0</v>
      </c>
      <c r="BE150" s="1393">
        <v>0.0</v>
      </c>
      <c r="BF150" s="1393">
        <v>0.0</v>
      </c>
      <c r="BG150" s="1393">
        <v>0.0</v>
      </c>
      <c r="BH150" s="1393">
        <v>0.0</v>
      </c>
      <c r="BI150" s="1393">
        <v>0.0</v>
      </c>
      <c r="BJ150" s="1393">
        <v>0.0</v>
      </c>
      <c r="BK150" s="1393">
        <v>0.0</v>
      </c>
      <c r="BL150" s="1393">
        <v>0.0</v>
      </c>
      <c r="BM150" s="1393">
        <v>0.0</v>
      </c>
      <c r="BN150" s="1393">
        <v>0.0</v>
      </c>
      <c r="BO150" s="1393">
        <v>0.0</v>
      </c>
      <c r="BP150" s="1393">
        <v>0.0</v>
      </c>
      <c r="BQ150" s="1393">
        <v>0.0</v>
      </c>
      <c r="BR150" s="1393">
        <v>0.0</v>
      </c>
      <c r="BS150" s="1393">
        <v>0.0</v>
      </c>
      <c r="BT150" s="1393">
        <v>0.0</v>
      </c>
      <c r="BU150" s="1393">
        <v>0.0</v>
      </c>
      <c r="BV150" s="1393">
        <v>0.0</v>
      </c>
      <c r="BW150" s="1393">
        <v>0.0</v>
      </c>
      <c r="BX150" s="1393">
        <v>0.0</v>
      </c>
      <c r="BY150" s="1393">
        <v>0.0</v>
      </c>
      <c r="BZ150" s="1393">
        <v>0.0</v>
      </c>
      <c r="CA150" s="1393">
        <v>0.0</v>
      </c>
      <c r="CB150" s="1393">
        <v>0.0</v>
      </c>
      <c r="CC150" s="1393">
        <v>0.0</v>
      </c>
      <c r="CD150" s="1393">
        <v>0.0</v>
      </c>
      <c r="CE150" s="1393">
        <v>0.0</v>
      </c>
      <c r="CF150" s="1393">
        <v>0.0</v>
      </c>
      <c r="CG150" s="1393">
        <v>0.0</v>
      </c>
      <c r="CH150" s="1393">
        <v>0.0</v>
      </c>
      <c r="CI150" s="1393">
        <v>0.0</v>
      </c>
      <c r="CJ150" s="1393">
        <v>0.0</v>
      </c>
      <c r="CK150" s="1393">
        <v>0.0</v>
      </c>
      <c r="CL150" s="1393">
        <v>2.243416064000005E7</v>
      </c>
      <c r="CM150" s="1393">
        <v>0.0</v>
      </c>
      <c r="CN150" s="1393">
        <v>0.0</v>
      </c>
      <c r="CO150" s="1393">
        <v>1.2452485383506389E8</v>
      </c>
      <c r="CP150" s="1393">
        <v>0.0</v>
      </c>
      <c r="CQ150" s="1393">
        <v>0.0</v>
      </c>
      <c r="CR150" s="1393">
        <v>0.0</v>
      </c>
      <c r="CS150" s="1393">
        <v>7286753.445545478</v>
      </c>
      <c r="CT150" s="1393">
        <v>2.2384291522706345E7</v>
      </c>
      <c r="CU150" s="1393">
        <v>0.0</v>
      </c>
      <c r="CV150" s="1393">
        <v>0.0</v>
      </c>
      <c r="CW150" s="1393">
        <v>1.242507670280892E8</v>
      </c>
      <c r="CX150" s="1393">
        <v>0.0</v>
      </c>
      <c r="CY150" s="1393">
        <v>0.0</v>
      </c>
      <c r="CZ150" s="1393">
        <v>0.0</v>
      </c>
      <c r="DA150" s="1393">
        <v>7270555.649332041</v>
      </c>
      <c r="DB150" s="1393">
        <v>2.2017141410233714E7</v>
      </c>
      <c r="DC150" s="1393">
        <v>0.0</v>
      </c>
      <c r="DD150" s="1393">
        <v>0.0</v>
      </c>
      <c r="DE150" s="1393">
        <v>1.2223235381710537E8</v>
      </c>
      <c r="DF150" s="1393">
        <v>0.0</v>
      </c>
      <c r="DG150" s="1393">
        <v>0.0</v>
      </c>
      <c r="DH150" s="1393">
        <v>0.0</v>
      </c>
      <c r="DI150" s="1393">
        <v>7151303.033197952</v>
      </c>
      <c r="DJ150" s="1393">
        <v>2.236165543704135E7</v>
      </c>
      <c r="DK150" s="1393">
        <v>0.0</v>
      </c>
      <c r="DL150" s="1393">
        <v>0.0</v>
      </c>
      <c r="DM150" s="1393">
        <v>1.2412584531425168E8</v>
      </c>
      <c r="DN150" s="1393">
        <v>0.0</v>
      </c>
      <c r="DO150" s="1393">
        <v>0.0</v>
      </c>
      <c r="DP150" s="1393">
        <v>0.0</v>
      </c>
      <c r="DQ150" s="1393">
        <v>7263203.30939564</v>
      </c>
      <c r="DR150" s="1379">
        <f t="shared" ref="DR150:DR155" si="48">SUM(Z150:DQ150)</f>
        <v>613302884.4</v>
      </c>
    </row>
    <row r="151" hidden="1">
      <c r="A151" s="25"/>
      <c r="B151" s="1394">
        <f t="shared" ref="B151:B155" si="49">B150+1</f>
        <v>2</v>
      </c>
      <c r="C151" s="1389" t="s">
        <v>1322</v>
      </c>
      <c r="D151" s="185" t="s">
        <v>186</v>
      </c>
      <c r="E151" s="185" t="s">
        <v>782</v>
      </c>
      <c r="F151" s="185" t="s">
        <v>1896</v>
      </c>
      <c r="G151" s="185" t="s">
        <v>86</v>
      </c>
      <c r="H151" s="185" t="s">
        <v>86</v>
      </c>
      <c r="I151" s="185" t="s">
        <v>103</v>
      </c>
      <c r="J151" s="185" t="s">
        <v>1889</v>
      </c>
      <c r="K151" s="185" t="s">
        <v>188</v>
      </c>
      <c r="L151" s="1390">
        <v>8.4136039E7</v>
      </c>
      <c r="M151" s="1390">
        <v>8.4136039E7</v>
      </c>
      <c r="N151" s="1390">
        <v>8.4136039E7</v>
      </c>
      <c r="O151" s="1390">
        <v>8.4136039E7</v>
      </c>
      <c r="P151" s="1390">
        <v>8.4136039E7</v>
      </c>
      <c r="Q151" s="1390">
        <v>8.4136039E7</v>
      </c>
      <c r="R151" s="1390">
        <v>8.4136039E7</v>
      </c>
      <c r="S151" s="1390">
        <v>8.4136039E7</v>
      </c>
      <c r="T151" s="1390">
        <v>8.4136039E7</v>
      </c>
      <c r="U151" s="1390">
        <v>8.4136039E7</v>
      </c>
      <c r="V151" s="1390">
        <v>8.4136039E7</v>
      </c>
      <c r="W151" s="1390">
        <v>8.4136039E7</v>
      </c>
      <c r="X151" s="1391">
        <v>1.009632468E9</v>
      </c>
      <c r="Y151" s="1392">
        <f t="shared" si="3"/>
        <v>0</v>
      </c>
      <c r="Z151" s="1393">
        <v>1.0397661981538452E7</v>
      </c>
      <c r="AA151" s="1393">
        <v>0.0</v>
      </c>
      <c r="AB151" s="1393">
        <v>0.0</v>
      </c>
      <c r="AC151" s="1393">
        <v>5.7935978922719106E7</v>
      </c>
      <c r="AD151" s="1393">
        <v>0.0</v>
      </c>
      <c r="AE151" s="1393">
        <v>0.0</v>
      </c>
      <c r="AF151" s="1393">
        <v>0.0</v>
      </c>
      <c r="AG151" s="1393">
        <v>3377224.6033802293</v>
      </c>
      <c r="AH151" s="1393">
        <v>1.0606948332703805E7</v>
      </c>
      <c r="AI151" s="1393">
        <v>0.0</v>
      </c>
      <c r="AJ151" s="1393">
        <v>0.0</v>
      </c>
      <c r="AK151" s="1393">
        <v>5.8952299875367574E7</v>
      </c>
      <c r="AL151" s="1393">
        <v>0.0</v>
      </c>
      <c r="AM151" s="1393">
        <v>0.0</v>
      </c>
      <c r="AN151" s="1393">
        <v>0.0</v>
      </c>
      <c r="AO151" s="1393">
        <v>3445202.09827882</v>
      </c>
      <c r="AP151" s="1393">
        <v>1.165576555071699E7</v>
      </c>
      <c r="AQ151" s="1393">
        <v>0.0</v>
      </c>
      <c r="AR151" s="1393">
        <v>0.0</v>
      </c>
      <c r="AS151" s="1393">
        <v>6.467816643671382E7</v>
      </c>
      <c r="AT151" s="1393">
        <v>0.0</v>
      </c>
      <c r="AU151" s="1393">
        <v>0.0</v>
      </c>
      <c r="AV151" s="1393">
        <v>0.0</v>
      </c>
      <c r="AW151" s="1393">
        <v>3785864.385571107</v>
      </c>
      <c r="AX151" s="1393">
        <v>1.0832218832294174E7</v>
      </c>
      <c r="AY151" s="1393">
        <v>0.0</v>
      </c>
      <c r="AZ151" s="1393">
        <v>0.0</v>
      </c>
      <c r="BA151" s="1393">
        <v>6.0147643752164185E7</v>
      </c>
      <c r="BB151" s="1393">
        <v>0.0</v>
      </c>
      <c r="BC151" s="1393">
        <v>0.0</v>
      </c>
      <c r="BD151" s="1393">
        <v>0.0</v>
      </c>
      <c r="BE151" s="1393">
        <v>3518371.342959324</v>
      </c>
      <c r="BF151" s="1393">
        <v>1.071715387176877E7</v>
      </c>
      <c r="BG151" s="1393">
        <v>0.0</v>
      </c>
      <c r="BH151" s="1393">
        <v>0.0</v>
      </c>
      <c r="BI151" s="1393">
        <v>5.95143573742197E7</v>
      </c>
      <c r="BJ151" s="1393">
        <v>0.0</v>
      </c>
      <c r="BK151" s="1393">
        <v>0.0</v>
      </c>
      <c r="BL151" s="1393">
        <v>0.0</v>
      </c>
      <c r="BM151" s="1393">
        <v>3480997.5356203904</v>
      </c>
      <c r="BN151" s="1393">
        <v>1.087768398763116E7</v>
      </c>
      <c r="BO151" s="1393">
        <v>0.0</v>
      </c>
      <c r="BP151" s="1393">
        <v>0.0</v>
      </c>
      <c r="BQ151" s="1393">
        <v>6.0393381034676865E7</v>
      </c>
      <c r="BR151" s="1393">
        <v>0.0</v>
      </c>
      <c r="BS151" s="1393">
        <v>0.0</v>
      </c>
      <c r="BT151" s="1393">
        <v>0.0</v>
      </c>
      <c r="BU151" s="1393">
        <v>3533138.7052253024</v>
      </c>
      <c r="BV151" s="1393">
        <v>1.1377783372635378E7</v>
      </c>
      <c r="BW151" s="1393">
        <v>0.0</v>
      </c>
      <c r="BX151" s="1393">
        <v>0.0</v>
      </c>
      <c r="BY151" s="1393">
        <v>6.314195793722899E7</v>
      </c>
      <c r="BZ151" s="1393">
        <v>0.0</v>
      </c>
      <c r="CA151" s="1393">
        <v>0.0</v>
      </c>
      <c r="CB151" s="1393">
        <v>0.0</v>
      </c>
      <c r="CC151" s="1393">
        <v>3695574.0633058376</v>
      </c>
      <c r="CD151" s="1393">
        <v>1.1448283465750538E7</v>
      </c>
      <c r="CE151" s="1393">
        <v>0.0</v>
      </c>
      <c r="CF151" s="1393">
        <v>0.0</v>
      </c>
      <c r="CG151" s="1393">
        <v>6.3529310900862195E7</v>
      </c>
      <c r="CH151" s="1393">
        <v>0.0</v>
      </c>
      <c r="CI151" s="1393">
        <v>0.0</v>
      </c>
      <c r="CJ151" s="1393">
        <v>0.0</v>
      </c>
      <c r="CK151" s="1393">
        <v>3718472.927438165</v>
      </c>
      <c r="CL151" s="1393">
        <v>1.1074669736790266E7</v>
      </c>
      <c r="CM151" s="1393">
        <v>0.0</v>
      </c>
      <c r="CN151" s="1393">
        <v>0.0</v>
      </c>
      <c r="CO151" s="1393">
        <v>6.147195129674395E7</v>
      </c>
      <c r="CP151" s="1393">
        <v>0.0</v>
      </c>
      <c r="CQ151" s="1393">
        <v>0.0</v>
      </c>
      <c r="CR151" s="1393">
        <v>0.0</v>
      </c>
      <c r="CS151" s="1393">
        <v>3597120.8888889593</v>
      </c>
      <c r="CT151" s="1393">
        <v>1.1050051744035577E7</v>
      </c>
      <c r="CU151" s="1393">
        <v>0.0</v>
      </c>
      <c r="CV151" s="1393">
        <v>0.0</v>
      </c>
      <c r="CW151" s="1393">
        <v>6.1336647778365634E7</v>
      </c>
      <c r="CX151" s="1393">
        <v>0.0</v>
      </c>
      <c r="CY151" s="1393">
        <v>0.0</v>
      </c>
      <c r="CZ151" s="1393">
        <v>0.0</v>
      </c>
      <c r="DA151" s="1393">
        <v>3589124.813332301</v>
      </c>
      <c r="DB151" s="1393">
        <v>1.0868807332679706E7</v>
      </c>
      <c r="DC151" s="1393">
        <v>0.0</v>
      </c>
      <c r="DD151" s="1393">
        <v>0.0</v>
      </c>
      <c r="DE151" s="1393">
        <v>6.034025392781237E7</v>
      </c>
      <c r="DF151" s="1393">
        <v>0.0</v>
      </c>
      <c r="DG151" s="1393">
        <v>0.0</v>
      </c>
      <c r="DH151" s="1393">
        <v>0.0</v>
      </c>
      <c r="DI151" s="1393">
        <v>3530255.5130662383</v>
      </c>
      <c r="DJ151" s="1393">
        <v>1.103887739359313E7</v>
      </c>
      <c r="DK151" s="1393">
        <v>0.0</v>
      </c>
      <c r="DL151" s="1393">
        <v>0.0</v>
      </c>
      <c r="DM151" s="1393">
        <v>6.1274979916308984E7</v>
      </c>
      <c r="DN151" s="1393">
        <v>0.0</v>
      </c>
      <c r="DO151" s="1393">
        <v>0.0</v>
      </c>
      <c r="DP151" s="1393">
        <v>0.0</v>
      </c>
      <c r="DQ151" s="1393">
        <v>3585495.315536736</v>
      </c>
      <c r="DR151" s="1379">
        <f t="shared" si="48"/>
        <v>907519676.9</v>
      </c>
    </row>
    <row r="152" hidden="1">
      <c r="A152" s="25"/>
      <c r="B152" s="1394">
        <f t="shared" si="49"/>
        <v>3</v>
      </c>
      <c r="C152" s="1389" t="s">
        <v>1835</v>
      </c>
      <c r="D152" s="185" t="s">
        <v>186</v>
      </c>
      <c r="E152" s="185" t="s">
        <v>782</v>
      </c>
      <c r="F152" s="185" t="s">
        <v>1896</v>
      </c>
      <c r="G152" s="185" t="s">
        <v>86</v>
      </c>
      <c r="H152" s="185" t="s">
        <v>86</v>
      </c>
      <c r="I152" s="185" t="s">
        <v>103</v>
      </c>
      <c r="J152" s="185" t="s">
        <v>253</v>
      </c>
      <c r="K152" s="185" t="s">
        <v>254</v>
      </c>
      <c r="L152" s="1390">
        <v>2.27278525E8</v>
      </c>
      <c r="M152" s="1390">
        <v>2.27278525E8</v>
      </c>
      <c r="N152" s="1390">
        <v>2.27278525E8</v>
      </c>
      <c r="O152" s="1390">
        <v>2.27278525E8</v>
      </c>
      <c r="P152" s="1390">
        <v>2.27278525E8</v>
      </c>
      <c r="Q152" s="1390">
        <v>2.27278525E8</v>
      </c>
      <c r="R152" s="1390">
        <v>2.27278525E8</v>
      </c>
      <c r="S152" s="1390">
        <v>2.27278525E8</v>
      </c>
      <c r="T152" s="1390">
        <v>2.27278525E8</v>
      </c>
      <c r="U152" s="1390">
        <v>2.27278525E8</v>
      </c>
      <c r="V152" s="1390">
        <v>2.27278525E8</v>
      </c>
      <c r="W152" s="1390">
        <v>2.27278525E8</v>
      </c>
      <c r="X152" s="1391">
        <v>2.7273423E9</v>
      </c>
      <c r="Y152" s="1392">
        <f t="shared" si="3"/>
        <v>0</v>
      </c>
      <c r="Z152" s="1393">
        <v>2.808743205289991E7</v>
      </c>
      <c r="AA152" s="1393">
        <v>0.0</v>
      </c>
      <c r="AB152" s="1393">
        <v>0.0</v>
      </c>
      <c r="AC152" s="1393">
        <v>1.5650372884783283E8</v>
      </c>
      <c r="AD152" s="1393">
        <v>0.0</v>
      </c>
      <c r="AE152" s="1393">
        <v>0.0</v>
      </c>
      <c r="AF152" s="1393">
        <v>0.0</v>
      </c>
      <c r="AG152" s="1393">
        <v>9122970.793169482</v>
      </c>
      <c r="AH152" s="1393">
        <v>2.8652781857345697E7</v>
      </c>
      <c r="AI152" s="1393">
        <v>0.0</v>
      </c>
      <c r="AJ152" s="1393">
        <v>0.0</v>
      </c>
      <c r="AK152" s="1393">
        <v>1.59249138897913E8</v>
      </c>
      <c r="AL152" s="1393">
        <v>0.0</v>
      </c>
      <c r="AM152" s="1393">
        <v>0.0</v>
      </c>
      <c r="AN152" s="1393">
        <v>0.0</v>
      </c>
      <c r="AO152" s="1393">
        <v>9306599.889064368</v>
      </c>
      <c r="AP152" s="1393">
        <v>3.1485974780828107E7</v>
      </c>
      <c r="AQ152" s="1393">
        <v>0.0</v>
      </c>
      <c r="AR152" s="1393">
        <v>0.0</v>
      </c>
      <c r="AS152" s="1393">
        <v>1.7471654765493327E8</v>
      </c>
      <c r="AT152" s="1393">
        <v>0.0</v>
      </c>
      <c r="AU152" s="1393">
        <v>0.0</v>
      </c>
      <c r="AV152" s="1393">
        <v>0.0</v>
      </c>
      <c r="AW152" s="1393">
        <v>1.0226838387324514E7</v>
      </c>
      <c r="AX152" s="1393">
        <v>2.9261309992036138E7</v>
      </c>
      <c r="AY152" s="1393">
        <v>0.0</v>
      </c>
      <c r="AZ152" s="1393">
        <v>0.0</v>
      </c>
      <c r="BA152" s="1393">
        <v>1.6247814749417123E8</v>
      </c>
      <c r="BB152" s="1393">
        <v>0.0</v>
      </c>
      <c r="BC152" s="1393">
        <v>0.0</v>
      </c>
      <c r="BD152" s="1393">
        <v>0.0</v>
      </c>
      <c r="BE152" s="1393">
        <v>9504253.572361117</v>
      </c>
      <c r="BF152" s="1393">
        <v>2.8950482493876915E7</v>
      </c>
      <c r="BG152" s="1393">
        <v>0.0</v>
      </c>
      <c r="BH152" s="1393">
        <v>0.0</v>
      </c>
      <c r="BI152" s="1393">
        <v>1.6076743713042545E8</v>
      </c>
      <c r="BJ152" s="1393">
        <v>0.0</v>
      </c>
      <c r="BK152" s="1393">
        <v>0.0</v>
      </c>
      <c r="BL152" s="1393">
        <v>0.0</v>
      </c>
      <c r="BM152" s="1393">
        <v>9403294.887990119</v>
      </c>
      <c r="BN152" s="1393">
        <v>2.938412601198077E7</v>
      </c>
      <c r="BO152" s="1393">
        <v>0.0</v>
      </c>
      <c r="BP152" s="1393">
        <v>0.0</v>
      </c>
      <c r="BQ152" s="1393">
        <v>1.6314196299785793E8</v>
      </c>
      <c r="BR152" s="1393">
        <v>0.0</v>
      </c>
      <c r="BS152" s="1393">
        <v>0.0</v>
      </c>
      <c r="BT152" s="1393">
        <v>0.0</v>
      </c>
      <c r="BU152" s="1393">
        <v>9544144.971502837</v>
      </c>
      <c r="BV152" s="1393">
        <v>3.0735055434474327E7</v>
      </c>
      <c r="BW152" s="1393">
        <v>0.0</v>
      </c>
      <c r="BX152" s="1393">
        <v>0.0</v>
      </c>
      <c r="BY152" s="1393">
        <v>1.705667539873781E8</v>
      </c>
      <c r="BZ152" s="1393">
        <v>0.0</v>
      </c>
      <c r="CA152" s="1393">
        <v>0.0</v>
      </c>
      <c r="CB152" s="1393">
        <v>0.0</v>
      </c>
      <c r="CC152" s="1393">
        <v>9982935.162141485</v>
      </c>
      <c r="CD152" s="1393">
        <v>3.092549888018463E7</v>
      </c>
      <c r="CE152" s="1393">
        <v>0.0</v>
      </c>
      <c r="CF152" s="1393">
        <v>0.0</v>
      </c>
      <c r="CG152" s="1393">
        <v>1.7161311903231362E8</v>
      </c>
      <c r="CH152" s="1393">
        <v>0.0</v>
      </c>
      <c r="CI152" s="1393">
        <v>0.0</v>
      </c>
      <c r="CJ152" s="1393">
        <v>0.0</v>
      </c>
      <c r="CK152" s="1393">
        <v>1.0044792365380764E7</v>
      </c>
      <c r="CL152" s="1393">
        <v>2.9916247930804417E7</v>
      </c>
      <c r="CM152" s="1393">
        <v>0.0</v>
      </c>
      <c r="CN152" s="1393">
        <v>0.0</v>
      </c>
      <c r="CO152" s="1393">
        <v>1.660555284709303E8</v>
      </c>
      <c r="CP152" s="1393">
        <v>0.0</v>
      </c>
      <c r="CQ152" s="1393">
        <v>0.0</v>
      </c>
      <c r="CR152" s="1393">
        <v>0.0</v>
      </c>
      <c r="CS152" s="1393">
        <v>9716981.445648655</v>
      </c>
      <c r="CT152" s="1393">
        <v>2.9849746807763122E7</v>
      </c>
      <c r="CU152" s="1393">
        <v>0.0</v>
      </c>
      <c r="CV152" s="1393">
        <v>0.0</v>
      </c>
      <c r="CW152" s="1393">
        <v>1.6569003011315364E8</v>
      </c>
      <c r="CX152" s="1393">
        <v>0.0</v>
      </c>
      <c r="CY152" s="1393">
        <v>0.0</v>
      </c>
      <c r="CZ152" s="1393">
        <v>0.0</v>
      </c>
      <c r="DA152" s="1393">
        <v>9695381.471607735</v>
      </c>
      <c r="DB152" s="1393">
        <v>2.936014730953317E7</v>
      </c>
      <c r="DC152" s="1393">
        <v>0.0</v>
      </c>
      <c r="DD152" s="1393">
        <v>0.0</v>
      </c>
      <c r="DE152" s="1393">
        <v>1.6299844958043072E8</v>
      </c>
      <c r="DF152" s="1393">
        <v>0.0</v>
      </c>
      <c r="DG152" s="1393">
        <v>0.0</v>
      </c>
      <c r="DH152" s="1393">
        <v>0.0</v>
      </c>
      <c r="DI152" s="1393">
        <v>9536356.541372394</v>
      </c>
      <c r="DJ152" s="1393">
        <v>2.9819561290158797E7</v>
      </c>
      <c r="DK152" s="1393">
        <v>0.0</v>
      </c>
      <c r="DL152" s="1393">
        <v>0.0</v>
      </c>
      <c r="DM152" s="1393">
        <v>1.655234453666559E8</v>
      </c>
      <c r="DN152" s="1393">
        <v>0.0</v>
      </c>
      <c r="DO152" s="1393">
        <v>0.0</v>
      </c>
      <c r="DP152" s="1393">
        <v>0.0</v>
      </c>
      <c r="DQ152" s="1393">
        <v>9685577.029714923</v>
      </c>
      <c r="DR152" s="1379">
        <f t="shared" si="48"/>
        <v>2451502781</v>
      </c>
    </row>
    <row r="153" hidden="1">
      <c r="A153" s="25"/>
      <c r="B153" s="1394">
        <f t="shared" si="49"/>
        <v>4</v>
      </c>
      <c r="C153" s="1389" t="s">
        <v>1836</v>
      </c>
      <c r="D153" s="185" t="s">
        <v>186</v>
      </c>
      <c r="E153" s="185" t="s">
        <v>782</v>
      </c>
      <c r="F153" s="185" t="s">
        <v>1896</v>
      </c>
      <c r="G153" s="185" t="s">
        <v>218</v>
      </c>
      <c r="H153" s="185" t="s">
        <v>88</v>
      </c>
      <c r="I153" s="185" t="s">
        <v>88</v>
      </c>
      <c r="J153" s="185" t="s">
        <v>1889</v>
      </c>
      <c r="K153" s="185" t="s">
        <v>188</v>
      </c>
      <c r="L153" s="1390">
        <v>2.527479E7</v>
      </c>
      <c r="M153" s="1390">
        <v>2.527479E7</v>
      </c>
      <c r="N153" s="1390">
        <v>2.527479E7</v>
      </c>
      <c r="O153" s="1390">
        <v>2.527479E7</v>
      </c>
      <c r="P153" s="1390">
        <v>2.527479E7</v>
      </c>
      <c r="Q153" s="1390">
        <v>2.527479E7</v>
      </c>
      <c r="R153" s="1390">
        <v>2.527479E7</v>
      </c>
      <c r="S153" s="1390">
        <v>2.527479E7</v>
      </c>
      <c r="T153" s="1390">
        <v>2.527479E7</v>
      </c>
      <c r="U153" s="1390">
        <v>2.527479E7</v>
      </c>
      <c r="V153" s="1390">
        <v>2.527479E7</v>
      </c>
      <c r="W153" s="1390">
        <v>2.527479E7</v>
      </c>
      <c r="X153" s="1391">
        <v>3.0329748E8</v>
      </c>
      <c r="Y153" s="1392">
        <f t="shared" si="3"/>
        <v>0</v>
      </c>
      <c r="Z153" s="1393">
        <v>429876.64611090574</v>
      </c>
      <c r="AA153" s="1393">
        <v>0.0</v>
      </c>
      <c r="AB153" s="1393">
        <v>0.0</v>
      </c>
      <c r="AC153" s="1393">
        <v>1.838914778699544E7</v>
      </c>
      <c r="AD153" s="1393">
        <v>0.0</v>
      </c>
      <c r="AE153" s="1393">
        <v>0.0</v>
      </c>
      <c r="AF153" s="1393">
        <v>0.0</v>
      </c>
      <c r="AG153" s="1393">
        <v>1898914.7095793495</v>
      </c>
      <c r="AH153" s="1393">
        <v>424782.9510452111</v>
      </c>
      <c r="AI153" s="1393">
        <v>0.0</v>
      </c>
      <c r="AJ153" s="1393">
        <v>0.0</v>
      </c>
      <c r="AK153" s="1393">
        <v>1.816741518530728E7</v>
      </c>
      <c r="AL153" s="1393">
        <v>0.0</v>
      </c>
      <c r="AM153" s="1393">
        <v>0.0</v>
      </c>
      <c r="AN153" s="1393">
        <v>0.0</v>
      </c>
      <c r="AO153" s="1393">
        <v>1876414.086263646</v>
      </c>
      <c r="AP153" s="1393">
        <v>533035.5315554568</v>
      </c>
      <c r="AQ153" s="1393">
        <v>0.0</v>
      </c>
      <c r="AR153" s="1393">
        <v>0.0</v>
      </c>
      <c r="AS153" s="1393">
        <v>2.2767471583136942E7</v>
      </c>
      <c r="AT153" s="1393">
        <v>0.0</v>
      </c>
      <c r="AU153" s="1393">
        <v>0.0</v>
      </c>
      <c r="AV153" s="1393">
        <v>0.0</v>
      </c>
      <c r="AW153" s="1393">
        <v>2354603.3978732713</v>
      </c>
      <c r="AX153" s="1393">
        <v>443334.18410899304</v>
      </c>
      <c r="AY153" s="1393">
        <v>0.0</v>
      </c>
      <c r="AZ153" s="1393">
        <v>0.0</v>
      </c>
      <c r="BA153" s="1393">
        <v>1.8955672218102828E7</v>
      </c>
      <c r="BB153" s="1393">
        <v>0.0</v>
      </c>
      <c r="BC153" s="1393">
        <v>0.0</v>
      </c>
      <c r="BD153" s="1393">
        <v>0.0</v>
      </c>
      <c r="BE153" s="1393">
        <v>1958361.337095602</v>
      </c>
      <c r="BF153" s="1393">
        <v>423623.56028251746</v>
      </c>
      <c r="BG153" s="1393">
        <v>0.0</v>
      </c>
      <c r="BH153" s="1393">
        <v>0.0</v>
      </c>
      <c r="BI153" s="1393">
        <v>1.8116072992383886E7</v>
      </c>
      <c r="BJ153" s="1393">
        <v>0.0</v>
      </c>
      <c r="BK153" s="1393">
        <v>0.0</v>
      </c>
      <c r="BL153" s="1393">
        <v>0.0</v>
      </c>
      <c r="BM153" s="1393">
        <v>1871292.6538868307</v>
      </c>
      <c r="BN153" s="1393">
        <v>442932.67492910306</v>
      </c>
      <c r="BO153" s="1393">
        <v>0.0</v>
      </c>
      <c r="BP153" s="1393">
        <v>0.0</v>
      </c>
      <c r="BQ153" s="1393">
        <v>1.8937357083767958E7</v>
      </c>
      <c r="BR153" s="1393">
        <v>0.0</v>
      </c>
      <c r="BS153" s="1393">
        <v>0.0</v>
      </c>
      <c r="BT153" s="1393">
        <v>0.0</v>
      </c>
      <c r="BU153" s="1393">
        <v>1956587.7313539968</v>
      </c>
      <c r="BV153" s="1393">
        <v>406088.79965666664</v>
      </c>
      <c r="BW153" s="1393">
        <v>0.0</v>
      </c>
      <c r="BX153" s="1393">
        <v>0.0</v>
      </c>
      <c r="BY153" s="1393">
        <v>1.734967321340515E7</v>
      </c>
      <c r="BZ153" s="1393">
        <v>0.0</v>
      </c>
      <c r="CA153" s="1393">
        <v>0.0</v>
      </c>
      <c r="CB153" s="1393">
        <v>0.0</v>
      </c>
      <c r="CC153" s="1393">
        <v>1793835.5154667296</v>
      </c>
      <c r="CD153" s="1393">
        <v>397271.7162101547</v>
      </c>
      <c r="CE153" s="1393">
        <v>0.0</v>
      </c>
      <c r="CF153" s="1393">
        <v>0.0</v>
      </c>
      <c r="CG153" s="1393">
        <v>1.6971782456308126E7</v>
      </c>
      <c r="CH153" s="1393">
        <v>0.0</v>
      </c>
      <c r="CI153" s="1393">
        <v>0.0</v>
      </c>
      <c r="CJ153" s="1393">
        <v>0.0</v>
      </c>
      <c r="CK153" s="1393">
        <v>1754887.390222795</v>
      </c>
      <c r="CL153" s="1393">
        <v>481235.81636550504</v>
      </c>
      <c r="CM153" s="1393">
        <v>0.0</v>
      </c>
      <c r="CN153" s="1393">
        <v>0.0</v>
      </c>
      <c r="CO153" s="1393">
        <v>2.0568393028068308E7</v>
      </c>
      <c r="CP153" s="1393">
        <v>0.0</v>
      </c>
      <c r="CQ153" s="1393">
        <v>0.0</v>
      </c>
      <c r="CR153" s="1393">
        <v>0.0</v>
      </c>
      <c r="CS153" s="1393">
        <v>2125786.033598862</v>
      </c>
      <c r="CT153" s="1393">
        <v>486509.67711862625</v>
      </c>
      <c r="CU153" s="1393">
        <v>0.0</v>
      </c>
      <c r="CV153" s="1393">
        <v>0.0</v>
      </c>
      <c r="CW153" s="1393">
        <v>2.079481457733586E7</v>
      </c>
      <c r="CX153" s="1393">
        <v>0.0</v>
      </c>
      <c r="CY153" s="1393">
        <v>0.0</v>
      </c>
      <c r="CZ153" s="1393">
        <v>0.0</v>
      </c>
      <c r="DA153" s="1393">
        <v>2149082.5114396038</v>
      </c>
      <c r="DB153" s="1393">
        <v>455657.127313082</v>
      </c>
      <c r="DC153" s="1393">
        <v>0.0</v>
      </c>
      <c r="DD153" s="1393">
        <v>0.0</v>
      </c>
      <c r="DE153" s="1393">
        <v>1.9481076427577466E7</v>
      </c>
      <c r="DF153" s="1393">
        <v>0.0</v>
      </c>
      <c r="DG153" s="1393">
        <v>0.0</v>
      </c>
      <c r="DH153" s="1393">
        <v>0.0</v>
      </c>
      <c r="DI153" s="1393">
        <v>2012796.0646558383</v>
      </c>
      <c r="DJ153" s="1393">
        <v>450081.6589301593</v>
      </c>
      <c r="DK153" s="1393">
        <v>0.0</v>
      </c>
      <c r="DL153" s="1393">
        <v>0.0</v>
      </c>
      <c r="DM153" s="1393">
        <v>1.923809538092644E7</v>
      </c>
      <c r="DN153" s="1393">
        <v>0.0</v>
      </c>
      <c r="DO153" s="1393">
        <v>0.0</v>
      </c>
      <c r="DP153" s="1393">
        <v>0.0</v>
      </c>
      <c r="DQ153" s="1393">
        <v>1988167.2809782177</v>
      </c>
      <c r="DR153" s="1379">
        <f t="shared" si="48"/>
        <v>258852131</v>
      </c>
    </row>
    <row r="154" hidden="1">
      <c r="A154" s="25"/>
      <c r="B154" s="1394">
        <f t="shared" si="49"/>
        <v>5</v>
      </c>
      <c r="C154" s="1389" t="s">
        <v>1837</v>
      </c>
      <c r="D154" s="185" t="s">
        <v>186</v>
      </c>
      <c r="E154" s="185" t="s">
        <v>782</v>
      </c>
      <c r="F154" s="185" t="s">
        <v>1896</v>
      </c>
      <c r="G154" s="185" t="s">
        <v>203</v>
      </c>
      <c r="H154" s="185" t="s">
        <v>135</v>
      </c>
      <c r="I154" s="185" t="s">
        <v>135</v>
      </c>
      <c r="J154" s="185" t="s">
        <v>1889</v>
      </c>
      <c r="K154" s="185" t="s">
        <v>188</v>
      </c>
      <c r="L154" s="1390">
        <v>1.2311978E7</v>
      </c>
      <c r="M154" s="1390">
        <v>1.2311978E7</v>
      </c>
      <c r="N154" s="1390">
        <v>1.2311978E7</v>
      </c>
      <c r="O154" s="1390">
        <v>1.2311978E7</v>
      </c>
      <c r="P154" s="1390">
        <v>1.2311978E7</v>
      </c>
      <c r="Q154" s="1390">
        <v>1.2311978E7</v>
      </c>
      <c r="R154" s="1390">
        <v>1.2311978E7</v>
      </c>
      <c r="S154" s="1390">
        <v>1.2311978E7</v>
      </c>
      <c r="T154" s="1390">
        <v>1.2311978E7</v>
      </c>
      <c r="U154" s="1390">
        <v>1.2311978E7</v>
      </c>
      <c r="V154" s="1390">
        <v>1.2311978E7</v>
      </c>
      <c r="W154" s="1390">
        <v>1.2311978E7</v>
      </c>
      <c r="X154" s="1391">
        <v>1.47743736E8</v>
      </c>
      <c r="Y154" s="1392">
        <f t="shared" si="3"/>
        <v>0</v>
      </c>
      <c r="Z154" s="1393">
        <v>209403.591864908</v>
      </c>
      <c r="AA154" s="1393">
        <v>0.0</v>
      </c>
      <c r="AB154" s="1393">
        <v>0.0</v>
      </c>
      <c r="AC154" s="1393">
        <v>8957810.648169048</v>
      </c>
      <c r="AD154" s="1393">
        <v>0.0</v>
      </c>
      <c r="AE154" s="1393">
        <v>0.0</v>
      </c>
      <c r="AF154" s="1393">
        <v>0.0</v>
      </c>
      <c r="AG154" s="1393">
        <v>925008.521464168</v>
      </c>
      <c r="AH154" s="1393">
        <v>206922.32647803272</v>
      </c>
      <c r="AI154" s="1393">
        <v>0.0</v>
      </c>
      <c r="AJ154" s="1393">
        <v>0.0</v>
      </c>
      <c r="AK154" s="1393">
        <v>8849799.190354072</v>
      </c>
      <c r="AL154" s="1393">
        <v>0.0</v>
      </c>
      <c r="AM154" s="1393">
        <v>0.0</v>
      </c>
      <c r="AN154" s="1393">
        <v>0.0</v>
      </c>
      <c r="AO154" s="1393">
        <v>914047.9089625715</v>
      </c>
      <c r="AP154" s="1393">
        <v>259654.84728969418</v>
      </c>
      <c r="AQ154" s="1393">
        <v>0.0</v>
      </c>
      <c r="AR154" s="1393">
        <v>0.0</v>
      </c>
      <c r="AS154" s="1393">
        <v>1.1090600920807142E7</v>
      </c>
      <c r="AT154" s="1393">
        <v>0.0</v>
      </c>
      <c r="AU154" s="1393">
        <v>0.0</v>
      </c>
      <c r="AV154" s="1393">
        <v>0.0</v>
      </c>
      <c r="AW154" s="1393">
        <v>1146985.8002120277</v>
      </c>
      <c r="AX154" s="1393">
        <v>215959.09289049968</v>
      </c>
      <c r="AY154" s="1393">
        <v>0.0</v>
      </c>
      <c r="AZ154" s="1393">
        <v>0.0</v>
      </c>
      <c r="BA154" s="1393">
        <v>9233778.770248663</v>
      </c>
      <c r="BB154" s="1393">
        <v>0.0</v>
      </c>
      <c r="BC154" s="1393">
        <v>0.0</v>
      </c>
      <c r="BD154" s="1393">
        <v>0.0</v>
      </c>
      <c r="BE154" s="1393">
        <v>953966.4502997505</v>
      </c>
      <c r="BF154" s="1393">
        <v>206357.55843985363</v>
      </c>
      <c r="BG154" s="1393">
        <v>0.0</v>
      </c>
      <c r="BH154" s="1393">
        <v>0.0</v>
      </c>
      <c r="BI154" s="1393">
        <v>8824789.132911673</v>
      </c>
      <c r="BJ154" s="1393">
        <v>0.0</v>
      </c>
      <c r="BK154" s="1393">
        <v>0.0</v>
      </c>
      <c r="BL154" s="1393">
        <v>0.0</v>
      </c>
      <c r="BM154" s="1393">
        <v>911553.1320424926</v>
      </c>
      <c r="BN154" s="1393">
        <v>215763.50779603978</v>
      </c>
      <c r="BO154" s="1393">
        <v>0.0</v>
      </c>
      <c r="BP154" s="1393">
        <v>0.0</v>
      </c>
      <c r="BQ154" s="1393">
        <v>9224857.013391418</v>
      </c>
      <c r="BR154" s="1393">
        <v>0.0</v>
      </c>
      <c r="BS154" s="1393">
        <v>0.0</v>
      </c>
      <c r="BT154" s="1393">
        <v>0.0</v>
      </c>
      <c r="BU154" s="1393">
        <v>953102.482889089</v>
      </c>
      <c r="BV154" s="1393">
        <v>197815.94099967938</v>
      </c>
      <c r="BW154" s="1393">
        <v>0.0</v>
      </c>
      <c r="BX154" s="1393">
        <v>0.0</v>
      </c>
      <c r="BY154" s="1393">
        <v>8451456.764255352</v>
      </c>
      <c r="BZ154" s="1393">
        <v>0.0</v>
      </c>
      <c r="CA154" s="1393">
        <v>0.0</v>
      </c>
      <c r="CB154" s="1393">
        <v>0.0</v>
      </c>
      <c r="CC154" s="1393">
        <v>873821.835989341</v>
      </c>
      <c r="CD154" s="1393">
        <v>193520.92064866482</v>
      </c>
      <c r="CE154" s="1393">
        <v>0.0</v>
      </c>
      <c r="CF154" s="1393">
        <v>0.0</v>
      </c>
      <c r="CG154" s="1393">
        <v>8267376.790187044</v>
      </c>
      <c r="CH154" s="1393">
        <v>0.0</v>
      </c>
      <c r="CI154" s="1393">
        <v>0.0</v>
      </c>
      <c r="CJ154" s="1393">
        <v>0.0</v>
      </c>
      <c r="CK154" s="1393">
        <v>854849.2367651905</v>
      </c>
      <c r="CL154" s="1393">
        <v>234421.91938703103</v>
      </c>
      <c r="CM154" s="1393">
        <v>0.0</v>
      </c>
      <c r="CN154" s="1393">
        <v>0.0</v>
      </c>
      <c r="CO154" s="1393">
        <v>1.0019375134548314E7</v>
      </c>
      <c r="CP154" s="1393">
        <v>0.0</v>
      </c>
      <c r="CQ154" s="1393">
        <v>0.0</v>
      </c>
      <c r="CR154" s="1393">
        <v>0.0</v>
      </c>
      <c r="CS154" s="1393">
        <v>1035523.1785655371</v>
      </c>
      <c r="CT154" s="1393">
        <v>236990.9479553195</v>
      </c>
      <c r="CU154" s="1393">
        <v>0.0</v>
      </c>
      <c r="CV154" s="1393">
        <v>0.0</v>
      </c>
      <c r="CW154" s="1393">
        <v>1.0129670695196217E7</v>
      </c>
      <c r="CX154" s="1393">
        <v>0.0</v>
      </c>
      <c r="CY154" s="1393">
        <v>0.0</v>
      </c>
      <c r="CZ154" s="1393">
        <v>0.0</v>
      </c>
      <c r="DA154" s="1393">
        <v>1046871.4715742109</v>
      </c>
      <c r="DB154" s="1393">
        <v>221961.90461016152</v>
      </c>
      <c r="DC154" s="1393">
        <v>0.0</v>
      </c>
      <c r="DD154" s="1393">
        <v>0.0</v>
      </c>
      <c r="DE154" s="1393">
        <v>9489716.211001253</v>
      </c>
      <c r="DF154" s="1393">
        <v>0.0</v>
      </c>
      <c r="DG154" s="1393">
        <v>0.0</v>
      </c>
      <c r="DH154" s="1393">
        <v>0.0</v>
      </c>
      <c r="DI154" s="1393">
        <v>980482.9581780605</v>
      </c>
      <c r="DJ154" s="1393">
        <v>219245.95547387828</v>
      </c>
      <c r="DK154" s="1393">
        <v>0.0</v>
      </c>
      <c r="DL154" s="1393">
        <v>0.0</v>
      </c>
      <c r="DM154" s="1393">
        <v>9371354.107862735</v>
      </c>
      <c r="DN154" s="1393">
        <v>0.0</v>
      </c>
      <c r="DO154" s="1393">
        <v>0.0</v>
      </c>
      <c r="DP154" s="1393">
        <v>0.0</v>
      </c>
      <c r="DQ154" s="1393">
        <v>968485.6659035995</v>
      </c>
      <c r="DR154" s="1379">
        <f t="shared" si="48"/>
        <v>126093302.5</v>
      </c>
    </row>
    <row r="155" hidden="1">
      <c r="A155" s="25"/>
      <c r="B155" s="1394">
        <f t="shared" si="49"/>
        <v>6</v>
      </c>
      <c r="C155" s="1389" t="s">
        <v>1354</v>
      </c>
      <c r="D155" s="185" t="s">
        <v>186</v>
      </c>
      <c r="E155" s="185" t="s">
        <v>782</v>
      </c>
      <c r="F155" s="185" t="s">
        <v>1896</v>
      </c>
      <c r="G155" s="185" t="s">
        <v>218</v>
      </c>
      <c r="H155" s="185" t="s">
        <v>88</v>
      </c>
      <c r="I155" s="185" t="s">
        <v>88</v>
      </c>
      <c r="J155" s="185" t="s">
        <v>1889</v>
      </c>
      <c r="K155" s="185" t="s">
        <v>188</v>
      </c>
      <c r="L155" s="1390">
        <v>9.561966E7</v>
      </c>
      <c r="M155" s="1390">
        <v>9.561966E7</v>
      </c>
      <c r="N155" s="1390">
        <v>9.561966E7</v>
      </c>
      <c r="O155" s="1390">
        <v>9.561966E7</v>
      </c>
      <c r="P155" s="1390">
        <v>9.561966E7</v>
      </c>
      <c r="Q155" s="1390">
        <v>9.561966E7</v>
      </c>
      <c r="R155" s="1390">
        <v>9.561966E7</v>
      </c>
      <c r="S155" s="1390">
        <v>9.561966E7</v>
      </c>
      <c r="T155" s="1390">
        <v>9.561966E7</v>
      </c>
      <c r="U155" s="1390">
        <v>9.561966E7</v>
      </c>
      <c r="V155" s="1390">
        <v>9.561966E7</v>
      </c>
      <c r="W155" s="1390">
        <v>9.561966E7</v>
      </c>
      <c r="X155" s="1391">
        <v>1.14743592E9</v>
      </c>
      <c r="Y155" s="1392">
        <f t="shared" si="3"/>
        <v>0</v>
      </c>
      <c r="Z155" s="1393">
        <v>1720391.5237823238</v>
      </c>
      <c r="AA155" s="1393">
        <v>0.0</v>
      </c>
      <c r="AB155" s="1393">
        <v>0.0</v>
      </c>
      <c r="AC155" s="1393">
        <v>7.540858974840817E7</v>
      </c>
      <c r="AD155" s="1393">
        <v>0.0</v>
      </c>
      <c r="AE155" s="1393">
        <v>0.0</v>
      </c>
      <c r="AF155" s="1393">
        <v>0.0</v>
      </c>
      <c r="AG155" s="1393">
        <v>1.156342760512398E7</v>
      </c>
      <c r="AH155" s="1393">
        <v>1720391.5237823238</v>
      </c>
      <c r="AI155" s="1393">
        <v>0.0</v>
      </c>
      <c r="AJ155" s="1393">
        <v>0.0</v>
      </c>
      <c r="AK155" s="1393">
        <v>7.540858974840817E7</v>
      </c>
      <c r="AL155" s="1393">
        <v>0.0</v>
      </c>
      <c r="AM155" s="1393">
        <v>0.0</v>
      </c>
      <c r="AN155" s="1393">
        <v>0.0</v>
      </c>
      <c r="AO155" s="1393">
        <v>1.156342760512398E7</v>
      </c>
      <c r="AP155" s="1393">
        <v>1720391.5237823238</v>
      </c>
      <c r="AQ155" s="1393">
        <v>0.0</v>
      </c>
      <c r="AR155" s="1393">
        <v>0.0</v>
      </c>
      <c r="AS155" s="1393">
        <v>7.540858974840817E7</v>
      </c>
      <c r="AT155" s="1393">
        <v>0.0</v>
      </c>
      <c r="AU155" s="1393">
        <v>0.0</v>
      </c>
      <c r="AV155" s="1393">
        <v>0.0</v>
      </c>
      <c r="AW155" s="1393">
        <v>1.156342760512398E7</v>
      </c>
      <c r="AX155" s="1393">
        <v>1720391.5237823238</v>
      </c>
      <c r="AY155" s="1393">
        <v>0.0</v>
      </c>
      <c r="AZ155" s="1393">
        <v>0.0</v>
      </c>
      <c r="BA155" s="1393">
        <v>7.540858974840817E7</v>
      </c>
      <c r="BB155" s="1393">
        <v>0.0</v>
      </c>
      <c r="BC155" s="1393">
        <v>0.0</v>
      </c>
      <c r="BD155" s="1393">
        <v>0.0</v>
      </c>
      <c r="BE155" s="1393">
        <v>1.156342760512398E7</v>
      </c>
      <c r="BF155" s="1393">
        <v>1720391.5237823238</v>
      </c>
      <c r="BG155" s="1393">
        <v>0.0</v>
      </c>
      <c r="BH155" s="1393">
        <v>0.0</v>
      </c>
      <c r="BI155" s="1393">
        <v>7.540858974840817E7</v>
      </c>
      <c r="BJ155" s="1393">
        <v>0.0</v>
      </c>
      <c r="BK155" s="1393">
        <v>0.0</v>
      </c>
      <c r="BL155" s="1393">
        <v>0.0</v>
      </c>
      <c r="BM155" s="1393">
        <v>1.156342760512398E7</v>
      </c>
      <c r="BN155" s="1393">
        <v>1720391.5237823238</v>
      </c>
      <c r="BO155" s="1393">
        <v>0.0</v>
      </c>
      <c r="BP155" s="1393">
        <v>0.0</v>
      </c>
      <c r="BQ155" s="1393">
        <v>7.540858974840817E7</v>
      </c>
      <c r="BR155" s="1393">
        <v>0.0</v>
      </c>
      <c r="BS155" s="1393">
        <v>0.0</v>
      </c>
      <c r="BT155" s="1393">
        <v>0.0</v>
      </c>
      <c r="BU155" s="1393">
        <v>1.156342760512398E7</v>
      </c>
      <c r="BV155" s="1393">
        <v>1720391.5237823238</v>
      </c>
      <c r="BW155" s="1393">
        <v>0.0</v>
      </c>
      <c r="BX155" s="1393">
        <v>0.0</v>
      </c>
      <c r="BY155" s="1393">
        <v>7.540858974840817E7</v>
      </c>
      <c r="BZ155" s="1393">
        <v>0.0</v>
      </c>
      <c r="CA155" s="1393">
        <v>0.0</v>
      </c>
      <c r="CB155" s="1393">
        <v>0.0</v>
      </c>
      <c r="CC155" s="1393">
        <v>1.156342760512398E7</v>
      </c>
      <c r="CD155" s="1393">
        <v>1720391.5237823238</v>
      </c>
      <c r="CE155" s="1393">
        <v>0.0</v>
      </c>
      <c r="CF155" s="1393">
        <v>0.0</v>
      </c>
      <c r="CG155" s="1393">
        <v>7.540858974840817E7</v>
      </c>
      <c r="CH155" s="1393">
        <v>0.0</v>
      </c>
      <c r="CI155" s="1393">
        <v>0.0</v>
      </c>
      <c r="CJ155" s="1393">
        <v>0.0</v>
      </c>
      <c r="CK155" s="1393">
        <v>1.156342760512398E7</v>
      </c>
      <c r="CL155" s="1393">
        <v>1720391.5237823238</v>
      </c>
      <c r="CM155" s="1393">
        <v>0.0</v>
      </c>
      <c r="CN155" s="1393">
        <v>0.0</v>
      </c>
      <c r="CO155" s="1393">
        <v>7.540858974840817E7</v>
      </c>
      <c r="CP155" s="1393">
        <v>0.0</v>
      </c>
      <c r="CQ155" s="1393">
        <v>0.0</v>
      </c>
      <c r="CR155" s="1393">
        <v>0.0</v>
      </c>
      <c r="CS155" s="1393">
        <v>1.156342760512398E7</v>
      </c>
      <c r="CT155" s="1393">
        <v>1720391.5237823238</v>
      </c>
      <c r="CU155" s="1393">
        <v>0.0</v>
      </c>
      <c r="CV155" s="1393">
        <v>0.0</v>
      </c>
      <c r="CW155" s="1393">
        <v>7.540858974840817E7</v>
      </c>
      <c r="CX155" s="1393">
        <v>0.0</v>
      </c>
      <c r="CY155" s="1393">
        <v>0.0</v>
      </c>
      <c r="CZ155" s="1393">
        <v>0.0</v>
      </c>
      <c r="DA155" s="1393">
        <v>1.156342760512398E7</v>
      </c>
      <c r="DB155" s="1393">
        <v>1720391.5237823238</v>
      </c>
      <c r="DC155" s="1393">
        <v>0.0</v>
      </c>
      <c r="DD155" s="1393">
        <v>0.0</v>
      </c>
      <c r="DE155" s="1393">
        <v>7.540858974840817E7</v>
      </c>
      <c r="DF155" s="1393">
        <v>0.0</v>
      </c>
      <c r="DG155" s="1393">
        <v>0.0</v>
      </c>
      <c r="DH155" s="1393">
        <v>0.0</v>
      </c>
      <c r="DI155" s="1393">
        <v>1.156342760512398E7</v>
      </c>
      <c r="DJ155" s="1393">
        <v>1720391.5237823238</v>
      </c>
      <c r="DK155" s="1393">
        <v>0.0</v>
      </c>
      <c r="DL155" s="1393">
        <v>0.0</v>
      </c>
      <c r="DM155" s="1393">
        <v>7.540858974840817E7</v>
      </c>
      <c r="DN155" s="1393">
        <v>0.0</v>
      </c>
      <c r="DO155" s="1393">
        <v>0.0</v>
      </c>
      <c r="DP155" s="1393">
        <v>0.0</v>
      </c>
      <c r="DQ155" s="1393">
        <v>1.156342760512398E7</v>
      </c>
      <c r="DR155" s="1379">
        <f t="shared" si="48"/>
        <v>1064308907</v>
      </c>
    </row>
    <row r="156" hidden="1">
      <c r="A156" s="25" t="s">
        <v>47</v>
      </c>
      <c r="B156" s="1399" t="s">
        <v>48</v>
      </c>
      <c r="C156" s="7"/>
      <c r="D156" s="1225"/>
      <c r="E156" s="1225"/>
      <c r="F156" s="1225"/>
      <c r="G156" s="1225"/>
      <c r="H156" s="1225"/>
      <c r="I156" s="1225"/>
      <c r="J156" s="1225"/>
      <c r="K156" s="1225"/>
      <c r="L156" s="1400">
        <f t="shared" ref="L156:X156" si="50">L157+L187+L189</f>
        <v>1041666667</v>
      </c>
      <c r="M156" s="1400">
        <f t="shared" si="50"/>
        <v>5643722683</v>
      </c>
      <c r="N156" s="1400">
        <f t="shared" si="50"/>
        <v>5668065607</v>
      </c>
      <c r="O156" s="1400">
        <f t="shared" si="50"/>
        <v>5777059947</v>
      </c>
      <c r="P156" s="1400">
        <f t="shared" si="50"/>
        <v>5779558102</v>
      </c>
      <c r="Q156" s="1400">
        <f t="shared" si="50"/>
        <v>5870464588</v>
      </c>
      <c r="R156" s="1400">
        <f t="shared" si="50"/>
        <v>5871457432</v>
      </c>
      <c r="S156" s="1400">
        <f t="shared" si="50"/>
        <v>5876485352</v>
      </c>
      <c r="T156" s="1400">
        <f t="shared" si="50"/>
        <v>5876485352</v>
      </c>
      <c r="U156" s="1400">
        <f t="shared" si="50"/>
        <v>5876485352</v>
      </c>
      <c r="V156" s="1400">
        <f t="shared" si="50"/>
        <v>5876485352</v>
      </c>
      <c r="W156" s="1400">
        <f t="shared" si="50"/>
        <v>5876485352</v>
      </c>
      <c r="X156" s="1400">
        <f t="shared" si="50"/>
        <v>65034421782</v>
      </c>
      <c r="Y156" s="1392">
        <f t="shared" si="3"/>
        <v>-0.00002288818359</v>
      </c>
    </row>
    <row r="157" hidden="1">
      <c r="A157" s="1401">
        <v>17.0</v>
      </c>
      <c r="B157" s="1402" t="s">
        <v>49</v>
      </c>
      <c r="C157" s="7"/>
      <c r="D157" s="1225"/>
      <c r="E157" s="1225"/>
      <c r="F157" s="1225"/>
      <c r="G157" s="1225"/>
      <c r="H157" s="1225"/>
      <c r="I157" s="1225"/>
      <c r="J157" s="1225"/>
      <c r="K157" s="1225"/>
      <c r="L157" s="1396">
        <f t="shared" ref="L157:X157" si="51">L158+L159+L160+L161+L162+L163+L164+L165+L166+L167+L168+L169+L170+L171+L172+L173+L174+L175+L176+L177+L178+L179+L180+L181+L182+L183+L184+L185+L186</f>
        <v>208333333.3</v>
      </c>
      <c r="M157" s="1396">
        <f t="shared" si="51"/>
        <v>4810389349</v>
      </c>
      <c r="N157" s="1396">
        <f t="shared" si="51"/>
        <v>4834732273</v>
      </c>
      <c r="O157" s="1396">
        <f t="shared" si="51"/>
        <v>4839521429</v>
      </c>
      <c r="P157" s="1396">
        <f t="shared" si="51"/>
        <v>4842019584</v>
      </c>
      <c r="Q157" s="1396">
        <f t="shared" si="51"/>
        <v>4932926070</v>
      </c>
      <c r="R157" s="1396">
        <f t="shared" si="51"/>
        <v>4933918914</v>
      </c>
      <c r="S157" s="1396">
        <f t="shared" si="51"/>
        <v>4938946834</v>
      </c>
      <c r="T157" s="1396">
        <f t="shared" si="51"/>
        <v>4938946834</v>
      </c>
      <c r="U157" s="1396">
        <f t="shared" si="51"/>
        <v>4938946834</v>
      </c>
      <c r="V157" s="1396">
        <f t="shared" si="51"/>
        <v>4938946834</v>
      </c>
      <c r="W157" s="1396">
        <f t="shared" si="51"/>
        <v>4938946834</v>
      </c>
      <c r="X157" s="1396">
        <f t="shared" si="51"/>
        <v>54096575126</v>
      </c>
      <c r="Y157" s="1392">
        <f t="shared" si="3"/>
        <v>0</v>
      </c>
    </row>
    <row r="158" hidden="1">
      <c r="A158" s="1401"/>
      <c r="B158" s="1407">
        <v>1.0</v>
      </c>
      <c r="C158" s="1404" t="s">
        <v>1840</v>
      </c>
      <c r="D158" s="185" t="s">
        <v>186</v>
      </c>
      <c r="E158" s="185" t="s">
        <v>1387</v>
      </c>
      <c r="F158" s="185" t="s">
        <v>1910</v>
      </c>
      <c r="G158" s="185" t="s">
        <v>203</v>
      </c>
      <c r="H158" s="185" t="s">
        <v>135</v>
      </c>
      <c r="I158" s="185" t="s">
        <v>135</v>
      </c>
      <c r="J158" s="185" t="s">
        <v>1911</v>
      </c>
      <c r="K158" s="185" t="s">
        <v>188</v>
      </c>
      <c r="L158" s="1390"/>
      <c r="M158" s="503">
        <v>6.9994575E8</v>
      </c>
      <c r="N158" s="503">
        <v>6.9994575E8</v>
      </c>
      <c r="O158" s="503">
        <v>6.9994575E8</v>
      </c>
      <c r="P158" s="503">
        <v>6.9994575E8</v>
      </c>
      <c r="Q158" s="503">
        <v>6.9994575E8</v>
      </c>
      <c r="R158" s="503">
        <v>6.9994575E8</v>
      </c>
      <c r="S158" s="503">
        <v>6.9994575E8</v>
      </c>
      <c r="T158" s="503">
        <v>6.9994575E8</v>
      </c>
      <c r="U158" s="503">
        <v>6.9994575E8</v>
      </c>
      <c r="V158" s="503">
        <v>6.9994575E8</v>
      </c>
      <c r="W158" s="503">
        <v>6.9994575E8</v>
      </c>
      <c r="X158" s="1405">
        <v>7.69940325E9</v>
      </c>
      <c r="Y158" s="1392">
        <f t="shared" si="3"/>
        <v>0</v>
      </c>
      <c r="Z158" s="1393">
        <v>0.0</v>
      </c>
      <c r="AA158" s="1393">
        <v>0.0</v>
      </c>
      <c r="AB158" s="1393">
        <v>0.0</v>
      </c>
      <c r="AC158" s="1393">
        <v>0.0</v>
      </c>
      <c r="AD158" s="1393">
        <v>0.0</v>
      </c>
      <c r="AE158" s="1393">
        <v>0.0</v>
      </c>
      <c r="AF158" s="1393">
        <v>0.0</v>
      </c>
      <c r="AG158" s="1393">
        <v>0.0</v>
      </c>
      <c r="AH158" s="1393">
        <v>1.1763698976591045E7</v>
      </c>
      <c r="AI158" s="1393">
        <v>0.0</v>
      </c>
      <c r="AJ158" s="1393">
        <v>0.0</v>
      </c>
      <c r="AK158" s="1393">
        <v>5.031181286745129E8</v>
      </c>
      <c r="AL158" s="1393">
        <v>0.0</v>
      </c>
      <c r="AM158" s="1393">
        <v>0.0</v>
      </c>
      <c r="AN158" s="1393">
        <v>0.0</v>
      </c>
      <c r="AO158" s="1393">
        <v>5.196435123379353E7</v>
      </c>
      <c r="AP158" s="1393">
        <v>1.4761584761386065E7</v>
      </c>
      <c r="AQ158" s="1393">
        <v>0.0</v>
      </c>
      <c r="AR158" s="1393">
        <v>0.0</v>
      </c>
      <c r="AS158" s="1393">
        <v>6.305094907954714E8</v>
      </c>
      <c r="AT158" s="1393">
        <v>0.0</v>
      </c>
      <c r="AU158" s="1393">
        <v>0.0</v>
      </c>
      <c r="AV158" s="1393">
        <v>0.0</v>
      </c>
      <c r="AW158" s="1393">
        <v>6.520705577680191E7</v>
      </c>
      <c r="AX158" s="1393">
        <v>1.2277446340674134E7</v>
      </c>
      <c r="AY158" s="1393">
        <v>0.0</v>
      </c>
      <c r="AZ158" s="1393">
        <v>0.0</v>
      </c>
      <c r="BA158" s="1393">
        <v>5.249476734506655E8</v>
      </c>
      <c r="BB158" s="1393">
        <v>0.0</v>
      </c>
      <c r="BC158" s="1393">
        <v>0.0</v>
      </c>
      <c r="BD158" s="1393">
        <v>0.0</v>
      </c>
      <c r="BE158" s="1393">
        <v>5.423375208515615E7</v>
      </c>
      <c r="BF158" s="1393">
        <v>1.1731591464048441E7</v>
      </c>
      <c r="BG158" s="1393">
        <v>0.0</v>
      </c>
      <c r="BH158" s="1393">
        <v>0.0</v>
      </c>
      <c r="BI158" s="1393">
        <v>5.0169628700016433E8</v>
      </c>
      <c r="BJ158" s="1393">
        <v>0.0</v>
      </c>
      <c r="BK158" s="1393">
        <v>0.0</v>
      </c>
      <c r="BL158" s="1393">
        <v>0.0</v>
      </c>
      <c r="BM158" s="1393">
        <v>5.1822521179970555E7</v>
      </c>
      <c r="BN158" s="1393">
        <v>1.226632717236255E7</v>
      </c>
      <c r="BO158" s="1393">
        <v>0.0</v>
      </c>
      <c r="BP158" s="1393">
        <v>0.0</v>
      </c>
      <c r="BQ158" s="1393">
        <v>5.2444046447134787E8</v>
      </c>
      <c r="BR158" s="1393">
        <v>0.0</v>
      </c>
      <c r="BS158" s="1393">
        <v>0.0</v>
      </c>
      <c r="BT158" s="1393">
        <v>0.0</v>
      </c>
      <c r="BU158" s="1393">
        <v>5.4184634850116335E7</v>
      </c>
      <c r="BV158" s="1393">
        <v>1.1245993713193472E7</v>
      </c>
      <c r="BW158" s="1393">
        <v>0.0</v>
      </c>
      <c r="BX158" s="1393">
        <v>0.0</v>
      </c>
      <c r="BY158" s="1393">
        <v>4.8047204465840393E8</v>
      </c>
      <c r="BZ158" s="1393">
        <v>0.0</v>
      </c>
      <c r="CA158" s="1393">
        <v>0.0</v>
      </c>
      <c r="CB158" s="1393">
        <v>0.0</v>
      </c>
      <c r="CC158" s="1393">
        <v>4.967746696411708E7</v>
      </c>
      <c r="CD158" s="1393">
        <v>1.1001818387274588E7</v>
      </c>
      <c r="CE158" s="1393">
        <v>0.0</v>
      </c>
      <c r="CF158" s="1393">
        <v>0.0</v>
      </c>
      <c r="CG158" s="1393">
        <v>4.700069515994963E8</v>
      </c>
      <c r="CH158" s="1393">
        <v>0.0</v>
      </c>
      <c r="CI158" s="1393">
        <v>0.0</v>
      </c>
      <c r="CJ158" s="1393">
        <v>0.0</v>
      </c>
      <c r="CK158" s="1393">
        <v>4.8598859595471896E7</v>
      </c>
      <c r="CL158" s="1393">
        <v>1.3327072723959949E7</v>
      </c>
      <c r="CM158" s="1393">
        <v>0.0</v>
      </c>
      <c r="CN158" s="1393">
        <v>0.0</v>
      </c>
      <c r="CO158" s="1393">
        <v>5.696094521191291E8</v>
      </c>
      <c r="CP158" s="1393">
        <v>0.0</v>
      </c>
      <c r="CQ158" s="1393">
        <v>0.0</v>
      </c>
      <c r="CR158" s="1393">
        <v>0.0</v>
      </c>
      <c r="CS158" s="1393">
        <v>5.887031700864303E7</v>
      </c>
      <c r="CT158" s="1393">
        <v>1.3473124043090157E7</v>
      </c>
      <c r="CU158" s="1393">
        <v>0.0</v>
      </c>
      <c r="CV158" s="1393">
        <v>0.0</v>
      </c>
      <c r="CW158" s="1393">
        <v>5.75879842540503E8</v>
      </c>
      <c r="CX158" s="1393">
        <v>0.0</v>
      </c>
      <c r="CY158" s="1393">
        <v>0.0</v>
      </c>
      <c r="CZ158" s="1393">
        <v>0.0</v>
      </c>
      <c r="DA158" s="1393">
        <v>5.951547649976427E7</v>
      </c>
      <c r="DB158" s="1393">
        <v>1.2618710965353249E7</v>
      </c>
      <c r="DC158" s="1393">
        <v>0.0</v>
      </c>
      <c r="DD158" s="1393">
        <v>0.0</v>
      </c>
      <c r="DE158" s="1393">
        <v>5.394979206912513E8</v>
      </c>
      <c r="DF158" s="1393">
        <v>0.0</v>
      </c>
      <c r="DG158" s="1393">
        <v>0.0</v>
      </c>
      <c r="DH158" s="1393">
        <v>0.0</v>
      </c>
      <c r="DI158" s="1393">
        <v>5.574123666596555E7</v>
      </c>
      <c r="DJ158" s="1393">
        <v>1.2464307094979404E7</v>
      </c>
      <c r="DK158" s="1393">
        <v>0.0</v>
      </c>
      <c r="DL158" s="1393">
        <v>0.0</v>
      </c>
      <c r="DM158" s="1393">
        <v>5.327689409080785E8</v>
      </c>
      <c r="DN158" s="1393">
        <v>0.0</v>
      </c>
      <c r="DO158" s="1393">
        <v>0.0</v>
      </c>
      <c r="DP158" s="1393">
        <v>0.0</v>
      </c>
      <c r="DQ158" s="1393">
        <v>5.505918104996162E7</v>
      </c>
      <c r="DR158" s="1379">
        <f t="shared" ref="DR158:DR186" si="52">SUM(Z158:DQ158)</f>
        <v>6594753725</v>
      </c>
    </row>
    <row r="159" hidden="1">
      <c r="A159" s="1401"/>
      <c r="B159" s="1403">
        <f t="shared" ref="B159:B186" si="53">B158+1</f>
        <v>2</v>
      </c>
      <c r="C159" s="1404" t="s">
        <v>1391</v>
      </c>
      <c r="D159" s="185" t="s">
        <v>186</v>
      </c>
      <c r="E159" s="185" t="s">
        <v>1387</v>
      </c>
      <c r="F159" s="185" t="s">
        <v>1910</v>
      </c>
      <c r="G159" s="185" t="s">
        <v>218</v>
      </c>
      <c r="H159" s="185" t="s">
        <v>88</v>
      </c>
      <c r="I159" s="185" t="s">
        <v>88</v>
      </c>
      <c r="J159" s="185" t="s">
        <v>752</v>
      </c>
      <c r="K159" s="185" t="s">
        <v>367</v>
      </c>
      <c r="L159" s="1390"/>
      <c r="M159" s="503"/>
      <c r="N159" s="503"/>
      <c r="O159" s="503"/>
      <c r="P159" s="503"/>
      <c r="Q159" s="503">
        <v>6081804.0</v>
      </c>
      <c r="R159" s="503">
        <v>6081804.0</v>
      </c>
      <c r="S159" s="503">
        <v>6081804.0</v>
      </c>
      <c r="T159" s="503">
        <v>6081804.0</v>
      </c>
      <c r="U159" s="503">
        <v>6081804.0</v>
      </c>
      <c r="V159" s="503">
        <v>6081804.0</v>
      </c>
      <c r="W159" s="503">
        <v>6081804.0</v>
      </c>
      <c r="X159" s="1405">
        <v>4.2572628E7</v>
      </c>
      <c r="Y159" s="1392">
        <f t="shared" si="3"/>
        <v>0</v>
      </c>
      <c r="Z159" s="1393">
        <v>0.0</v>
      </c>
      <c r="AA159" s="1393">
        <v>0.0</v>
      </c>
      <c r="AB159" s="1393">
        <v>0.0</v>
      </c>
      <c r="AC159" s="1393">
        <v>0.0</v>
      </c>
      <c r="AD159" s="1393">
        <v>0.0</v>
      </c>
      <c r="AE159" s="1393">
        <v>0.0</v>
      </c>
      <c r="AF159" s="1393">
        <v>0.0</v>
      </c>
      <c r="AG159" s="1393">
        <v>0.0</v>
      </c>
      <c r="AH159" s="1393">
        <v>0.0</v>
      </c>
      <c r="AI159" s="1393">
        <v>0.0</v>
      </c>
      <c r="AJ159" s="1393">
        <v>0.0</v>
      </c>
      <c r="AK159" s="1393">
        <v>0.0</v>
      </c>
      <c r="AL159" s="1393">
        <v>0.0</v>
      </c>
      <c r="AM159" s="1393">
        <v>0.0</v>
      </c>
      <c r="AN159" s="1393">
        <v>0.0</v>
      </c>
      <c r="AO159" s="1393">
        <v>0.0</v>
      </c>
      <c r="AP159" s="1393">
        <v>0.0</v>
      </c>
      <c r="AQ159" s="1393">
        <v>0.0</v>
      </c>
      <c r="AR159" s="1393">
        <v>0.0</v>
      </c>
      <c r="AS159" s="1393">
        <v>0.0</v>
      </c>
      <c r="AT159" s="1393">
        <v>0.0</v>
      </c>
      <c r="AU159" s="1393">
        <v>0.0</v>
      </c>
      <c r="AV159" s="1393">
        <v>0.0</v>
      </c>
      <c r="AW159" s="1393">
        <v>0.0</v>
      </c>
      <c r="AX159" s="1393">
        <v>0.0</v>
      </c>
      <c r="AY159" s="1393">
        <v>0.0</v>
      </c>
      <c r="AZ159" s="1393">
        <v>0.0</v>
      </c>
      <c r="BA159" s="1393">
        <v>0.0</v>
      </c>
      <c r="BB159" s="1393">
        <v>0.0</v>
      </c>
      <c r="BC159" s="1393">
        <v>0.0</v>
      </c>
      <c r="BD159" s="1393">
        <v>0.0</v>
      </c>
      <c r="BE159" s="1393">
        <v>0.0</v>
      </c>
      <c r="BF159" s="1393">
        <v>0.0</v>
      </c>
      <c r="BG159" s="1393">
        <v>0.0</v>
      </c>
      <c r="BH159" s="1393">
        <v>0.0</v>
      </c>
      <c r="BI159" s="1393">
        <v>0.0</v>
      </c>
      <c r="BJ159" s="1393">
        <v>0.0</v>
      </c>
      <c r="BK159" s="1393">
        <v>0.0</v>
      </c>
      <c r="BL159" s="1393">
        <v>0.0</v>
      </c>
      <c r="BM159" s="1393">
        <v>0.0</v>
      </c>
      <c r="BN159" s="1393">
        <v>106581.68531230203</v>
      </c>
      <c r="BO159" s="1393">
        <v>0.0</v>
      </c>
      <c r="BP159" s="1393">
        <v>0.0</v>
      </c>
      <c r="BQ159" s="1393">
        <v>4556844.747730379</v>
      </c>
      <c r="BR159" s="1393">
        <v>0.0</v>
      </c>
      <c r="BS159" s="1393">
        <v>0.0</v>
      </c>
      <c r="BT159" s="1393">
        <v>0.0</v>
      </c>
      <c r="BU159" s="1393">
        <v>470808.3861784673</v>
      </c>
      <c r="BV159" s="1393">
        <v>97716.04377749977</v>
      </c>
      <c r="BW159" s="1393">
        <v>0.0</v>
      </c>
      <c r="BX159" s="1393">
        <v>0.0</v>
      </c>
      <c r="BY159" s="1393">
        <v>4174804.6946376334</v>
      </c>
      <c r="BZ159" s="1393">
        <v>0.0</v>
      </c>
      <c r="CA159" s="1393">
        <v>0.0</v>
      </c>
      <c r="CB159" s="1393">
        <v>0.0</v>
      </c>
      <c r="CC159" s="1393">
        <v>431645.7629641085</v>
      </c>
      <c r="CD159" s="1393">
        <v>95594.41295986173</v>
      </c>
      <c r="CE159" s="1393">
        <v>0.0</v>
      </c>
      <c r="CF159" s="1393">
        <v>0.0</v>
      </c>
      <c r="CG159" s="1393">
        <v>4083873.8691757517</v>
      </c>
      <c r="CH159" s="1393">
        <v>0.0</v>
      </c>
      <c r="CI159" s="1393">
        <v>0.0</v>
      </c>
      <c r="CJ159" s="1393">
        <v>0.0</v>
      </c>
      <c r="CK159" s="1393">
        <v>422273.7814797495</v>
      </c>
      <c r="CL159" s="1393">
        <v>115798.4660966518</v>
      </c>
      <c r="CM159" s="1393">
        <v>0.0</v>
      </c>
      <c r="CN159" s="1393">
        <v>0.0</v>
      </c>
      <c r="CO159" s="1393">
        <v>4949316.492508067</v>
      </c>
      <c r="CP159" s="1393">
        <v>0.0</v>
      </c>
      <c r="CQ159" s="1393">
        <v>0.0</v>
      </c>
      <c r="CR159" s="1393">
        <v>0.0</v>
      </c>
      <c r="CS159" s="1393">
        <v>511522.11362728215</v>
      </c>
      <c r="CT159" s="1393">
        <v>117067.50087097737</v>
      </c>
      <c r="CU159" s="1393">
        <v>0.0</v>
      </c>
      <c r="CV159" s="1393">
        <v>0.0</v>
      </c>
      <c r="CW159" s="1393">
        <v>5003799.694308026</v>
      </c>
      <c r="CX159" s="1393">
        <v>0.0</v>
      </c>
      <c r="CY159" s="1393">
        <v>0.0</v>
      </c>
      <c r="CZ159" s="1393">
        <v>0.0</v>
      </c>
      <c r="DA159" s="1393">
        <v>517127.88175108196</v>
      </c>
      <c r="DB159" s="1393">
        <v>109643.53569391523</v>
      </c>
      <c r="DC159" s="1393">
        <v>0.0</v>
      </c>
      <c r="DD159" s="1393">
        <v>0.0</v>
      </c>
      <c r="DE159" s="1393">
        <v>4687678.455154181</v>
      </c>
      <c r="DF159" s="1393">
        <v>0.0</v>
      </c>
      <c r="DG159" s="1393">
        <v>0.0</v>
      </c>
      <c r="DH159" s="1393">
        <v>0.0</v>
      </c>
      <c r="DI159" s="1393">
        <v>484333.64460033644</v>
      </c>
      <c r="DJ159" s="1393">
        <v>108301.92589564853</v>
      </c>
      <c r="DK159" s="1393">
        <v>0.0</v>
      </c>
      <c r="DL159" s="1393">
        <v>0.0</v>
      </c>
      <c r="DM159" s="1393">
        <v>4629210.5865211915</v>
      </c>
      <c r="DN159" s="1393">
        <v>0.0</v>
      </c>
      <c r="DO159" s="1393">
        <v>0.0</v>
      </c>
      <c r="DP159" s="1393">
        <v>0.0</v>
      </c>
      <c r="DQ159" s="1393">
        <v>478407.28734531323</v>
      </c>
      <c r="DR159" s="1379">
        <f t="shared" si="52"/>
        <v>36152350.97</v>
      </c>
    </row>
    <row r="160" hidden="1">
      <c r="A160" s="1401"/>
      <c r="B160" s="1403">
        <f t="shared" si="53"/>
        <v>3</v>
      </c>
      <c r="C160" s="1404" t="s">
        <v>1841</v>
      </c>
      <c r="D160" s="185" t="s">
        <v>186</v>
      </c>
      <c r="E160" s="185" t="s">
        <v>1387</v>
      </c>
      <c r="F160" s="185" t="s">
        <v>1910</v>
      </c>
      <c r="G160" s="185" t="s">
        <v>86</v>
      </c>
      <c r="H160" s="185" t="s">
        <v>86</v>
      </c>
      <c r="I160" s="185" t="s">
        <v>103</v>
      </c>
      <c r="J160" s="185" t="s">
        <v>1911</v>
      </c>
      <c r="K160" s="185" t="s">
        <v>188</v>
      </c>
      <c r="L160" s="1390"/>
      <c r="M160" s="503">
        <v>3.896370702E9</v>
      </c>
      <c r="N160" s="503">
        <v>3.896370702E9</v>
      </c>
      <c r="O160" s="503">
        <v>3.896370702E9</v>
      </c>
      <c r="P160" s="503">
        <v>3.896370702E9</v>
      </c>
      <c r="Q160" s="503">
        <v>3.896370702E9</v>
      </c>
      <c r="R160" s="503">
        <v>3.896370702E9</v>
      </c>
      <c r="S160" s="503">
        <v>3.896370702E9</v>
      </c>
      <c r="T160" s="503">
        <v>3.896370702E9</v>
      </c>
      <c r="U160" s="503">
        <v>3.896370702E9</v>
      </c>
      <c r="V160" s="503">
        <v>3.896370702E9</v>
      </c>
      <c r="W160" s="503">
        <v>3.896370702E9</v>
      </c>
      <c r="X160" s="1405">
        <v>4.2860077722E10</v>
      </c>
      <c r="Y160" s="1392">
        <f t="shared" si="3"/>
        <v>0</v>
      </c>
      <c r="Z160" s="1393">
        <v>0.0</v>
      </c>
      <c r="AA160" s="1393">
        <v>0.0</v>
      </c>
      <c r="AB160" s="1393">
        <v>0.0</v>
      </c>
      <c r="AC160" s="1393">
        <v>0.0</v>
      </c>
      <c r="AD160" s="1393">
        <v>0.0</v>
      </c>
      <c r="AE160" s="1393">
        <v>0.0</v>
      </c>
      <c r="AF160" s="1393">
        <v>0.0</v>
      </c>
      <c r="AG160" s="1393">
        <v>0.0</v>
      </c>
      <c r="AH160" s="1393">
        <v>4.9121165213369334E8</v>
      </c>
      <c r="AI160" s="1393">
        <v>0.0</v>
      </c>
      <c r="AJ160" s="1393">
        <v>0.0</v>
      </c>
      <c r="AK160" s="1393">
        <v>2.730102543214573E9</v>
      </c>
      <c r="AL160" s="1393">
        <v>0.0</v>
      </c>
      <c r="AM160" s="1393">
        <v>0.0</v>
      </c>
      <c r="AN160" s="1393">
        <v>0.0</v>
      </c>
      <c r="AO160" s="1393">
        <v>1.5954856774517897E8</v>
      </c>
      <c r="AP160" s="1393">
        <v>5.397827606454657E8</v>
      </c>
      <c r="AQ160" s="1393">
        <v>0.0</v>
      </c>
      <c r="AR160" s="1393">
        <v>0.0</v>
      </c>
      <c r="AS160" s="1393">
        <v>2.9952695153986454E9</v>
      </c>
      <c r="AT160" s="1393">
        <v>0.0</v>
      </c>
      <c r="AU160" s="1393">
        <v>0.0</v>
      </c>
      <c r="AV160" s="1393">
        <v>0.0</v>
      </c>
      <c r="AW160" s="1393">
        <v>1.7532476271772778E8</v>
      </c>
      <c r="AX160" s="1393">
        <v>5.0164401126375425E8</v>
      </c>
      <c r="AY160" s="1393">
        <v>0.0</v>
      </c>
      <c r="AZ160" s="1393">
        <v>0.0</v>
      </c>
      <c r="BA160" s="1393">
        <v>2.7854593548225613E9</v>
      </c>
      <c r="BB160" s="1393">
        <v>0.0</v>
      </c>
      <c r="BC160" s="1393">
        <v>0.0</v>
      </c>
      <c r="BD160" s="1393">
        <v>0.0</v>
      </c>
      <c r="BE160" s="1393">
        <v>1.6293706219594082E8</v>
      </c>
      <c r="BF160" s="1393">
        <v>4.963153109072047E8</v>
      </c>
      <c r="BG160" s="1393">
        <v>0.0</v>
      </c>
      <c r="BH160" s="1393">
        <v>0.0</v>
      </c>
      <c r="BI160" s="1393">
        <v>2.756131631312799E9</v>
      </c>
      <c r="BJ160" s="1393">
        <v>0.0</v>
      </c>
      <c r="BK160" s="1393">
        <v>0.0</v>
      </c>
      <c r="BL160" s="1393">
        <v>0.0</v>
      </c>
      <c r="BM160" s="1393">
        <v>1.6120626752497214E8</v>
      </c>
      <c r="BN160" s="1393">
        <v>5.037495192163799E8</v>
      </c>
      <c r="BO160" s="1393">
        <v>0.0</v>
      </c>
      <c r="BP160" s="1393">
        <v>0.0</v>
      </c>
      <c r="BQ160" s="1393">
        <v>2.7968395381465173E9</v>
      </c>
      <c r="BR160" s="1393">
        <v>0.0</v>
      </c>
      <c r="BS160" s="1393">
        <v>0.0</v>
      </c>
      <c r="BT160" s="1393">
        <v>0.0</v>
      </c>
      <c r="BU160" s="1393">
        <v>1.636209441371739E8</v>
      </c>
      <c r="BV160" s="1393">
        <v>5.2690930442826337E8</v>
      </c>
      <c r="BW160" s="1393">
        <v>0.0</v>
      </c>
      <c r="BX160" s="1393">
        <v>0.0</v>
      </c>
      <c r="BY160" s="1393">
        <v>2.9241271385920057E9</v>
      </c>
      <c r="BZ160" s="1393">
        <v>0.0</v>
      </c>
      <c r="CA160" s="1393">
        <v>0.0</v>
      </c>
      <c r="CB160" s="1393">
        <v>0.0</v>
      </c>
      <c r="CC160" s="1393">
        <v>1.7114338490947926E8</v>
      </c>
      <c r="CD160" s="1393">
        <v>5.3017418949496084E8</v>
      </c>
      <c r="CE160" s="1393">
        <v>0.0</v>
      </c>
      <c r="CF160" s="1393">
        <v>0.0</v>
      </c>
      <c r="CG160" s="1393">
        <v>2.94206559584257E9</v>
      </c>
      <c r="CH160" s="1393">
        <v>0.0</v>
      </c>
      <c r="CI160" s="1393">
        <v>0.0</v>
      </c>
      <c r="CJ160" s="1393">
        <v>0.0</v>
      </c>
      <c r="CK160" s="1393">
        <v>1.7220383967267868E8</v>
      </c>
      <c r="CL160" s="1393">
        <v>5.128720012212084E8</v>
      </c>
      <c r="CM160" s="1393">
        <v>0.0</v>
      </c>
      <c r="CN160" s="1393">
        <v>0.0</v>
      </c>
      <c r="CO160" s="1393">
        <v>2.846788520997572E9</v>
      </c>
      <c r="CP160" s="1393">
        <v>0.0</v>
      </c>
      <c r="CQ160" s="1393">
        <v>0.0</v>
      </c>
      <c r="CR160" s="1393">
        <v>0.0</v>
      </c>
      <c r="CS160" s="1393">
        <v>1.6658398243610138E8</v>
      </c>
      <c r="CT160" s="1393">
        <v>5.117319329834891E8</v>
      </c>
      <c r="CU160" s="1393">
        <v>0.0</v>
      </c>
      <c r="CV160" s="1393">
        <v>0.0</v>
      </c>
      <c r="CW160" s="1393">
        <v>2.8405225656334653E9</v>
      </c>
      <c r="CX160" s="1393">
        <v>0.0</v>
      </c>
      <c r="CY160" s="1393">
        <v>0.0</v>
      </c>
      <c r="CZ160" s="1393">
        <v>0.0</v>
      </c>
      <c r="DA160" s="1393">
        <v>1.6621368125600964E8</v>
      </c>
      <c r="DB160" s="1393">
        <v>5.0333843808282894E8</v>
      </c>
      <c r="DC160" s="1393">
        <v>0.0</v>
      </c>
      <c r="DD160" s="1393">
        <v>0.0</v>
      </c>
      <c r="DE160" s="1393">
        <v>2.7943792024196496E9</v>
      </c>
      <c r="DF160" s="1393">
        <v>0.0</v>
      </c>
      <c r="DG160" s="1393">
        <v>0.0</v>
      </c>
      <c r="DH160" s="1393">
        <v>0.0</v>
      </c>
      <c r="DI160" s="1393">
        <v>1.6348742245502272E8</v>
      </c>
      <c r="DJ160" s="1393">
        <v>5.112144447323743E8</v>
      </c>
      <c r="DK160" s="1393">
        <v>0.0</v>
      </c>
      <c r="DL160" s="1393">
        <v>0.0</v>
      </c>
      <c r="DM160" s="1393">
        <v>2.837666704413607E9</v>
      </c>
      <c r="DN160" s="1393">
        <v>0.0</v>
      </c>
      <c r="DO160" s="1393">
        <v>0.0</v>
      </c>
      <c r="DP160" s="1393">
        <v>0.0</v>
      </c>
      <c r="DQ160" s="1393">
        <v>1.660455978871977E8</v>
      </c>
      <c r="DR160" s="1379">
        <f t="shared" si="52"/>
        <v>38706611389</v>
      </c>
    </row>
    <row r="161" hidden="1">
      <c r="A161" s="1401"/>
      <c r="B161" s="1403">
        <f t="shared" si="53"/>
        <v>4</v>
      </c>
      <c r="C161" s="1404" t="s">
        <v>1397</v>
      </c>
      <c r="D161" s="185" t="s">
        <v>186</v>
      </c>
      <c r="E161" s="185" t="s">
        <v>1387</v>
      </c>
      <c r="F161" s="185" t="s">
        <v>1910</v>
      </c>
      <c r="G161" s="185" t="s">
        <v>86</v>
      </c>
      <c r="H161" s="185" t="s">
        <v>86</v>
      </c>
      <c r="I161" s="185" t="s">
        <v>103</v>
      </c>
      <c r="J161" s="185" t="s">
        <v>1898</v>
      </c>
      <c r="K161" s="185" t="s">
        <v>188</v>
      </c>
      <c r="L161" s="1390"/>
      <c r="M161" s="503"/>
      <c r="N161" s="503"/>
      <c r="O161" s="503"/>
      <c r="P161" s="503">
        <v>1002229.0</v>
      </c>
      <c r="Q161" s="503">
        <v>1002229.0</v>
      </c>
      <c r="R161" s="503">
        <v>1002229.0</v>
      </c>
      <c r="S161" s="503">
        <v>1002229.0</v>
      </c>
      <c r="T161" s="503">
        <v>1002229.0</v>
      </c>
      <c r="U161" s="503">
        <v>1002229.0</v>
      </c>
      <c r="V161" s="503">
        <v>1002229.0</v>
      </c>
      <c r="W161" s="503">
        <v>1002229.0</v>
      </c>
      <c r="X161" s="1405">
        <v>8017832.0</v>
      </c>
      <c r="Y161" s="1392">
        <f t="shared" si="3"/>
        <v>0</v>
      </c>
      <c r="Z161" s="1393">
        <v>0.0</v>
      </c>
      <c r="AA161" s="1393">
        <v>0.0</v>
      </c>
      <c r="AB161" s="1393">
        <v>0.0</v>
      </c>
      <c r="AC161" s="1393">
        <v>0.0</v>
      </c>
      <c r="AD161" s="1393">
        <v>0.0</v>
      </c>
      <c r="AE161" s="1393">
        <v>0.0</v>
      </c>
      <c r="AF161" s="1393">
        <v>0.0</v>
      </c>
      <c r="AG161" s="1393">
        <v>0.0</v>
      </c>
      <c r="AH161" s="1393">
        <v>0.0</v>
      </c>
      <c r="AI161" s="1393">
        <v>0.0</v>
      </c>
      <c r="AJ161" s="1393">
        <v>0.0</v>
      </c>
      <c r="AK161" s="1393">
        <v>0.0</v>
      </c>
      <c r="AL161" s="1393">
        <v>0.0</v>
      </c>
      <c r="AM161" s="1393">
        <v>0.0</v>
      </c>
      <c r="AN161" s="1393">
        <v>0.0</v>
      </c>
      <c r="AO161" s="1393">
        <v>0.0</v>
      </c>
      <c r="AP161" s="1393">
        <v>0.0</v>
      </c>
      <c r="AQ161" s="1393">
        <v>0.0</v>
      </c>
      <c r="AR161" s="1393">
        <v>0.0</v>
      </c>
      <c r="AS161" s="1393">
        <v>0.0</v>
      </c>
      <c r="AT161" s="1393">
        <v>0.0</v>
      </c>
      <c r="AU161" s="1393">
        <v>0.0</v>
      </c>
      <c r="AV161" s="1393">
        <v>0.0</v>
      </c>
      <c r="AW161" s="1393">
        <v>0.0</v>
      </c>
      <c r="AX161" s="1393">
        <v>0.0</v>
      </c>
      <c r="AY161" s="1393">
        <v>0.0</v>
      </c>
      <c r="AZ161" s="1393">
        <v>0.0</v>
      </c>
      <c r="BA161" s="1393">
        <v>0.0</v>
      </c>
      <c r="BB161" s="1393">
        <v>0.0</v>
      </c>
      <c r="BC161" s="1393">
        <v>0.0</v>
      </c>
      <c r="BD161" s="1393">
        <v>0.0</v>
      </c>
      <c r="BE161" s="1393">
        <v>0.0</v>
      </c>
      <c r="BF161" s="1393">
        <v>127662.80104711065</v>
      </c>
      <c r="BG161" s="1393">
        <v>0.0</v>
      </c>
      <c r="BH161" s="1393">
        <v>0.0</v>
      </c>
      <c r="BI161" s="1393">
        <v>708935.3811486993</v>
      </c>
      <c r="BJ161" s="1393">
        <v>0.0</v>
      </c>
      <c r="BK161" s="1393">
        <v>0.0</v>
      </c>
      <c r="BL161" s="1393">
        <v>0.0</v>
      </c>
      <c r="BM161" s="1393">
        <v>41465.663473024775</v>
      </c>
      <c r="BN161" s="1393">
        <v>129575.03674780304</v>
      </c>
      <c r="BO161" s="1393">
        <v>0.0</v>
      </c>
      <c r="BP161" s="1393">
        <v>0.0</v>
      </c>
      <c r="BQ161" s="1393">
        <v>719406.3162517451</v>
      </c>
      <c r="BR161" s="1393">
        <v>0.0</v>
      </c>
      <c r="BS161" s="1393">
        <v>0.0</v>
      </c>
      <c r="BT161" s="1393">
        <v>0.0</v>
      </c>
      <c r="BU161" s="1393">
        <v>42086.76939734766</v>
      </c>
      <c r="BV161" s="1393">
        <v>135532.2236143418</v>
      </c>
      <c r="BW161" s="1393">
        <v>0.0</v>
      </c>
      <c r="BX161" s="1393">
        <v>0.0</v>
      </c>
      <c r="BY161" s="1393">
        <v>752147.3807611869</v>
      </c>
      <c r="BZ161" s="1393">
        <v>0.0</v>
      </c>
      <c r="CA161" s="1393">
        <v>0.0</v>
      </c>
      <c r="CB161" s="1393">
        <v>0.0</v>
      </c>
      <c r="CC161" s="1393">
        <v>44021.70035474271</v>
      </c>
      <c r="CD161" s="1393">
        <v>136372.02114537027</v>
      </c>
      <c r="CE161" s="1393">
        <v>0.0</v>
      </c>
      <c r="CF161" s="1393">
        <v>0.0</v>
      </c>
      <c r="CG161" s="1393">
        <v>756761.5315817306</v>
      </c>
      <c r="CH161" s="1393">
        <v>0.0</v>
      </c>
      <c r="CI161" s="1393">
        <v>0.0</v>
      </c>
      <c r="CJ161" s="1393">
        <v>0.0</v>
      </c>
      <c r="CK161" s="1393">
        <v>44294.471761303445</v>
      </c>
      <c r="CL161" s="1393">
        <v>131921.53217045992</v>
      </c>
      <c r="CM161" s="1393">
        <v>0.0</v>
      </c>
      <c r="CN161" s="1393">
        <v>0.0</v>
      </c>
      <c r="CO161" s="1393">
        <v>732254.2516671648</v>
      </c>
      <c r="CP161" s="1393">
        <v>0.0</v>
      </c>
      <c r="CQ161" s="1393">
        <v>0.0</v>
      </c>
      <c r="CR161" s="1393">
        <v>0.0</v>
      </c>
      <c r="CS161" s="1393">
        <v>42848.92555198959</v>
      </c>
      <c r="CT161" s="1393">
        <v>131628.28249346314</v>
      </c>
      <c r="CU161" s="1393">
        <v>0.0</v>
      </c>
      <c r="CV161" s="1393">
        <v>0.0</v>
      </c>
      <c r="CW161" s="1393">
        <v>730642.5153466472</v>
      </c>
      <c r="CX161" s="1393">
        <v>0.0</v>
      </c>
      <c r="CY161" s="1393">
        <v>0.0</v>
      </c>
      <c r="CZ161" s="1393">
        <v>0.0</v>
      </c>
      <c r="DA161" s="1393">
        <v>42753.67625211378</v>
      </c>
      <c r="DB161" s="1393">
        <v>129469.29798090745</v>
      </c>
      <c r="DC161" s="1393">
        <v>0.0</v>
      </c>
      <c r="DD161" s="1393">
        <v>0.0</v>
      </c>
      <c r="DE161" s="1393">
        <v>718773.4658368867</v>
      </c>
      <c r="DF161" s="1393">
        <v>0.0</v>
      </c>
      <c r="DG161" s="1393">
        <v>0.0</v>
      </c>
      <c r="DH161" s="1393">
        <v>0.0</v>
      </c>
      <c r="DI161" s="1393">
        <v>42052.42479509717</v>
      </c>
      <c r="DJ161" s="1393">
        <v>131495.17356413044</v>
      </c>
      <c r="DK161" s="1393">
        <v>0.0</v>
      </c>
      <c r="DL161" s="1393">
        <v>0.0</v>
      </c>
      <c r="DM161" s="1393">
        <v>729907.9274048357</v>
      </c>
      <c r="DN161" s="1393">
        <v>0.0</v>
      </c>
      <c r="DO161" s="1393">
        <v>0.0</v>
      </c>
      <c r="DP161" s="1393">
        <v>0.0</v>
      </c>
      <c r="DQ161" s="1393">
        <v>42710.44165265573</v>
      </c>
      <c r="DR161" s="1379">
        <f t="shared" si="52"/>
        <v>7244719.212</v>
      </c>
    </row>
    <row r="162" hidden="1">
      <c r="A162" s="1401"/>
      <c r="B162" s="1403">
        <f t="shared" si="53"/>
        <v>5</v>
      </c>
      <c r="C162" s="1404" t="s">
        <v>1400</v>
      </c>
      <c r="D162" s="185" t="s">
        <v>186</v>
      </c>
      <c r="E162" s="185" t="s">
        <v>1387</v>
      </c>
      <c r="F162" s="185" t="s">
        <v>1910</v>
      </c>
      <c r="G162" s="185" t="s">
        <v>86</v>
      </c>
      <c r="H162" s="185" t="s">
        <v>86</v>
      </c>
      <c r="I162" s="185" t="s">
        <v>103</v>
      </c>
      <c r="J162" s="185" t="s">
        <v>253</v>
      </c>
      <c r="K162" s="185" t="s">
        <v>254</v>
      </c>
      <c r="L162" s="1390"/>
      <c r="M162" s="503"/>
      <c r="N162" s="503"/>
      <c r="O162" s="503"/>
      <c r="P162" s="503"/>
      <c r="Q162" s="503"/>
      <c r="R162" s="503"/>
      <c r="S162" s="503">
        <v>196840.0</v>
      </c>
      <c r="T162" s="503">
        <v>196840.0</v>
      </c>
      <c r="U162" s="503">
        <v>196840.0</v>
      </c>
      <c r="V162" s="503">
        <v>196840.0</v>
      </c>
      <c r="W162" s="503">
        <v>196840.0</v>
      </c>
      <c r="X162" s="1405">
        <v>984200.0</v>
      </c>
      <c r="Y162" s="1392">
        <f t="shared" si="3"/>
        <v>0</v>
      </c>
      <c r="Z162" s="1393">
        <v>0.0</v>
      </c>
      <c r="AA162" s="1393">
        <v>0.0</v>
      </c>
      <c r="AB162" s="1393">
        <v>0.0</v>
      </c>
      <c r="AC162" s="1393">
        <v>0.0</v>
      </c>
      <c r="AD162" s="1393">
        <v>0.0</v>
      </c>
      <c r="AE162" s="1393">
        <v>0.0</v>
      </c>
      <c r="AF162" s="1393">
        <v>0.0</v>
      </c>
      <c r="AG162" s="1393">
        <v>0.0</v>
      </c>
      <c r="AH162" s="1393">
        <v>0.0</v>
      </c>
      <c r="AI162" s="1393">
        <v>0.0</v>
      </c>
      <c r="AJ162" s="1393">
        <v>0.0</v>
      </c>
      <c r="AK162" s="1393">
        <v>0.0</v>
      </c>
      <c r="AL162" s="1393">
        <v>0.0</v>
      </c>
      <c r="AM162" s="1393">
        <v>0.0</v>
      </c>
      <c r="AN162" s="1393">
        <v>0.0</v>
      </c>
      <c r="AO162" s="1393">
        <v>0.0</v>
      </c>
      <c r="AP162" s="1393">
        <v>0.0</v>
      </c>
      <c r="AQ162" s="1393">
        <v>0.0</v>
      </c>
      <c r="AR162" s="1393">
        <v>0.0</v>
      </c>
      <c r="AS162" s="1393">
        <v>0.0</v>
      </c>
      <c r="AT162" s="1393">
        <v>0.0</v>
      </c>
      <c r="AU162" s="1393">
        <v>0.0</v>
      </c>
      <c r="AV162" s="1393">
        <v>0.0</v>
      </c>
      <c r="AW162" s="1393">
        <v>0.0</v>
      </c>
      <c r="AX162" s="1393">
        <v>0.0</v>
      </c>
      <c r="AY162" s="1393">
        <v>0.0</v>
      </c>
      <c r="AZ162" s="1393">
        <v>0.0</v>
      </c>
      <c r="BA162" s="1393">
        <v>0.0</v>
      </c>
      <c r="BB162" s="1393">
        <v>0.0</v>
      </c>
      <c r="BC162" s="1393">
        <v>0.0</v>
      </c>
      <c r="BD162" s="1393">
        <v>0.0</v>
      </c>
      <c r="BE162" s="1393">
        <v>0.0</v>
      </c>
      <c r="BF162" s="1393">
        <v>0.0</v>
      </c>
      <c r="BG162" s="1393">
        <v>0.0</v>
      </c>
      <c r="BH162" s="1393">
        <v>0.0</v>
      </c>
      <c r="BI162" s="1393">
        <v>0.0</v>
      </c>
      <c r="BJ162" s="1393">
        <v>0.0</v>
      </c>
      <c r="BK162" s="1393">
        <v>0.0</v>
      </c>
      <c r="BL162" s="1393">
        <v>0.0</v>
      </c>
      <c r="BM162" s="1393">
        <v>0.0</v>
      </c>
      <c r="BN162" s="1393">
        <v>0.0</v>
      </c>
      <c r="BO162" s="1393">
        <v>0.0</v>
      </c>
      <c r="BP162" s="1393">
        <v>0.0</v>
      </c>
      <c r="BQ162" s="1393">
        <v>0.0</v>
      </c>
      <c r="BR162" s="1393">
        <v>0.0</v>
      </c>
      <c r="BS162" s="1393">
        <v>0.0</v>
      </c>
      <c r="BT162" s="1393">
        <v>0.0</v>
      </c>
      <c r="BU162" s="1393">
        <v>0.0</v>
      </c>
      <c r="BV162" s="1393">
        <v>0.0</v>
      </c>
      <c r="BW162" s="1393">
        <v>0.0</v>
      </c>
      <c r="BX162" s="1393">
        <v>0.0</v>
      </c>
      <c r="BY162" s="1393">
        <v>0.0</v>
      </c>
      <c r="BZ162" s="1393">
        <v>0.0</v>
      </c>
      <c r="CA162" s="1393">
        <v>0.0</v>
      </c>
      <c r="CB162" s="1393">
        <v>0.0</v>
      </c>
      <c r="CC162" s="1393">
        <v>0.0</v>
      </c>
      <c r="CD162" s="1393">
        <v>26783.767624220294</v>
      </c>
      <c r="CE162" s="1393">
        <v>0.0</v>
      </c>
      <c r="CF162" s="1393">
        <v>0.0</v>
      </c>
      <c r="CG162" s="1393">
        <v>148629.64439918209</v>
      </c>
      <c r="CH162" s="1393">
        <v>0.0</v>
      </c>
      <c r="CI162" s="1393">
        <v>0.0</v>
      </c>
      <c r="CJ162" s="1393">
        <v>0.0</v>
      </c>
      <c r="CK162" s="1393">
        <v>8699.532563411125</v>
      </c>
      <c r="CL162" s="1393">
        <v>25909.681711897512</v>
      </c>
      <c r="CM162" s="1393">
        <v>0.0</v>
      </c>
      <c r="CN162" s="1393">
        <v>0.0</v>
      </c>
      <c r="CO162" s="1393">
        <v>143816.36023120934</v>
      </c>
      <c r="CP162" s="1393">
        <v>0.0</v>
      </c>
      <c r="CQ162" s="1393">
        <v>0.0</v>
      </c>
      <c r="CR162" s="1393">
        <v>0.0</v>
      </c>
      <c r="CS162" s="1393">
        <v>8415.624079580248</v>
      </c>
      <c r="CT162" s="1393">
        <v>25852.086824481517</v>
      </c>
      <c r="CU162" s="1393">
        <v>0.0</v>
      </c>
      <c r="CV162" s="1393">
        <v>0.0</v>
      </c>
      <c r="CW162" s="1393">
        <v>143499.81164068697</v>
      </c>
      <c r="CX162" s="1393">
        <v>0.0</v>
      </c>
      <c r="CY162" s="1393">
        <v>0.0</v>
      </c>
      <c r="CZ162" s="1393">
        <v>0.0</v>
      </c>
      <c r="DA162" s="1393">
        <v>8396.916905683309</v>
      </c>
      <c r="DB162" s="1393">
        <v>25428.05747445127</v>
      </c>
      <c r="DC162" s="1393">
        <v>0.0</v>
      </c>
      <c r="DD162" s="1393">
        <v>0.0</v>
      </c>
      <c r="DE162" s="1393">
        <v>141168.70397417434</v>
      </c>
      <c r="DF162" s="1393">
        <v>0.0</v>
      </c>
      <c r="DG162" s="1393">
        <v>0.0</v>
      </c>
      <c r="DH162" s="1393">
        <v>0.0</v>
      </c>
      <c r="DI162" s="1393">
        <v>8259.189563130709</v>
      </c>
      <c r="DJ162" s="1393">
        <v>25825.943935331587</v>
      </c>
      <c r="DK162" s="1393">
        <v>0.0</v>
      </c>
      <c r="DL162" s="1393">
        <v>0.0</v>
      </c>
      <c r="DM162" s="1393">
        <v>143355.5369385319</v>
      </c>
      <c r="DN162" s="1393">
        <v>0.0</v>
      </c>
      <c r="DO162" s="1393">
        <v>0.0</v>
      </c>
      <c r="DP162" s="1393">
        <v>0.0</v>
      </c>
      <c r="DQ162" s="1393">
        <v>8388.425534392592</v>
      </c>
      <c r="DR162" s="1379">
        <f t="shared" si="52"/>
        <v>892429.2834</v>
      </c>
    </row>
    <row r="163" hidden="1">
      <c r="A163" s="1401"/>
      <c r="B163" s="1403">
        <f t="shared" si="53"/>
        <v>6</v>
      </c>
      <c r="C163" s="1404" t="s">
        <v>1403</v>
      </c>
      <c r="D163" s="185" t="s">
        <v>186</v>
      </c>
      <c r="E163" s="185" t="s">
        <v>1387</v>
      </c>
      <c r="F163" s="185" t="s">
        <v>1910</v>
      </c>
      <c r="G163" s="185" t="s">
        <v>86</v>
      </c>
      <c r="H163" s="185" t="s">
        <v>86</v>
      </c>
      <c r="I163" s="185" t="s">
        <v>103</v>
      </c>
      <c r="J163" s="185" t="s">
        <v>253</v>
      </c>
      <c r="K163" s="185" t="s">
        <v>254</v>
      </c>
      <c r="L163" s="1390"/>
      <c r="M163" s="503"/>
      <c r="N163" s="503"/>
      <c r="O163" s="503"/>
      <c r="P163" s="503"/>
      <c r="Q163" s="503"/>
      <c r="R163" s="503"/>
      <c r="S163" s="503">
        <v>352698.0</v>
      </c>
      <c r="T163" s="503">
        <v>352698.0</v>
      </c>
      <c r="U163" s="503">
        <v>352698.0</v>
      </c>
      <c r="V163" s="503">
        <v>352698.0</v>
      </c>
      <c r="W163" s="503">
        <v>352698.0</v>
      </c>
      <c r="X163" s="1405">
        <v>1763490.0</v>
      </c>
      <c r="Y163" s="1392">
        <f t="shared" si="3"/>
        <v>0</v>
      </c>
      <c r="Z163" s="1393">
        <v>0.0</v>
      </c>
      <c r="AA163" s="1393">
        <v>0.0</v>
      </c>
      <c r="AB163" s="1393">
        <v>0.0</v>
      </c>
      <c r="AC163" s="1393">
        <v>0.0</v>
      </c>
      <c r="AD163" s="1393">
        <v>0.0</v>
      </c>
      <c r="AE163" s="1393">
        <v>0.0</v>
      </c>
      <c r="AF163" s="1393">
        <v>0.0</v>
      </c>
      <c r="AG163" s="1393">
        <v>0.0</v>
      </c>
      <c r="AH163" s="1393">
        <v>0.0</v>
      </c>
      <c r="AI163" s="1393">
        <v>0.0</v>
      </c>
      <c r="AJ163" s="1393">
        <v>0.0</v>
      </c>
      <c r="AK163" s="1393">
        <v>0.0</v>
      </c>
      <c r="AL163" s="1393">
        <v>0.0</v>
      </c>
      <c r="AM163" s="1393">
        <v>0.0</v>
      </c>
      <c r="AN163" s="1393">
        <v>0.0</v>
      </c>
      <c r="AO163" s="1393">
        <v>0.0</v>
      </c>
      <c r="AP163" s="1393">
        <v>0.0</v>
      </c>
      <c r="AQ163" s="1393">
        <v>0.0</v>
      </c>
      <c r="AR163" s="1393">
        <v>0.0</v>
      </c>
      <c r="AS163" s="1393">
        <v>0.0</v>
      </c>
      <c r="AT163" s="1393">
        <v>0.0</v>
      </c>
      <c r="AU163" s="1393">
        <v>0.0</v>
      </c>
      <c r="AV163" s="1393">
        <v>0.0</v>
      </c>
      <c r="AW163" s="1393">
        <v>0.0</v>
      </c>
      <c r="AX163" s="1393">
        <v>0.0</v>
      </c>
      <c r="AY163" s="1393">
        <v>0.0</v>
      </c>
      <c r="AZ163" s="1393">
        <v>0.0</v>
      </c>
      <c r="BA163" s="1393">
        <v>0.0</v>
      </c>
      <c r="BB163" s="1393">
        <v>0.0</v>
      </c>
      <c r="BC163" s="1393">
        <v>0.0</v>
      </c>
      <c r="BD163" s="1393">
        <v>0.0</v>
      </c>
      <c r="BE163" s="1393">
        <v>0.0</v>
      </c>
      <c r="BF163" s="1393">
        <v>0.0</v>
      </c>
      <c r="BG163" s="1393">
        <v>0.0</v>
      </c>
      <c r="BH163" s="1393">
        <v>0.0</v>
      </c>
      <c r="BI163" s="1393">
        <v>0.0</v>
      </c>
      <c r="BJ163" s="1393">
        <v>0.0</v>
      </c>
      <c r="BK163" s="1393">
        <v>0.0</v>
      </c>
      <c r="BL163" s="1393">
        <v>0.0</v>
      </c>
      <c r="BM163" s="1393">
        <v>0.0</v>
      </c>
      <c r="BN163" s="1393">
        <v>0.0</v>
      </c>
      <c r="BO163" s="1393">
        <v>0.0</v>
      </c>
      <c r="BP163" s="1393">
        <v>0.0</v>
      </c>
      <c r="BQ163" s="1393">
        <v>0.0</v>
      </c>
      <c r="BR163" s="1393">
        <v>0.0</v>
      </c>
      <c r="BS163" s="1393">
        <v>0.0</v>
      </c>
      <c r="BT163" s="1393">
        <v>0.0</v>
      </c>
      <c r="BU163" s="1393">
        <v>0.0</v>
      </c>
      <c r="BV163" s="1393">
        <v>0.0</v>
      </c>
      <c r="BW163" s="1393">
        <v>0.0</v>
      </c>
      <c r="BX163" s="1393">
        <v>0.0</v>
      </c>
      <c r="BY163" s="1393">
        <v>0.0</v>
      </c>
      <c r="BZ163" s="1393">
        <v>0.0</v>
      </c>
      <c r="CA163" s="1393">
        <v>0.0</v>
      </c>
      <c r="CB163" s="1393">
        <v>0.0</v>
      </c>
      <c r="CC163" s="1393">
        <v>0.0</v>
      </c>
      <c r="CD163" s="1393">
        <v>47991.166803125634</v>
      </c>
      <c r="CE163" s="1393">
        <v>0.0</v>
      </c>
      <c r="CF163" s="1393">
        <v>0.0</v>
      </c>
      <c r="CG163" s="1393">
        <v>266314.66328135907</v>
      </c>
      <c r="CH163" s="1393">
        <v>0.0</v>
      </c>
      <c r="CI163" s="1393">
        <v>0.0</v>
      </c>
      <c r="CJ163" s="1393">
        <v>0.0</v>
      </c>
      <c r="CK163" s="1393">
        <v>15587.826336364444</v>
      </c>
      <c r="CL163" s="1393">
        <v>46424.97927465368</v>
      </c>
      <c r="CM163" s="1393">
        <v>0.0</v>
      </c>
      <c r="CN163" s="1393">
        <v>0.0</v>
      </c>
      <c r="CO163" s="1393">
        <v>257690.21855734137</v>
      </c>
      <c r="CP163" s="1393">
        <v>0.0</v>
      </c>
      <c r="CQ163" s="1393">
        <v>0.0</v>
      </c>
      <c r="CR163" s="1393">
        <v>0.0</v>
      </c>
      <c r="CS163" s="1393">
        <v>15079.118988111124</v>
      </c>
      <c r="CT163" s="1393">
        <v>46321.7807296331</v>
      </c>
      <c r="CU163" s="1393">
        <v>0.0</v>
      </c>
      <c r="CV163" s="1393">
        <v>0.0</v>
      </c>
      <c r="CW163" s="1393">
        <v>257123.02665132598</v>
      </c>
      <c r="CX163" s="1393">
        <v>0.0</v>
      </c>
      <c r="CY163" s="1393">
        <v>0.0</v>
      </c>
      <c r="CZ163" s="1393">
        <v>0.0</v>
      </c>
      <c r="DA163" s="1393">
        <v>15045.599465559293</v>
      </c>
      <c r="DB163" s="1393">
        <v>45562.00475068082</v>
      </c>
      <c r="DC163" s="1393">
        <v>0.0</v>
      </c>
      <c r="DD163" s="1393">
        <v>0.0</v>
      </c>
      <c r="DE163" s="1393">
        <v>252946.1468923153</v>
      </c>
      <c r="DF163" s="1393">
        <v>0.0</v>
      </c>
      <c r="DG163" s="1393">
        <v>0.0</v>
      </c>
      <c r="DH163" s="1393">
        <v>0.0</v>
      </c>
      <c r="DI163" s="1393">
        <v>14798.819551600665</v>
      </c>
      <c r="DJ163" s="1393">
        <v>46274.93788916673</v>
      </c>
      <c r="DK163" s="1393">
        <v>0.0</v>
      </c>
      <c r="DL163" s="1393">
        <v>0.0</v>
      </c>
      <c r="DM163" s="1393">
        <v>256864.51517550458</v>
      </c>
      <c r="DN163" s="1393">
        <v>0.0</v>
      </c>
      <c r="DO163" s="1393">
        <v>0.0</v>
      </c>
      <c r="DP163" s="1393">
        <v>0.0</v>
      </c>
      <c r="DQ163" s="1393">
        <v>15030.384622684409</v>
      </c>
      <c r="DR163" s="1379">
        <f t="shared" si="52"/>
        <v>1599055.189</v>
      </c>
    </row>
    <row r="164" hidden="1">
      <c r="A164" s="1401"/>
      <c r="B164" s="1403">
        <f t="shared" si="53"/>
        <v>7</v>
      </c>
      <c r="C164" s="1404" t="s">
        <v>1406</v>
      </c>
      <c r="D164" s="185" t="s">
        <v>186</v>
      </c>
      <c r="E164" s="185" t="s">
        <v>1387</v>
      </c>
      <c r="F164" s="185" t="s">
        <v>1910</v>
      </c>
      <c r="G164" s="185" t="s">
        <v>86</v>
      </c>
      <c r="H164" s="185" t="s">
        <v>86</v>
      </c>
      <c r="I164" s="185" t="s">
        <v>103</v>
      </c>
      <c r="J164" s="185" t="s">
        <v>253</v>
      </c>
      <c r="K164" s="185" t="s">
        <v>254</v>
      </c>
      <c r="L164" s="1390"/>
      <c r="M164" s="503"/>
      <c r="N164" s="503"/>
      <c r="O164" s="503"/>
      <c r="P164" s="503"/>
      <c r="Q164" s="503"/>
      <c r="R164" s="503"/>
      <c r="S164" s="503">
        <v>350919.0</v>
      </c>
      <c r="T164" s="503">
        <v>350919.0</v>
      </c>
      <c r="U164" s="503">
        <v>350919.0</v>
      </c>
      <c r="V164" s="503">
        <v>350919.0</v>
      </c>
      <c r="W164" s="503">
        <v>350919.0</v>
      </c>
      <c r="X164" s="1405">
        <v>1754595.0</v>
      </c>
      <c r="Y164" s="1392">
        <f t="shared" si="3"/>
        <v>0</v>
      </c>
      <c r="Z164" s="1393">
        <v>0.0</v>
      </c>
      <c r="AA164" s="1393">
        <v>0.0</v>
      </c>
      <c r="AB164" s="1393">
        <v>0.0</v>
      </c>
      <c r="AC164" s="1393">
        <v>0.0</v>
      </c>
      <c r="AD164" s="1393">
        <v>0.0</v>
      </c>
      <c r="AE164" s="1393">
        <v>0.0</v>
      </c>
      <c r="AF164" s="1393">
        <v>0.0</v>
      </c>
      <c r="AG164" s="1393">
        <v>0.0</v>
      </c>
      <c r="AH164" s="1393">
        <v>0.0</v>
      </c>
      <c r="AI164" s="1393">
        <v>0.0</v>
      </c>
      <c r="AJ164" s="1393">
        <v>0.0</v>
      </c>
      <c r="AK164" s="1393">
        <v>0.0</v>
      </c>
      <c r="AL164" s="1393">
        <v>0.0</v>
      </c>
      <c r="AM164" s="1393">
        <v>0.0</v>
      </c>
      <c r="AN164" s="1393">
        <v>0.0</v>
      </c>
      <c r="AO164" s="1393">
        <v>0.0</v>
      </c>
      <c r="AP164" s="1393">
        <v>0.0</v>
      </c>
      <c r="AQ164" s="1393">
        <v>0.0</v>
      </c>
      <c r="AR164" s="1393">
        <v>0.0</v>
      </c>
      <c r="AS164" s="1393">
        <v>0.0</v>
      </c>
      <c r="AT164" s="1393">
        <v>0.0</v>
      </c>
      <c r="AU164" s="1393">
        <v>0.0</v>
      </c>
      <c r="AV164" s="1393">
        <v>0.0</v>
      </c>
      <c r="AW164" s="1393">
        <v>0.0</v>
      </c>
      <c r="AX164" s="1393">
        <v>0.0</v>
      </c>
      <c r="AY164" s="1393">
        <v>0.0</v>
      </c>
      <c r="AZ164" s="1393">
        <v>0.0</v>
      </c>
      <c r="BA164" s="1393">
        <v>0.0</v>
      </c>
      <c r="BB164" s="1393">
        <v>0.0</v>
      </c>
      <c r="BC164" s="1393">
        <v>0.0</v>
      </c>
      <c r="BD164" s="1393">
        <v>0.0</v>
      </c>
      <c r="BE164" s="1393">
        <v>0.0</v>
      </c>
      <c r="BF164" s="1393">
        <v>0.0</v>
      </c>
      <c r="BG164" s="1393">
        <v>0.0</v>
      </c>
      <c r="BH164" s="1393">
        <v>0.0</v>
      </c>
      <c r="BI164" s="1393">
        <v>0.0</v>
      </c>
      <c r="BJ164" s="1393">
        <v>0.0</v>
      </c>
      <c r="BK164" s="1393">
        <v>0.0</v>
      </c>
      <c r="BL164" s="1393">
        <v>0.0</v>
      </c>
      <c r="BM164" s="1393">
        <v>0.0</v>
      </c>
      <c r="BN164" s="1393">
        <v>0.0</v>
      </c>
      <c r="BO164" s="1393">
        <v>0.0</v>
      </c>
      <c r="BP164" s="1393">
        <v>0.0</v>
      </c>
      <c r="BQ164" s="1393">
        <v>0.0</v>
      </c>
      <c r="BR164" s="1393">
        <v>0.0</v>
      </c>
      <c r="BS164" s="1393">
        <v>0.0</v>
      </c>
      <c r="BT164" s="1393">
        <v>0.0</v>
      </c>
      <c r="BU164" s="1393">
        <v>0.0</v>
      </c>
      <c r="BV164" s="1393">
        <v>0.0</v>
      </c>
      <c r="BW164" s="1393">
        <v>0.0</v>
      </c>
      <c r="BX164" s="1393">
        <v>0.0</v>
      </c>
      <c r="BY164" s="1393">
        <v>0.0</v>
      </c>
      <c r="BZ164" s="1393">
        <v>0.0</v>
      </c>
      <c r="CA164" s="1393">
        <v>0.0</v>
      </c>
      <c r="CB164" s="1393">
        <v>0.0</v>
      </c>
      <c r="CC164" s="1393">
        <v>0.0</v>
      </c>
      <c r="CD164" s="1393">
        <v>47749.10054320139</v>
      </c>
      <c r="CE164" s="1393">
        <v>0.0</v>
      </c>
      <c r="CF164" s="1393">
        <v>0.0</v>
      </c>
      <c r="CG164" s="1393">
        <v>264971.37869801145</v>
      </c>
      <c r="CH164" s="1393">
        <v>0.0</v>
      </c>
      <c r="CI164" s="1393">
        <v>0.0</v>
      </c>
      <c r="CJ164" s="1393">
        <v>0.0</v>
      </c>
      <c r="CK164" s="1393">
        <v>15509.201725359017</v>
      </c>
      <c r="CL164" s="1393">
        <v>46190.81282593661</v>
      </c>
      <c r="CM164" s="1393">
        <v>0.0</v>
      </c>
      <c r="CN164" s="1393">
        <v>0.0</v>
      </c>
      <c r="CO164" s="1393">
        <v>256390.4354601491</v>
      </c>
      <c r="CP164" s="1393">
        <v>0.0</v>
      </c>
      <c r="CQ164" s="1393">
        <v>0.0</v>
      </c>
      <c r="CR164" s="1393">
        <v>0.0</v>
      </c>
      <c r="CS164" s="1393">
        <v>15003.060284404699</v>
      </c>
      <c r="CT164" s="1393">
        <v>46088.13481182803</v>
      </c>
      <c r="CU164" s="1393">
        <v>0.0</v>
      </c>
      <c r="CV164" s="1393">
        <v>0.0</v>
      </c>
      <c r="CW164" s="1393">
        <v>255826.10445609747</v>
      </c>
      <c r="CX164" s="1393">
        <v>0.0</v>
      </c>
      <c r="CY164" s="1393">
        <v>0.0</v>
      </c>
      <c r="CZ164" s="1393">
        <v>0.0</v>
      </c>
      <c r="DA164" s="1393">
        <v>14969.70983349665</v>
      </c>
      <c r="DB164" s="1393">
        <v>45332.19112414634</v>
      </c>
      <c r="DC164" s="1393">
        <v>0.0</v>
      </c>
      <c r="DD164" s="1393">
        <v>0.0</v>
      </c>
      <c r="DE164" s="1393">
        <v>251670.29277541803</v>
      </c>
      <c r="DF164" s="1393">
        <v>0.0</v>
      </c>
      <c r="DG164" s="1393">
        <v>0.0</v>
      </c>
      <c r="DH164" s="1393">
        <v>0.0</v>
      </c>
      <c r="DI164" s="1393">
        <v>14724.174671328314</v>
      </c>
      <c r="DJ164" s="1393">
        <v>46041.528245491885</v>
      </c>
      <c r="DK164" s="1393">
        <v>0.0</v>
      </c>
      <c r="DL164" s="1393">
        <v>0.0</v>
      </c>
      <c r="DM164" s="1393">
        <v>255568.89690577463</v>
      </c>
      <c r="DN164" s="1393">
        <v>0.0</v>
      </c>
      <c r="DO164" s="1393">
        <v>0.0</v>
      </c>
      <c r="DP164" s="1393">
        <v>0.0</v>
      </c>
      <c r="DQ164" s="1393">
        <v>14954.571733913404</v>
      </c>
      <c r="DR164" s="1379">
        <f t="shared" si="52"/>
        <v>1590989.594</v>
      </c>
    </row>
    <row r="165" hidden="1">
      <c r="A165" s="1401"/>
      <c r="B165" s="1403">
        <f t="shared" si="53"/>
        <v>8</v>
      </c>
      <c r="C165" s="1404" t="s">
        <v>1409</v>
      </c>
      <c r="D165" s="185" t="s">
        <v>186</v>
      </c>
      <c r="E165" s="185" t="s">
        <v>1387</v>
      </c>
      <c r="F165" s="185" t="s">
        <v>1910</v>
      </c>
      <c r="G165" s="185" t="s">
        <v>86</v>
      </c>
      <c r="H165" s="185" t="s">
        <v>86</v>
      </c>
      <c r="I165" s="185" t="s">
        <v>103</v>
      </c>
      <c r="J165" s="185" t="s">
        <v>253</v>
      </c>
      <c r="K165" s="185" t="s">
        <v>254</v>
      </c>
      <c r="L165" s="1390"/>
      <c r="M165" s="503"/>
      <c r="N165" s="503"/>
      <c r="O165" s="503"/>
      <c r="P165" s="503"/>
      <c r="Q165" s="503">
        <v>3004014.0</v>
      </c>
      <c r="R165" s="503">
        <v>3004014.0</v>
      </c>
      <c r="S165" s="503">
        <v>3004014.0</v>
      </c>
      <c r="T165" s="503">
        <v>3004014.0</v>
      </c>
      <c r="U165" s="503">
        <v>3004014.0</v>
      </c>
      <c r="V165" s="503">
        <v>3004014.0</v>
      </c>
      <c r="W165" s="503">
        <v>3004014.0</v>
      </c>
      <c r="X165" s="1405">
        <v>2.1028098E7</v>
      </c>
      <c r="Y165" s="1392">
        <f t="shared" si="3"/>
        <v>0</v>
      </c>
      <c r="Z165" s="1393">
        <v>0.0</v>
      </c>
      <c r="AA165" s="1393">
        <v>0.0</v>
      </c>
      <c r="AB165" s="1393">
        <v>0.0</v>
      </c>
      <c r="AC165" s="1393">
        <v>0.0</v>
      </c>
      <c r="AD165" s="1393">
        <v>0.0</v>
      </c>
      <c r="AE165" s="1393">
        <v>0.0</v>
      </c>
      <c r="AF165" s="1393">
        <v>0.0</v>
      </c>
      <c r="AG165" s="1393">
        <v>0.0</v>
      </c>
      <c r="AH165" s="1393">
        <v>0.0</v>
      </c>
      <c r="AI165" s="1393">
        <v>0.0</v>
      </c>
      <c r="AJ165" s="1393">
        <v>0.0</v>
      </c>
      <c r="AK165" s="1393">
        <v>0.0</v>
      </c>
      <c r="AL165" s="1393">
        <v>0.0</v>
      </c>
      <c r="AM165" s="1393">
        <v>0.0</v>
      </c>
      <c r="AN165" s="1393">
        <v>0.0</v>
      </c>
      <c r="AO165" s="1393">
        <v>0.0</v>
      </c>
      <c r="AP165" s="1393">
        <v>0.0</v>
      </c>
      <c r="AQ165" s="1393">
        <v>0.0</v>
      </c>
      <c r="AR165" s="1393">
        <v>0.0</v>
      </c>
      <c r="AS165" s="1393">
        <v>0.0</v>
      </c>
      <c r="AT165" s="1393">
        <v>0.0</v>
      </c>
      <c r="AU165" s="1393">
        <v>0.0</v>
      </c>
      <c r="AV165" s="1393">
        <v>0.0</v>
      </c>
      <c r="AW165" s="1393">
        <v>0.0</v>
      </c>
      <c r="AX165" s="1393">
        <v>0.0</v>
      </c>
      <c r="AY165" s="1393">
        <v>0.0</v>
      </c>
      <c r="AZ165" s="1393">
        <v>0.0</v>
      </c>
      <c r="BA165" s="1393">
        <v>0.0</v>
      </c>
      <c r="BB165" s="1393">
        <v>0.0</v>
      </c>
      <c r="BC165" s="1393">
        <v>0.0</v>
      </c>
      <c r="BD165" s="1393">
        <v>0.0</v>
      </c>
      <c r="BE165" s="1393">
        <v>0.0</v>
      </c>
      <c r="BF165" s="1393">
        <v>0.0</v>
      </c>
      <c r="BG165" s="1393">
        <v>0.0</v>
      </c>
      <c r="BH165" s="1393">
        <v>0.0</v>
      </c>
      <c r="BI165" s="1393">
        <v>0.0</v>
      </c>
      <c r="BJ165" s="1393">
        <v>0.0</v>
      </c>
      <c r="BK165" s="1393">
        <v>0.0</v>
      </c>
      <c r="BL165" s="1393">
        <v>0.0</v>
      </c>
      <c r="BM165" s="1393">
        <v>0.0</v>
      </c>
      <c r="BN165" s="1393">
        <v>388379.5264763989</v>
      </c>
      <c r="BO165" s="1393">
        <v>0.0</v>
      </c>
      <c r="BP165" s="1393">
        <v>0.0</v>
      </c>
      <c r="BQ165" s="1393">
        <v>2156300.252445968</v>
      </c>
      <c r="BR165" s="1393">
        <v>0.0</v>
      </c>
      <c r="BS165" s="1393">
        <v>0.0</v>
      </c>
      <c r="BT165" s="1393">
        <v>0.0</v>
      </c>
      <c r="BU165" s="1393">
        <v>126148.06045764386</v>
      </c>
      <c r="BV165" s="1393">
        <v>406235.1989301979</v>
      </c>
      <c r="BW165" s="1393">
        <v>0.0</v>
      </c>
      <c r="BX165" s="1393">
        <v>0.0</v>
      </c>
      <c r="BY165" s="1393">
        <v>2254436.123750097</v>
      </c>
      <c r="BZ165" s="1393">
        <v>0.0</v>
      </c>
      <c r="CA165" s="1393">
        <v>0.0</v>
      </c>
      <c r="CB165" s="1393">
        <v>0.0</v>
      </c>
      <c r="CC165" s="1393">
        <v>131947.69276228492</v>
      </c>
      <c r="CD165" s="1393">
        <v>408752.35173696664</v>
      </c>
      <c r="CE165" s="1393">
        <v>0.0</v>
      </c>
      <c r="CF165" s="1393">
        <v>0.0</v>
      </c>
      <c r="CG165" s="1393">
        <v>2268266.2700170926</v>
      </c>
      <c r="CH165" s="1393">
        <v>0.0</v>
      </c>
      <c r="CI165" s="1393">
        <v>0.0</v>
      </c>
      <c r="CJ165" s="1393">
        <v>0.0</v>
      </c>
      <c r="CK165" s="1393">
        <v>132765.27948558683</v>
      </c>
      <c r="CL165" s="1393">
        <v>395412.75451170537</v>
      </c>
      <c r="CM165" s="1393">
        <v>0.0</v>
      </c>
      <c r="CN165" s="1393">
        <v>0.0</v>
      </c>
      <c r="CO165" s="1393">
        <v>2194809.7925401144</v>
      </c>
      <c r="CP165" s="1393">
        <v>0.0</v>
      </c>
      <c r="CQ165" s="1393">
        <v>0.0</v>
      </c>
      <c r="CR165" s="1393">
        <v>0.0</v>
      </c>
      <c r="CS165" s="1393">
        <v>128432.49620908442</v>
      </c>
      <c r="CT165" s="1393">
        <v>394533.7875937716</v>
      </c>
      <c r="CU165" s="1393">
        <v>0.0</v>
      </c>
      <c r="CV165" s="1393">
        <v>0.0</v>
      </c>
      <c r="CW165" s="1393">
        <v>2189978.8821681906</v>
      </c>
      <c r="CX165" s="1393">
        <v>0.0</v>
      </c>
      <c r="CY165" s="1393">
        <v>0.0</v>
      </c>
      <c r="CZ165" s="1393">
        <v>0.0</v>
      </c>
      <c r="DA165" s="1393">
        <v>128147.00234459122</v>
      </c>
      <c r="DB165" s="1393">
        <v>388062.59218683327</v>
      </c>
      <c r="DC165" s="1393">
        <v>0.0</v>
      </c>
      <c r="DD165" s="1393">
        <v>0.0</v>
      </c>
      <c r="DE165" s="1393">
        <v>2154403.3890483403</v>
      </c>
      <c r="DF165" s="1393">
        <v>0.0</v>
      </c>
      <c r="DG165" s="1393">
        <v>0.0</v>
      </c>
      <c r="DH165" s="1393">
        <v>0.0</v>
      </c>
      <c r="DI165" s="1393">
        <v>126045.11824984015</v>
      </c>
      <c r="DJ165" s="1393">
        <v>394134.8158146269</v>
      </c>
      <c r="DK165" s="1393">
        <v>0.0</v>
      </c>
      <c r="DL165" s="1393">
        <v>0.0</v>
      </c>
      <c r="DM165" s="1393">
        <v>2187777.0775292977</v>
      </c>
      <c r="DN165" s="1393">
        <v>0.0</v>
      </c>
      <c r="DO165" s="1393">
        <v>0.0</v>
      </c>
      <c r="DP165" s="1393">
        <v>0.0</v>
      </c>
      <c r="DQ165" s="1393">
        <v>128017.41385527754</v>
      </c>
      <c r="DR165" s="1379">
        <f t="shared" si="52"/>
        <v>19082985.88</v>
      </c>
    </row>
    <row r="166" hidden="1">
      <c r="A166" s="1401"/>
      <c r="B166" s="1403">
        <f t="shared" si="53"/>
        <v>9</v>
      </c>
      <c r="C166" s="1404" t="s">
        <v>1412</v>
      </c>
      <c r="D166" s="185" t="s">
        <v>186</v>
      </c>
      <c r="E166" s="185" t="s">
        <v>1387</v>
      </c>
      <c r="F166" s="185" t="s">
        <v>1910</v>
      </c>
      <c r="G166" s="185" t="s">
        <v>86</v>
      </c>
      <c r="H166" s="185" t="s">
        <v>86</v>
      </c>
      <c r="I166" s="185" t="s">
        <v>103</v>
      </c>
      <c r="J166" s="185" t="s">
        <v>253</v>
      </c>
      <c r="K166" s="185" t="s">
        <v>254</v>
      </c>
      <c r="L166" s="1390"/>
      <c r="M166" s="503"/>
      <c r="N166" s="503">
        <v>2810808.0</v>
      </c>
      <c r="O166" s="503">
        <v>2810808.0</v>
      </c>
      <c r="P166" s="503">
        <v>2810808.0</v>
      </c>
      <c r="Q166" s="503">
        <v>2810808.0</v>
      </c>
      <c r="R166" s="503">
        <v>2810808.0</v>
      </c>
      <c r="S166" s="503">
        <v>2810808.0</v>
      </c>
      <c r="T166" s="503">
        <v>2810808.0</v>
      </c>
      <c r="U166" s="503">
        <v>2810808.0</v>
      </c>
      <c r="V166" s="503">
        <v>2810808.0</v>
      </c>
      <c r="W166" s="503">
        <v>2810808.0</v>
      </c>
      <c r="X166" s="1405">
        <v>2.810808E7</v>
      </c>
      <c r="Y166" s="1392">
        <f t="shared" si="3"/>
        <v>0</v>
      </c>
      <c r="Z166" s="1393">
        <v>0.0</v>
      </c>
      <c r="AA166" s="1393">
        <v>0.0</v>
      </c>
      <c r="AB166" s="1393">
        <v>0.0</v>
      </c>
      <c r="AC166" s="1393">
        <v>0.0</v>
      </c>
      <c r="AD166" s="1393">
        <v>0.0</v>
      </c>
      <c r="AE166" s="1393">
        <v>0.0</v>
      </c>
      <c r="AF166" s="1393">
        <v>0.0</v>
      </c>
      <c r="AG166" s="1393">
        <v>0.0</v>
      </c>
      <c r="AH166" s="1393">
        <v>0.0</v>
      </c>
      <c r="AI166" s="1393">
        <v>0.0</v>
      </c>
      <c r="AJ166" s="1393">
        <v>0.0</v>
      </c>
      <c r="AK166" s="1393">
        <v>0.0</v>
      </c>
      <c r="AL166" s="1393">
        <v>0.0</v>
      </c>
      <c r="AM166" s="1393">
        <v>0.0</v>
      </c>
      <c r="AN166" s="1393">
        <v>0.0</v>
      </c>
      <c r="AO166" s="1393">
        <v>0.0</v>
      </c>
      <c r="AP166" s="1393">
        <v>389394.59767151286</v>
      </c>
      <c r="AQ166" s="1393">
        <v>0.0</v>
      </c>
      <c r="AR166" s="1393">
        <v>0.0</v>
      </c>
      <c r="AS166" s="1393">
        <v>2160761.426451829</v>
      </c>
      <c r="AT166" s="1393">
        <v>0.0</v>
      </c>
      <c r="AU166" s="1393">
        <v>0.0</v>
      </c>
      <c r="AV166" s="1393">
        <v>0.0</v>
      </c>
      <c r="AW166" s="1393">
        <v>126477.76182901065</v>
      </c>
      <c r="AX166" s="1393">
        <v>361881.6349503109</v>
      </c>
      <c r="AY166" s="1393">
        <v>0.0</v>
      </c>
      <c r="AZ166" s="1393">
        <v>0.0</v>
      </c>
      <c r="BA166" s="1393">
        <v>2009406.1979757939</v>
      </c>
      <c r="BB166" s="1393">
        <v>0.0</v>
      </c>
      <c r="BC166" s="1393">
        <v>0.0</v>
      </c>
      <c r="BD166" s="1393">
        <v>0.0</v>
      </c>
      <c r="BE166" s="1393">
        <v>117541.38221031312</v>
      </c>
      <c r="BF166" s="1393">
        <v>358037.5567715831</v>
      </c>
      <c r="BG166" s="1393">
        <v>0.0</v>
      </c>
      <c r="BH166" s="1393">
        <v>0.0</v>
      </c>
      <c r="BI166" s="1393">
        <v>1988249.432830035</v>
      </c>
      <c r="BJ166" s="1393">
        <v>0.0</v>
      </c>
      <c r="BK166" s="1393">
        <v>0.0</v>
      </c>
      <c r="BL166" s="1393">
        <v>0.0</v>
      </c>
      <c r="BM166" s="1393">
        <v>116292.80195971762</v>
      </c>
      <c r="BN166" s="1393">
        <v>363400.5301094049</v>
      </c>
      <c r="BO166" s="1393">
        <v>0.0</v>
      </c>
      <c r="BP166" s="1393">
        <v>0.0</v>
      </c>
      <c r="BQ166" s="1393">
        <v>2017615.7634342404</v>
      </c>
      <c r="BR166" s="1393">
        <v>0.0</v>
      </c>
      <c r="BS166" s="1393">
        <v>0.0</v>
      </c>
      <c r="BT166" s="1393">
        <v>0.0</v>
      </c>
      <c r="BU166" s="1393">
        <v>118034.72870593447</v>
      </c>
      <c r="BV166" s="1393">
        <v>380107.7981109914</v>
      </c>
      <c r="BW166" s="1393">
        <v>0.0</v>
      </c>
      <c r="BX166" s="1393">
        <v>0.0</v>
      </c>
      <c r="BY166" s="1393">
        <v>2109439.933411017</v>
      </c>
      <c r="BZ166" s="1393">
        <v>0.0</v>
      </c>
      <c r="CA166" s="1393">
        <v>0.0</v>
      </c>
      <c r="CB166" s="1393">
        <v>0.0</v>
      </c>
      <c r="CC166" s="1393">
        <v>123461.35217671173</v>
      </c>
      <c r="CD166" s="1393">
        <v>382463.05785561574</v>
      </c>
      <c r="CE166" s="1393">
        <v>0.0</v>
      </c>
      <c r="CF166" s="1393">
        <v>0.0</v>
      </c>
      <c r="CG166" s="1393">
        <v>2122380.5807476942</v>
      </c>
      <c r="CH166" s="1393">
        <v>0.0</v>
      </c>
      <c r="CI166" s="1393">
        <v>0.0</v>
      </c>
      <c r="CJ166" s="1393">
        <v>0.0</v>
      </c>
      <c r="CK166" s="1393">
        <v>124226.35503706818</v>
      </c>
      <c r="CL166" s="1393">
        <v>369981.40943535476</v>
      </c>
      <c r="CM166" s="1393">
        <v>0.0</v>
      </c>
      <c r="CN166" s="1393">
        <v>0.0</v>
      </c>
      <c r="CO166" s="1393">
        <v>2053648.5260555025</v>
      </c>
      <c r="CP166" s="1393">
        <v>0.0</v>
      </c>
      <c r="CQ166" s="1393">
        <v>0.0</v>
      </c>
      <c r="CR166" s="1393">
        <v>0.0</v>
      </c>
      <c r="CS166" s="1393">
        <v>120172.23881262341</v>
      </c>
      <c r="CT166" s="1393">
        <v>369158.97410560475</v>
      </c>
      <c r="CU166" s="1393">
        <v>0.0</v>
      </c>
      <c r="CV166" s="1393">
        <v>0.0</v>
      </c>
      <c r="CW166" s="1393">
        <v>2049128.3202506404</v>
      </c>
      <c r="CX166" s="1393">
        <v>0.0</v>
      </c>
      <c r="CY166" s="1393">
        <v>0.0</v>
      </c>
      <c r="CZ166" s="1393">
        <v>0.0</v>
      </c>
      <c r="DA166" s="1393">
        <v>119905.10675589254</v>
      </c>
      <c r="DB166" s="1393">
        <v>363103.9797482596</v>
      </c>
      <c r="DC166" s="1393">
        <v>0.0</v>
      </c>
      <c r="DD166" s="1393">
        <v>0.0</v>
      </c>
      <c r="DE166" s="1393">
        <v>2015840.8985990705</v>
      </c>
      <c r="DF166" s="1393">
        <v>0.0</v>
      </c>
      <c r="DG166" s="1393">
        <v>0.0</v>
      </c>
      <c r="DH166" s="1393">
        <v>0.0</v>
      </c>
      <c r="DI166" s="1393">
        <v>117938.40732353333</v>
      </c>
      <c r="DJ166" s="1393">
        <v>368785.6625735699</v>
      </c>
      <c r="DK166" s="1393">
        <v>0.0</v>
      </c>
      <c r="DL166" s="1393">
        <v>0.0</v>
      </c>
      <c r="DM166" s="1393">
        <v>2047068.126758387</v>
      </c>
      <c r="DN166" s="1393">
        <v>0.0</v>
      </c>
      <c r="DO166" s="1393">
        <v>0.0</v>
      </c>
      <c r="DP166" s="1393">
        <v>0.0</v>
      </c>
      <c r="DQ166" s="1393">
        <v>119783.85287276456</v>
      </c>
      <c r="DR166" s="1379">
        <f t="shared" si="52"/>
        <v>25483688.4</v>
      </c>
    </row>
    <row r="167" hidden="1">
      <c r="A167" s="1401"/>
      <c r="B167" s="1403">
        <f t="shared" si="53"/>
        <v>10</v>
      </c>
      <c r="C167" s="1404" t="s">
        <v>1415</v>
      </c>
      <c r="D167" s="185" t="s">
        <v>186</v>
      </c>
      <c r="E167" s="185" t="s">
        <v>1387</v>
      </c>
      <c r="F167" s="185" t="s">
        <v>1910</v>
      </c>
      <c r="G167" s="185" t="s">
        <v>86</v>
      </c>
      <c r="H167" s="185" t="s">
        <v>86</v>
      </c>
      <c r="I167" s="185" t="s">
        <v>103</v>
      </c>
      <c r="J167" s="185" t="s">
        <v>253</v>
      </c>
      <c r="K167" s="185" t="s">
        <v>254</v>
      </c>
      <c r="L167" s="1390"/>
      <c r="M167" s="503"/>
      <c r="N167" s="503"/>
      <c r="O167" s="503"/>
      <c r="P167" s="503"/>
      <c r="Q167" s="503"/>
      <c r="R167" s="503"/>
      <c r="S167" s="503">
        <v>3502656.0</v>
      </c>
      <c r="T167" s="503">
        <v>3502656.0</v>
      </c>
      <c r="U167" s="503">
        <v>3502656.0</v>
      </c>
      <c r="V167" s="503">
        <v>3502656.0</v>
      </c>
      <c r="W167" s="503">
        <v>3502656.0</v>
      </c>
      <c r="X167" s="1405">
        <v>1.751328E7</v>
      </c>
      <c r="Y167" s="1392">
        <f t="shared" si="3"/>
        <v>0</v>
      </c>
      <c r="Z167" s="1393">
        <v>0.0</v>
      </c>
      <c r="AA167" s="1393">
        <v>0.0</v>
      </c>
      <c r="AB167" s="1393">
        <v>0.0</v>
      </c>
      <c r="AC167" s="1393">
        <v>0.0</v>
      </c>
      <c r="AD167" s="1393">
        <v>0.0</v>
      </c>
      <c r="AE167" s="1393">
        <v>0.0</v>
      </c>
      <c r="AF167" s="1393">
        <v>0.0</v>
      </c>
      <c r="AG167" s="1393">
        <v>0.0</v>
      </c>
      <c r="AH167" s="1393">
        <v>0.0</v>
      </c>
      <c r="AI167" s="1393">
        <v>0.0</v>
      </c>
      <c r="AJ167" s="1393">
        <v>0.0</v>
      </c>
      <c r="AK167" s="1393">
        <v>0.0</v>
      </c>
      <c r="AL167" s="1393">
        <v>0.0</v>
      </c>
      <c r="AM167" s="1393">
        <v>0.0</v>
      </c>
      <c r="AN167" s="1393">
        <v>0.0</v>
      </c>
      <c r="AO167" s="1393">
        <v>0.0</v>
      </c>
      <c r="AP167" s="1393">
        <v>0.0</v>
      </c>
      <c r="AQ167" s="1393">
        <v>0.0</v>
      </c>
      <c r="AR167" s="1393">
        <v>0.0</v>
      </c>
      <c r="AS167" s="1393">
        <v>0.0</v>
      </c>
      <c r="AT167" s="1393">
        <v>0.0</v>
      </c>
      <c r="AU167" s="1393">
        <v>0.0</v>
      </c>
      <c r="AV167" s="1393">
        <v>0.0</v>
      </c>
      <c r="AW167" s="1393">
        <v>0.0</v>
      </c>
      <c r="AX167" s="1393">
        <v>0.0</v>
      </c>
      <c r="AY167" s="1393">
        <v>0.0</v>
      </c>
      <c r="AZ167" s="1393">
        <v>0.0</v>
      </c>
      <c r="BA167" s="1393">
        <v>0.0</v>
      </c>
      <c r="BB167" s="1393">
        <v>0.0</v>
      </c>
      <c r="BC167" s="1393">
        <v>0.0</v>
      </c>
      <c r="BD167" s="1393">
        <v>0.0</v>
      </c>
      <c r="BE167" s="1393">
        <v>0.0</v>
      </c>
      <c r="BF167" s="1393">
        <v>0.0</v>
      </c>
      <c r="BG167" s="1393">
        <v>0.0</v>
      </c>
      <c r="BH167" s="1393">
        <v>0.0</v>
      </c>
      <c r="BI167" s="1393">
        <v>0.0</v>
      </c>
      <c r="BJ167" s="1393">
        <v>0.0</v>
      </c>
      <c r="BK167" s="1393">
        <v>0.0</v>
      </c>
      <c r="BL167" s="1393">
        <v>0.0</v>
      </c>
      <c r="BM167" s="1393">
        <v>0.0</v>
      </c>
      <c r="BN167" s="1393">
        <v>0.0</v>
      </c>
      <c r="BO167" s="1393">
        <v>0.0</v>
      </c>
      <c r="BP167" s="1393">
        <v>0.0</v>
      </c>
      <c r="BQ167" s="1393">
        <v>0.0</v>
      </c>
      <c r="BR167" s="1393">
        <v>0.0</v>
      </c>
      <c r="BS167" s="1393">
        <v>0.0</v>
      </c>
      <c r="BT167" s="1393">
        <v>0.0</v>
      </c>
      <c r="BU167" s="1393">
        <v>0.0</v>
      </c>
      <c r="BV167" s="1393">
        <v>0.0</v>
      </c>
      <c r="BW167" s="1393">
        <v>0.0</v>
      </c>
      <c r="BX167" s="1393">
        <v>0.0</v>
      </c>
      <c r="BY167" s="1393">
        <v>0.0</v>
      </c>
      <c r="BZ167" s="1393">
        <v>0.0</v>
      </c>
      <c r="CA167" s="1393">
        <v>0.0</v>
      </c>
      <c r="CB167" s="1393">
        <v>0.0</v>
      </c>
      <c r="CC167" s="1393">
        <v>0.0</v>
      </c>
      <c r="CD167" s="1393">
        <v>476601.93238966144</v>
      </c>
      <c r="CE167" s="1393">
        <v>0.0</v>
      </c>
      <c r="CF167" s="1393">
        <v>0.0</v>
      </c>
      <c r="CG167" s="1393">
        <v>2644780.104311428</v>
      </c>
      <c r="CH167" s="1393">
        <v>0.0</v>
      </c>
      <c r="CI167" s="1393">
        <v>0.0</v>
      </c>
      <c r="CJ167" s="1393">
        <v>0.0</v>
      </c>
      <c r="CK167" s="1393">
        <v>154803.24085768827</v>
      </c>
      <c r="CL167" s="1393">
        <v>461048.07003793993</v>
      </c>
      <c r="CM167" s="1393">
        <v>0.0</v>
      </c>
      <c r="CN167" s="1393">
        <v>0.0</v>
      </c>
      <c r="CO167" s="1393">
        <v>2559130.4463625625</v>
      </c>
      <c r="CP167" s="1393">
        <v>0.0</v>
      </c>
      <c r="CQ167" s="1393">
        <v>0.0</v>
      </c>
      <c r="CR167" s="1393">
        <v>0.0</v>
      </c>
      <c r="CS167" s="1393">
        <v>149751.25064055188</v>
      </c>
      <c r="CT167" s="1393">
        <v>460023.20172877016</v>
      </c>
      <c r="CU167" s="1393">
        <v>0.0</v>
      </c>
      <c r="CV167" s="1393">
        <v>0.0</v>
      </c>
      <c r="CW167" s="1393">
        <v>2553497.6439855825</v>
      </c>
      <c r="CX167" s="1393">
        <v>0.0</v>
      </c>
      <c r="CY167" s="1393">
        <v>0.0</v>
      </c>
      <c r="CZ167" s="1393">
        <v>0.0</v>
      </c>
      <c r="DA167" s="1393">
        <v>149418.36710624403</v>
      </c>
      <c r="DB167" s="1393">
        <v>452477.84028262337</v>
      </c>
      <c r="DC167" s="1393">
        <v>0.0</v>
      </c>
      <c r="DD167" s="1393">
        <v>0.0</v>
      </c>
      <c r="DE167" s="1393">
        <v>2512016.90706851</v>
      </c>
      <c r="DF167" s="1393">
        <v>0.0</v>
      </c>
      <c r="DG167" s="1393">
        <v>0.0</v>
      </c>
      <c r="DH167" s="1393">
        <v>0.0</v>
      </c>
      <c r="DI167" s="1393">
        <v>146967.58727106868</v>
      </c>
      <c r="DJ167" s="1393">
        <v>459558.0038648282</v>
      </c>
      <c r="DK167" s="1393">
        <v>0.0</v>
      </c>
      <c r="DL167" s="1393">
        <v>0.0</v>
      </c>
      <c r="DM167" s="1393">
        <v>2550930.357605011</v>
      </c>
      <c r="DN167" s="1393">
        <v>0.0</v>
      </c>
      <c r="DO167" s="1393">
        <v>0.0</v>
      </c>
      <c r="DP167" s="1393">
        <v>0.0</v>
      </c>
      <c r="DQ167" s="1393">
        <v>149267.2679770038</v>
      </c>
      <c r="DR167" s="1379">
        <f t="shared" si="52"/>
        <v>15880272.22</v>
      </c>
    </row>
    <row r="168" hidden="1">
      <c r="A168" s="1401"/>
      <c r="B168" s="1403">
        <f t="shared" si="53"/>
        <v>11</v>
      </c>
      <c r="C168" s="1404" t="s">
        <v>1418</v>
      </c>
      <c r="D168" s="185" t="s">
        <v>186</v>
      </c>
      <c r="E168" s="185" t="s">
        <v>1387</v>
      </c>
      <c r="F168" s="185" t="s">
        <v>1910</v>
      </c>
      <c r="G168" s="185" t="s">
        <v>86</v>
      </c>
      <c r="H168" s="185" t="s">
        <v>86</v>
      </c>
      <c r="I168" s="185" t="s">
        <v>103</v>
      </c>
      <c r="J168" s="185" t="s">
        <v>253</v>
      </c>
      <c r="K168" s="185" t="s">
        <v>254</v>
      </c>
      <c r="L168" s="1390"/>
      <c r="M168" s="503">
        <v>450450.0</v>
      </c>
      <c r="N168" s="503">
        <v>450450.0</v>
      </c>
      <c r="O168" s="503">
        <v>450450.0</v>
      </c>
      <c r="P168" s="503">
        <v>450450.0</v>
      </c>
      <c r="Q168" s="503">
        <v>450450.0</v>
      </c>
      <c r="R168" s="503">
        <v>450450.0</v>
      </c>
      <c r="S168" s="503">
        <v>450450.0</v>
      </c>
      <c r="T168" s="503">
        <v>450450.0</v>
      </c>
      <c r="U168" s="503">
        <v>450450.0</v>
      </c>
      <c r="V168" s="503">
        <v>450450.0</v>
      </c>
      <c r="W168" s="503">
        <v>450450.0</v>
      </c>
      <c r="X168" s="1405">
        <v>4954950.0</v>
      </c>
      <c r="Y168" s="1392">
        <f t="shared" si="3"/>
        <v>0</v>
      </c>
      <c r="Z168" s="1393">
        <v>0.0</v>
      </c>
      <c r="AA168" s="1393">
        <v>0.0</v>
      </c>
      <c r="AB168" s="1393">
        <v>0.0</v>
      </c>
      <c r="AC168" s="1393">
        <v>0.0</v>
      </c>
      <c r="AD168" s="1393">
        <v>0.0</v>
      </c>
      <c r="AE168" s="1393">
        <v>0.0</v>
      </c>
      <c r="AF168" s="1393">
        <v>0.0</v>
      </c>
      <c r="AG168" s="1393">
        <v>0.0</v>
      </c>
      <c r="AH168" s="1393">
        <v>56787.791929049905</v>
      </c>
      <c r="AI168" s="1393">
        <v>0.0</v>
      </c>
      <c r="AJ168" s="1393">
        <v>0.0</v>
      </c>
      <c r="AK168" s="1393">
        <v>315620.5568324809</v>
      </c>
      <c r="AL168" s="1393">
        <v>0.0</v>
      </c>
      <c r="AM168" s="1393">
        <v>0.0</v>
      </c>
      <c r="AN168" s="1393">
        <v>0.0</v>
      </c>
      <c r="AO168" s="1393">
        <v>18445.024315557508</v>
      </c>
      <c r="AP168" s="1393">
        <v>62402.980396075785</v>
      </c>
      <c r="AQ168" s="1393">
        <v>0.0</v>
      </c>
      <c r="AR168" s="1393">
        <v>0.0</v>
      </c>
      <c r="AS168" s="1393">
        <v>346275.86962369055</v>
      </c>
      <c r="AT168" s="1393">
        <v>0.0</v>
      </c>
      <c r="AU168" s="1393">
        <v>0.0</v>
      </c>
      <c r="AV168" s="1393">
        <v>0.0</v>
      </c>
      <c r="AW168" s="1393">
        <v>20268.872087982476</v>
      </c>
      <c r="AX168" s="1393">
        <v>57993.85175485752</v>
      </c>
      <c r="AY168" s="1393">
        <v>0.0</v>
      </c>
      <c r="AZ168" s="1393">
        <v>0.0</v>
      </c>
      <c r="BA168" s="1393">
        <v>322020.2240345823</v>
      </c>
      <c r="BB168" s="1393">
        <v>0.0</v>
      </c>
      <c r="BC168" s="1393">
        <v>0.0</v>
      </c>
      <c r="BD168" s="1393">
        <v>0.0</v>
      </c>
      <c r="BE168" s="1393">
        <v>18836.759969601462</v>
      </c>
      <c r="BF168" s="1393">
        <v>57377.81358518961</v>
      </c>
      <c r="BG168" s="1393">
        <v>0.0</v>
      </c>
      <c r="BH168" s="1393">
        <v>0.0</v>
      </c>
      <c r="BI168" s="1393">
        <v>318629.7167996851</v>
      </c>
      <c r="BJ168" s="1393">
        <v>0.0</v>
      </c>
      <c r="BK168" s="1393">
        <v>0.0</v>
      </c>
      <c r="BL168" s="1393">
        <v>0.0</v>
      </c>
      <c r="BM168" s="1393">
        <v>18636.666980723978</v>
      </c>
      <c r="BN168" s="1393">
        <v>58237.26444060976</v>
      </c>
      <c r="BO168" s="1393">
        <v>0.0</v>
      </c>
      <c r="BP168" s="1393">
        <v>0.0</v>
      </c>
      <c r="BQ168" s="1393">
        <v>323335.859524718</v>
      </c>
      <c r="BR168" s="1393">
        <v>0.0</v>
      </c>
      <c r="BS168" s="1393">
        <v>0.0</v>
      </c>
      <c r="BT168" s="1393">
        <v>0.0</v>
      </c>
      <c r="BU168" s="1393">
        <v>18915.82190800232</v>
      </c>
      <c r="BV168" s="1393">
        <v>60914.711235735806</v>
      </c>
      <c r="BW168" s="1393">
        <v>0.0</v>
      </c>
      <c r="BX168" s="1393">
        <v>0.0</v>
      </c>
      <c r="BY168" s="1393">
        <v>338051.27137997065</v>
      </c>
      <c r="BZ168" s="1393">
        <v>0.0</v>
      </c>
      <c r="CA168" s="1393">
        <v>0.0</v>
      </c>
      <c r="CB168" s="1393">
        <v>0.0</v>
      </c>
      <c r="CC168" s="1393">
        <v>19785.473105242265</v>
      </c>
      <c r="CD168" s="1393">
        <v>61292.156707630726</v>
      </c>
      <c r="CE168" s="1393">
        <v>0.0</v>
      </c>
      <c r="CF168" s="1393">
        <v>0.0</v>
      </c>
      <c r="CG168" s="1393">
        <v>340125.09306854074</v>
      </c>
      <c r="CH168" s="1393">
        <v>0.0</v>
      </c>
      <c r="CI168" s="1393">
        <v>0.0</v>
      </c>
      <c r="CJ168" s="1393">
        <v>0.0</v>
      </c>
      <c r="CK168" s="1393">
        <v>19908.069717478877</v>
      </c>
      <c r="CL168" s="1393">
        <v>59291.892537717096</v>
      </c>
      <c r="CM168" s="1393">
        <v>0.0</v>
      </c>
      <c r="CN168" s="1393">
        <v>0.0</v>
      </c>
      <c r="CO168" s="1393">
        <v>329110.3407140228</v>
      </c>
      <c r="CP168" s="1393">
        <v>0.0</v>
      </c>
      <c r="CQ168" s="1393">
        <v>0.0</v>
      </c>
      <c r="CR168" s="1393">
        <v>0.0</v>
      </c>
      <c r="CS168" s="1393">
        <v>19258.37160458709</v>
      </c>
      <c r="CT168" s="1393">
        <v>59160.092004103324</v>
      </c>
      <c r="CU168" s="1393">
        <v>0.0</v>
      </c>
      <c r="CV168" s="1393">
        <v>0.0</v>
      </c>
      <c r="CW168" s="1393">
        <v>328385.9487581154</v>
      </c>
      <c r="CX168" s="1393">
        <v>0.0</v>
      </c>
      <c r="CY168" s="1393">
        <v>0.0</v>
      </c>
      <c r="CZ168" s="1393">
        <v>0.0</v>
      </c>
      <c r="DA168" s="1393">
        <v>19215.561980110986</v>
      </c>
      <c r="DB168" s="1393">
        <v>58189.74034427237</v>
      </c>
      <c r="DC168" s="1393">
        <v>0.0</v>
      </c>
      <c r="DD168" s="1393">
        <v>0.0</v>
      </c>
      <c r="DE168" s="1393">
        <v>323051.4260575434</v>
      </c>
      <c r="DF168" s="1393">
        <v>0.0</v>
      </c>
      <c r="DG168" s="1393">
        <v>0.0</v>
      </c>
      <c r="DH168" s="1393">
        <v>0.0</v>
      </c>
      <c r="DI168" s="1393">
        <v>18900.38578902778</v>
      </c>
      <c r="DJ168" s="1393">
        <v>59100.266438072096</v>
      </c>
      <c r="DK168" s="1393">
        <v>0.0</v>
      </c>
      <c r="DL168" s="1393">
        <v>0.0</v>
      </c>
      <c r="DM168" s="1393">
        <v>328055.78954461333</v>
      </c>
      <c r="DN168" s="1393">
        <v>0.0</v>
      </c>
      <c r="DO168" s="1393">
        <v>0.0</v>
      </c>
      <c r="DP168" s="1393">
        <v>0.0</v>
      </c>
      <c r="DQ168" s="1393">
        <v>19196.130268071243</v>
      </c>
      <c r="DR168" s="1379">
        <f t="shared" si="52"/>
        <v>4474777.795</v>
      </c>
    </row>
    <row r="169" hidden="1">
      <c r="A169" s="1401"/>
      <c r="B169" s="1403">
        <f t="shared" si="53"/>
        <v>12</v>
      </c>
      <c r="C169" s="1404" t="s">
        <v>1421</v>
      </c>
      <c r="D169" s="185" t="s">
        <v>186</v>
      </c>
      <c r="E169" s="185" t="s">
        <v>1387</v>
      </c>
      <c r="F169" s="185" t="s">
        <v>1910</v>
      </c>
      <c r="G169" s="185" t="s">
        <v>86</v>
      </c>
      <c r="H169" s="185" t="s">
        <v>86</v>
      </c>
      <c r="I169" s="185" t="s">
        <v>103</v>
      </c>
      <c r="J169" s="185" t="s">
        <v>253</v>
      </c>
      <c r="K169" s="185" t="s">
        <v>254</v>
      </c>
      <c r="L169" s="1390"/>
      <c r="M169" s="503"/>
      <c r="N169" s="503"/>
      <c r="O169" s="503"/>
      <c r="P169" s="503"/>
      <c r="Q169" s="503">
        <v>3.5972076E7</v>
      </c>
      <c r="R169" s="503">
        <v>3.5972076E7</v>
      </c>
      <c r="S169" s="503">
        <v>3.5972076E7</v>
      </c>
      <c r="T169" s="503">
        <v>3.5972076E7</v>
      </c>
      <c r="U169" s="503">
        <v>3.5972076E7</v>
      </c>
      <c r="V169" s="503">
        <v>3.5972076E7</v>
      </c>
      <c r="W169" s="503">
        <v>3.5972076E7</v>
      </c>
      <c r="X169" s="1405">
        <v>2.51804532E8</v>
      </c>
      <c r="Y169" s="1392">
        <f t="shared" si="3"/>
        <v>0</v>
      </c>
      <c r="Z169" s="1393">
        <v>0.0</v>
      </c>
      <c r="AA169" s="1393">
        <v>0.0</v>
      </c>
      <c r="AB169" s="1393">
        <v>0.0</v>
      </c>
      <c r="AC169" s="1393">
        <v>0.0</v>
      </c>
      <c r="AD169" s="1393">
        <v>0.0</v>
      </c>
      <c r="AE169" s="1393">
        <v>0.0</v>
      </c>
      <c r="AF169" s="1393">
        <v>0.0</v>
      </c>
      <c r="AG169" s="1393">
        <v>0.0</v>
      </c>
      <c r="AH169" s="1393">
        <v>0.0</v>
      </c>
      <c r="AI169" s="1393">
        <v>0.0</v>
      </c>
      <c r="AJ169" s="1393">
        <v>0.0</v>
      </c>
      <c r="AK169" s="1393">
        <v>0.0</v>
      </c>
      <c r="AL169" s="1393">
        <v>0.0</v>
      </c>
      <c r="AM169" s="1393">
        <v>0.0</v>
      </c>
      <c r="AN169" s="1393">
        <v>0.0</v>
      </c>
      <c r="AO169" s="1393">
        <v>0.0</v>
      </c>
      <c r="AP169" s="1393">
        <v>0.0</v>
      </c>
      <c r="AQ169" s="1393">
        <v>0.0</v>
      </c>
      <c r="AR169" s="1393">
        <v>0.0</v>
      </c>
      <c r="AS169" s="1393">
        <v>0.0</v>
      </c>
      <c r="AT169" s="1393">
        <v>0.0</v>
      </c>
      <c r="AU169" s="1393">
        <v>0.0</v>
      </c>
      <c r="AV169" s="1393">
        <v>0.0</v>
      </c>
      <c r="AW169" s="1393">
        <v>0.0</v>
      </c>
      <c r="AX169" s="1393">
        <v>0.0</v>
      </c>
      <c r="AY169" s="1393">
        <v>0.0</v>
      </c>
      <c r="AZ169" s="1393">
        <v>0.0</v>
      </c>
      <c r="BA169" s="1393">
        <v>0.0</v>
      </c>
      <c r="BB169" s="1393">
        <v>0.0</v>
      </c>
      <c r="BC169" s="1393">
        <v>0.0</v>
      </c>
      <c r="BD169" s="1393">
        <v>0.0</v>
      </c>
      <c r="BE169" s="1393">
        <v>0.0</v>
      </c>
      <c r="BF169" s="1393">
        <v>0.0</v>
      </c>
      <c r="BG169" s="1393">
        <v>0.0</v>
      </c>
      <c r="BH169" s="1393">
        <v>0.0</v>
      </c>
      <c r="BI169" s="1393">
        <v>0.0</v>
      </c>
      <c r="BJ169" s="1393">
        <v>0.0</v>
      </c>
      <c r="BK169" s="1393">
        <v>0.0</v>
      </c>
      <c r="BL169" s="1393">
        <v>0.0</v>
      </c>
      <c r="BM169" s="1393">
        <v>0.0</v>
      </c>
      <c r="BN169" s="1393">
        <v>4650716.6222437825</v>
      </c>
      <c r="BO169" s="1393">
        <v>0.0</v>
      </c>
      <c r="BP169" s="1393">
        <v>0.0</v>
      </c>
      <c r="BQ169" s="1393">
        <v>2.5820983710397333E7</v>
      </c>
      <c r="BR169" s="1393">
        <v>0.0</v>
      </c>
      <c r="BS169" s="1393">
        <v>0.0</v>
      </c>
      <c r="BT169" s="1393">
        <v>0.0</v>
      </c>
      <c r="BU169" s="1393">
        <v>1510581.3814565977</v>
      </c>
      <c r="BV169" s="1393">
        <v>4864532.405572077</v>
      </c>
      <c r="BW169" s="1393">
        <v>0.0</v>
      </c>
      <c r="BX169" s="1393">
        <v>0.0</v>
      </c>
      <c r="BY169" s="1393">
        <v>2.699612837379716E7</v>
      </c>
      <c r="BZ169" s="1393">
        <v>0.0</v>
      </c>
      <c r="CA169" s="1393">
        <v>0.0</v>
      </c>
      <c r="CB169" s="1393">
        <v>0.0</v>
      </c>
      <c r="CC169" s="1393">
        <v>1580030.0637978262</v>
      </c>
      <c r="CD169" s="1393">
        <v>4894674.47950006</v>
      </c>
      <c r="CE169" s="1393">
        <v>0.0</v>
      </c>
      <c r="CF169" s="1393">
        <v>0.0</v>
      </c>
      <c r="CG169" s="1393">
        <v>2.716173980989815E7</v>
      </c>
      <c r="CH169" s="1393">
        <v>0.0</v>
      </c>
      <c r="CI169" s="1393">
        <v>0.0</v>
      </c>
      <c r="CJ169" s="1393">
        <v>0.0</v>
      </c>
      <c r="CK169" s="1393">
        <v>1589820.3949171908</v>
      </c>
      <c r="CL169" s="1393">
        <v>4734937.2062395215</v>
      </c>
      <c r="CM169" s="1393">
        <v>0.0</v>
      </c>
      <c r="CN169" s="1393">
        <v>0.0</v>
      </c>
      <c r="CO169" s="1393">
        <v>2.6282122740705345E7</v>
      </c>
      <c r="CP169" s="1393">
        <v>0.0</v>
      </c>
      <c r="CQ169" s="1393">
        <v>0.0</v>
      </c>
      <c r="CR169" s="1393">
        <v>0.0</v>
      </c>
      <c r="CS169" s="1393">
        <v>1537936.7454688614</v>
      </c>
      <c r="CT169" s="1393">
        <v>4724411.867551553</v>
      </c>
      <c r="CU169" s="1393">
        <v>0.0</v>
      </c>
      <c r="CV169" s="1393">
        <v>0.0</v>
      </c>
      <c r="CW169" s="1393">
        <v>2.622427418372524E7</v>
      </c>
      <c r="CX169" s="1393">
        <v>0.0</v>
      </c>
      <c r="CY169" s="1393">
        <v>0.0</v>
      </c>
      <c r="CZ169" s="1393">
        <v>0.0</v>
      </c>
      <c r="DA169" s="1393">
        <v>1534518.0506854542</v>
      </c>
      <c r="DB169" s="1393">
        <v>4646921.4387488775</v>
      </c>
      <c r="DC169" s="1393">
        <v>0.0</v>
      </c>
      <c r="DD169" s="1393">
        <v>0.0</v>
      </c>
      <c r="DE169" s="1393">
        <v>2.5798269397381127E7</v>
      </c>
      <c r="DF169" s="1393">
        <v>0.0</v>
      </c>
      <c r="DG169" s="1393">
        <v>0.0</v>
      </c>
      <c r="DH169" s="1393">
        <v>0.0</v>
      </c>
      <c r="DI169" s="1393">
        <v>1509348.6825002271</v>
      </c>
      <c r="DJ169" s="1393">
        <v>4719634.312200197</v>
      </c>
      <c r="DK169" s="1393">
        <v>0.0</v>
      </c>
      <c r="DL169" s="1393">
        <v>0.0</v>
      </c>
      <c r="DM169" s="1393">
        <v>2.619790830000852E7</v>
      </c>
      <c r="DN169" s="1393">
        <v>0.0</v>
      </c>
      <c r="DO169" s="1393">
        <v>0.0</v>
      </c>
      <c r="DP169" s="1393">
        <v>0.0</v>
      </c>
      <c r="DQ169" s="1393">
        <v>1532966.2713041608</v>
      </c>
      <c r="DR169" s="1379">
        <f t="shared" si="52"/>
        <v>228512456.4</v>
      </c>
    </row>
    <row r="170" hidden="1">
      <c r="A170" s="1401"/>
      <c r="B170" s="1403">
        <f t="shared" si="53"/>
        <v>13</v>
      </c>
      <c r="C170" s="1404" t="s">
        <v>1424</v>
      </c>
      <c r="D170" s="185" t="s">
        <v>186</v>
      </c>
      <c r="E170" s="185" t="s">
        <v>1387</v>
      </c>
      <c r="F170" s="185" t="s">
        <v>1910</v>
      </c>
      <c r="G170" s="185" t="s">
        <v>86</v>
      </c>
      <c r="H170" s="185" t="s">
        <v>86</v>
      </c>
      <c r="I170" s="185" t="s">
        <v>103</v>
      </c>
      <c r="J170" s="185" t="s">
        <v>253</v>
      </c>
      <c r="K170" s="185" t="s">
        <v>254</v>
      </c>
      <c r="L170" s="1390"/>
      <c r="M170" s="503"/>
      <c r="N170" s="503">
        <v>291888.0</v>
      </c>
      <c r="O170" s="503">
        <v>291888.0</v>
      </c>
      <c r="P170" s="503">
        <v>291888.0</v>
      </c>
      <c r="Q170" s="503">
        <v>291888.0</v>
      </c>
      <c r="R170" s="503">
        <v>291888.0</v>
      </c>
      <c r="S170" s="503">
        <v>291888.0</v>
      </c>
      <c r="T170" s="503">
        <v>291888.0</v>
      </c>
      <c r="U170" s="503">
        <v>291888.0</v>
      </c>
      <c r="V170" s="503">
        <v>291888.0</v>
      </c>
      <c r="W170" s="503">
        <v>291888.0</v>
      </c>
      <c r="X170" s="1405">
        <v>2918880.0</v>
      </c>
      <c r="Y170" s="1392">
        <f t="shared" si="3"/>
        <v>0</v>
      </c>
      <c r="Z170" s="1393">
        <v>0.0</v>
      </c>
      <c r="AA170" s="1393">
        <v>0.0</v>
      </c>
      <c r="AB170" s="1393">
        <v>0.0</v>
      </c>
      <c r="AC170" s="1393">
        <v>0.0</v>
      </c>
      <c r="AD170" s="1393">
        <v>0.0</v>
      </c>
      <c r="AE170" s="1393">
        <v>0.0</v>
      </c>
      <c r="AF170" s="1393">
        <v>0.0</v>
      </c>
      <c r="AG170" s="1393">
        <v>0.0</v>
      </c>
      <c r="AH170" s="1393">
        <v>0.0</v>
      </c>
      <c r="AI170" s="1393">
        <v>0.0</v>
      </c>
      <c r="AJ170" s="1393">
        <v>0.0</v>
      </c>
      <c r="AK170" s="1393">
        <v>0.0</v>
      </c>
      <c r="AL170" s="1393">
        <v>0.0</v>
      </c>
      <c r="AM170" s="1393">
        <v>0.0</v>
      </c>
      <c r="AN170" s="1393">
        <v>0.0</v>
      </c>
      <c r="AO170" s="1393">
        <v>0.0</v>
      </c>
      <c r="AP170" s="1393">
        <v>40436.632571539056</v>
      </c>
      <c r="AQ170" s="1393">
        <v>0.0</v>
      </c>
      <c r="AR170" s="1393">
        <v>0.0</v>
      </c>
      <c r="AS170" s="1393">
        <v>224383.996076634</v>
      </c>
      <c r="AT170" s="1393">
        <v>0.0</v>
      </c>
      <c r="AU170" s="1393">
        <v>0.0</v>
      </c>
      <c r="AV170" s="1393">
        <v>0.0</v>
      </c>
      <c r="AW170" s="1393">
        <v>13134.067124024928</v>
      </c>
      <c r="AX170" s="1393">
        <v>37579.552449820956</v>
      </c>
      <c r="AY170" s="1393">
        <v>0.0</v>
      </c>
      <c r="AZ170" s="1393">
        <v>0.0</v>
      </c>
      <c r="BA170" s="1393">
        <v>208666.5315862053</v>
      </c>
      <c r="BB170" s="1393">
        <v>0.0</v>
      </c>
      <c r="BC170" s="1393">
        <v>0.0</v>
      </c>
      <c r="BD170" s="1393">
        <v>0.0</v>
      </c>
      <c r="BE170" s="1393">
        <v>12206.069916765528</v>
      </c>
      <c r="BF170" s="1393">
        <v>37180.36463925813</v>
      </c>
      <c r="BG170" s="1393">
        <v>0.0</v>
      </c>
      <c r="BH170" s="1393">
        <v>0.0</v>
      </c>
      <c r="BI170" s="1393">
        <v>206469.5099949528</v>
      </c>
      <c r="BJ170" s="1393">
        <v>0.0</v>
      </c>
      <c r="BK170" s="1393">
        <v>0.0</v>
      </c>
      <c r="BL170" s="1393">
        <v>0.0</v>
      </c>
      <c r="BM170" s="1393">
        <v>12076.411259117684</v>
      </c>
      <c r="BN170" s="1393">
        <v>37737.281924832285</v>
      </c>
      <c r="BO170" s="1393">
        <v>0.0</v>
      </c>
      <c r="BP170" s="1393">
        <v>0.0</v>
      </c>
      <c r="BQ170" s="1393">
        <v>209519.05286924384</v>
      </c>
      <c r="BR170" s="1393">
        <v>0.0</v>
      </c>
      <c r="BS170" s="1393">
        <v>0.0</v>
      </c>
      <c r="BT170" s="1393">
        <v>0.0</v>
      </c>
      <c r="BU170" s="1393">
        <v>12257.30142098564</v>
      </c>
      <c r="BV170" s="1393">
        <v>39472.246049897774</v>
      </c>
      <c r="BW170" s="1393">
        <v>0.0</v>
      </c>
      <c r="BX170" s="1393">
        <v>0.0</v>
      </c>
      <c r="BY170" s="1393">
        <v>219054.52214575844</v>
      </c>
      <c r="BZ170" s="1393">
        <v>0.0</v>
      </c>
      <c r="CA170" s="1393">
        <v>0.0</v>
      </c>
      <c r="CB170" s="1393">
        <v>0.0</v>
      </c>
      <c r="CC170" s="1393">
        <v>12820.828446537806</v>
      </c>
      <c r="CD170" s="1393">
        <v>39716.827699138456</v>
      </c>
      <c r="CE170" s="1393">
        <v>0.0</v>
      </c>
      <c r="CF170" s="1393">
        <v>0.0</v>
      </c>
      <c r="CG170" s="1393">
        <v>220398.34202595233</v>
      </c>
      <c r="CH170" s="1393">
        <v>0.0</v>
      </c>
      <c r="CI170" s="1393">
        <v>0.0</v>
      </c>
      <c r="CJ170" s="1393">
        <v>0.0</v>
      </c>
      <c r="CK170" s="1393">
        <v>12900.270071474024</v>
      </c>
      <c r="CL170" s="1393">
        <v>38420.67250316166</v>
      </c>
      <c r="CM170" s="1393">
        <v>0.0</v>
      </c>
      <c r="CN170" s="1393">
        <v>0.0</v>
      </c>
      <c r="CO170" s="1393">
        <v>213260.87053021355</v>
      </c>
      <c r="CP170" s="1393">
        <v>0.0</v>
      </c>
      <c r="CQ170" s="1393">
        <v>0.0</v>
      </c>
      <c r="CR170" s="1393">
        <v>0.0</v>
      </c>
      <c r="CS170" s="1393">
        <v>12479.270886712657</v>
      </c>
      <c r="CT170" s="1393">
        <v>38335.26681073085</v>
      </c>
      <c r="CU170" s="1393">
        <v>0.0</v>
      </c>
      <c r="CV170" s="1393">
        <v>0.0</v>
      </c>
      <c r="CW170" s="1393">
        <v>212791.47033213187</v>
      </c>
      <c r="CX170" s="1393">
        <v>0.0</v>
      </c>
      <c r="CY170" s="1393">
        <v>0.0</v>
      </c>
      <c r="CZ170" s="1393">
        <v>0.0</v>
      </c>
      <c r="DA170" s="1393">
        <v>12451.530592187002</v>
      </c>
      <c r="DB170" s="1393">
        <v>37706.48669021861</v>
      </c>
      <c r="DC170" s="1393">
        <v>0.0</v>
      </c>
      <c r="DD170" s="1393">
        <v>0.0</v>
      </c>
      <c r="DE170" s="1393">
        <v>209334.7422557092</v>
      </c>
      <c r="DF170" s="1393">
        <v>0.0</v>
      </c>
      <c r="DG170" s="1393">
        <v>0.0</v>
      </c>
      <c r="DH170" s="1393">
        <v>0.0</v>
      </c>
      <c r="DI170" s="1393">
        <v>12247.298939255721</v>
      </c>
      <c r="DJ170" s="1393">
        <v>38296.50032206901</v>
      </c>
      <c r="DK170" s="1393">
        <v>0.0</v>
      </c>
      <c r="DL170" s="1393">
        <v>0.0</v>
      </c>
      <c r="DM170" s="1393">
        <v>212577.5298004176</v>
      </c>
      <c r="DN170" s="1393">
        <v>0.0</v>
      </c>
      <c r="DO170" s="1393">
        <v>0.0</v>
      </c>
      <c r="DP170" s="1393">
        <v>0.0</v>
      </c>
      <c r="DQ170" s="1393">
        <v>12438.938998083648</v>
      </c>
      <c r="DR170" s="1379">
        <f t="shared" si="52"/>
        <v>2646350.387</v>
      </c>
    </row>
    <row r="171" hidden="1">
      <c r="A171" s="1401"/>
      <c r="B171" s="1403">
        <f t="shared" si="53"/>
        <v>14</v>
      </c>
      <c r="C171" s="1404" t="s">
        <v>1427</v>
      </c>
      <c r="D171" s="185" t="s">
        <v>186</v>
      </c>
      <c r="E171" s="185" t="s">
        <v>1387</v>
      </c>
      <c r="F171" s="185" t="s">
        <v>1910</v>
      </c>
      <c r="G171" s="185" t="s">
        <v>86</v>
      </c>
      <c r="H171" s="185" t="s">
        <v>86</v>
      </c>
      <c r="I171" s="185" t="s">
        <v>103</v>
      </c>
      <c r="J171" s="185" t="s">
        <v>253</v>
      </c>
      <c r="K171" s="185" t="s">
        <v>254</v>
      </c>
      <c r="L171" s="1390"/>
      <c r="M171" s="503">
        <v>217560.0</v>
      </c>
      <c r="N171" s="503">
        <v>217560.0</v>
      </c>
      <c r="O171" s="503">
        <v>217560.0</v>
      </c>
      <c r="P171" s="503">
        <v>217560.0</v>
      </c>
      <c r="Q171" s="503">
        <v>217560.0</v>
      </c>
      <c r="R171" s="503">
        <v>217560.0</v>
      </c>
      <c r="S171" s="503">
        <v>217560.0</v>
      </c>
      <c r="T171" s="503">
        <v>217560.0</v>
      </c>
      <c r="U171" s="503">
        <v>217560.0</v>
      </c>
      <c r="V171" s="503">
        <v>217560.0</v>
      </c>
      <c r="W171" s="503">
        <v>217560.0</v>
      </c>
      <c r="X171" s="1405">
        <v>2393160.0</v>
      </c>
      <c r="Y171" s="1392">
        <f t="shared" si="3"/>
        <v>0</v>
      </c>
      <c r="Z171" s="1393">
        <v>0.0</v>
      </c>
      <c r="AA171" s="1393">
        <v>0.0</v>
      </c>
      <c r="AB171" s="1393">
        <v>0.0</v>
      </c>
      <c r="AC171" s="1393">
        <v>0.0</v>
      </c>
      <c r="AD171" s="1393">
        <v>0.0</v>
      </c>
      <c r="AE171" s="1393">
        <v>0.0</v>
      </c>
      <c r="AF171" s="1393">
        <v>0.0</v>
      </c>
      <c r="AG171" s="1393">
        <v>0.0</v>
      </c>
      <c r="AH171" s="1393">
        <v>27427.576894403595</v>
      </c>
      <c r="AI171" s="1393">
        <v>0.0</v>
      </c>
      <c r="AJ171" s="1393">
        <v>0.0</v>
      </c>
      <c r="AK171" s="1393">
        <v>152439.57896431242</v>
      </c>
      <c r="AL171" s="1393">
        <v>0.0</v>
      </c>
      <c r="AM171" s="1393">
        <v>0.0</v>
      </c>
      <c r="AN171" s="1393">
        <v>0.0</v>
      </c>
      <c r="AO171" s="1393">
        <v>8908.64577665155</v>
      </c>
      <c r="AP171" s="1393">
        <v>30139.62130085525</v>
      </c>
      <c r="AQ171" s="1393">
        <v>0.0</v>
      </c>
      <c r="AR171" s="1393">
        <v>0.0</v>
      </c>
      <c r="AS171" s="1393">
        <v>167245.5948392277</v>
      </c>
      <c r="AT171" s="1393">
        <v>0.0</v>
      </c>
      <c r="AU171" s="1393">
        <v>0.0</v>
      </c>
      <c r="AV171" s="1393">
        <v>0.0</v>
      </c>
      <c r="AW171" s="1393">
        <v>9789.534490978947</v>
      </c>
      <c r="AX171" s="1393">
        <v>28010.084110970813</v>
      </c>
      <c r="AY171" s="1393">
        <v>0.0</v>
      </c>
      <c r="AZ171" s="1393">
        <v>0.0</v>
      </c>
      <c r="BA171" s="1393">
        <v>155530.5137994533</v>
      </c>
      <c r="BB171" s="1393">
        <v>0.0</v>
      </c>
      <c r="BC171" s="1393">
        <v>0.0</v>
      </c>
      <c r="BD171" s="1393">
        <v>0.0</v>
      </c>
      <c r="BE171" s="1393">
        <v>9097.847705597722</v>
      </c>
      <c r="BF171" s="1393">
        <v>27712.547726926074</v>
      </c>
      <c r="BG171" s="1393">
        <v>0.0</v>
      </c>
      <c r="BH171" s="1393">
        <v>0.0</v>
      </c>
      <c r="BI171" s="1393">
        <v>153892.95412795982</v>
      </c>
      <c r="BJ171" s="1393">
        <v>0.0</v>
      </c>
      <c r="BK171" s="1393">
        <v>0.0</v>
      </c>
      <c r="BL171" s="1393">
        <v>0.0</v>
      </c>
      <c r="BM171" s="1393">
        <v>9001.206056890462</v>
      </c>
      <c r="BN171" s="1393">
        <v>28127.64846642038</v>
      </c>
      <c r="BO171" s="1393">
        <v>0.0</v>
      </c>
      <c r="BP171" s="1393">
        <v>0.0</v>
      </c>
      <c r="BQ171" s="1393">
        <v>156165.94427394305</v>
      </c>
      <c r="BR171" s="1393">
        <v>0.0</v>
      </c>
      <c r="BS171" s="1393">
        <v>0.0</v>
      </c>
      <c r="BT171" s="1393">
        <v>0.0</v>
      </c>
      <c r="BU171" s="1393">
        <v>9136.033331790397</v>
      </c>
      <c r="BV171" s="1393">
        <v>29420.811580523212</v>
      </c>
      <c r="BW171" s="1393">
        <v>0.0</v>
      </c>
      <c r="BX171" s="1393">
        <v>0.0</v>
      </c>
      <c r="BY171" s="1393">
        <v>163273.24808841475</v>
      </c>
      <c r="BZ171" s="1393">
        <v>0.0</v>
      </c>
      <c r="CA171" s="1393">
        <v>0.0</v>
      </c>
      <c r="CB171" s="1393">
        <v>0.0</v>
      </c>
      <c r="CC171" s="1393">
        <v>9556.060669944516</v>
      </c>
      <c r="CD171" s="1393">
        <v>29603.111584664537</v>
      </c>
      <c r="CE171" s="1393">
        <v>0.0</v>
      </c>
      <c r="CF171" s="1393">
        <v>0.0</v>
      </c>
      <c r="CG171" s="1393">
        <v>164274.87012541178</v>
      </c>
      <c r="CH171" s="1393">
        <v>0.0</v>
      </c>
      <c r="CI171" s="1393">
        <v>0.0</v>
      </c>
      <c r="CJ171" s="1393">
        <v>0.0</v>
      </c>
      <c r="CK171" s="1393">
        <v>9615.272833243876</v>
      </c>
      <c r="CL171" s="1393">
        <v>28637.016628939356</v>
      </c>
      <c r="CM171" s="1393">
        <v>0.0</v>
      </c>
      <c r="CN171" s="1393">
        <v>0.0</v>
      </c>
      <c r="CO171" s="1393">
        <v>158954.9244660735</v>
      </c>
      <c r="CP171" s="1393">
        <v>0.0</v>
      </c>
      <c r="CQ171" s="1393">
        <v>0.0</v>
      </c>
      <c r="CR171" s="1393">
        <v>0.0</v>
      </c>
      <c r="CS171" s="1393">
        <v>9301.479245851851</v>
      </c>
      <c r="CT171" s="1393">
        <v>28573.359121795358</v>
      </c>
      <c r="CU171" s="1393">
        <v>0.0</v>
      </c>
      <c r="CV171" s="1393">
        <v>0.0</v>
      </c>
      <c r="CW171" s="1393">
        <v>158605.0549712856</v>
      </c>
      <c r="CX171" s="1393">
        <v>0.0</v>
      </c>
      <c r="CY171" s="1393">
        <v>0.0</v>
      </c>
      <c r="CZ171" s="1393">
        <v>0.0</v>
      </c>
      <c r="DA171" s="1393">
        <v>9280.802895755236</v>
      </c>
      <c r="DB171" s="1393">
        <v>28104.695103340877</v>
      </c>
      <c r="DC171" s="1393">
        <v>0.0</v>
      </c>
      <c r="DD171" s="1393">
        <v>0.0</v>
      </c>
      <c r="DE171" s="1393">
        <v>156028.5675504032</v>
      </c>
      <c r="DF171" s="1393">
        <v>0.0</v>
      </c>
      <c r="DG171" s="1393">
        <v>0.0</v>
      </c>
      <c r="DH171" s="1393">
        <v>0.0</v>
      </c>
      <c r="DI171" s="1393">
        <v>9128.5779381971</v>
      </c>
      <c r="DJ171" s="1393">
        <v>28544.464349577014</v>
      </c>
      <c r="DK171" s="1393">
        <v>0.0</v>
      </c>
      <c r="DL171" s="1393">
        <v>0.0</v>
      </c>
      <c r="DM171" s="1393">
        <v>158445.59345837738</v>
      </c>
      <c r="DN171" s="1393">
        <v>0.0</v>
      </c>
      <c r="DO171" s="1393">
        <v>0.0</v>
      </c>
      <c r="DP171" s="1393">
        <v>0.0</v>
      </c>
      <c r="DQ171" s="1393">
        <v>9271.417695907603</v>
      </c>
      <c r="DR171" s="1379">
        <f t="shared" si="52"/>
        <v>2161244.66</v>
      </c>
    </row>
    <row r="172" hidden="1">
      <c r="A172" s="1401"/>
      <c r="B172" s="1403">
        <f t="shared" si="53"/>
        <v>15</v>
      </c>
      <c r="C172" s="1404" t="s">
        <v>1430</v>
      </c>
      <c r="D172" s="185" t="s">
        <v>186</v>
      </c>
      <c r="E172" s="185" t="s">
        <v>1387</v>
      </c>
      <c r="F172" s="185" t="s">
        <v>1910</v>
      </c>
      <c r="G172" s="185" t="s">
        <v>86</v>
      </c>
      <c r="H172" s="185" t="s">
        <v>86</v>
      </c>
      <c r="I172" s="185" t="s">
        <v>103</v>
      </c>
      <c r="J172" s="185" t="s">
        <v>253</v>
      </c>
      <c r="K172" s="185" t="s">
        <v>254</v>
      </c>
      <c r="L172" s="1390"/>
      <c r="M172" s="503"/>
      <c r="N172" s="503">
        <v>1001790.0</v>
      </c>
      <c r="O172" s="503">
        <v>1001790.0</v>
      </c>
      <c r="P172" s="503">
        <v>1001790.0</v>
      </c>
      <c r="Q172" s="503">
        <v>1001790.0</v>
      </c>
      <c r="R172" s="503">
        <v>1001790.0</v>
      </c>
      <c r="S172" s="503">
        <v>1001790.0</v>
      </c>
      <c r="T172" s="503">
        <v>1001790.0</v>
      </c>
      <c r="U172" s="503">
        <v>1001790.0</v>
      </c>
      <c r="V172" s="503">
        <v>1001790.0</v>
      </c>
      <c r="W172" s="503">
        <v>1001790.0</v>
      </c>
      <c r="X172" s="1405">
        <v>1.00179E7</v>
      </c>
      <c r="Y172" s="1392">
        <f t="shared" si="3"/>
        <v>0</v>
      </c>
      <c r="Z172" s="1393">
        <v>0.0</v>
      </c>
      <c r="AA172" s="1393">
        <v>0.0</v>
      </c>
      <c r="AB172" s="1393">
        <v>0.0</v>
      </c>
      <c r="AC172" s="1393">
        <v>0.0</v>
      </c>
      <c r="AD172" s="1393">
        <v>0.0</v>
      </c>
      <c r="AE172" s="1393">
        <v>0.0</v>
      </c>
      <c r="AF172" s="1393">
        <v>0.0</v>
      </c>
      <c r="AG172" s="1393">
        <v>0.0</v>
      </c>
      <c r="AH172" s="1393">
        <v>0.0</v>
      </c>
      <c r="AI172" s="1393">
        <v>0.0</v>
      </c>
      <c r="AJ172" s="1393">
        <v>0.0</v>
      </c>
      <c r="AK172" s="1393">
        <v>0.0</v>
      </c>
      <c r="AL172" s="1393">
        <v>0.0</v>
      </c>
      <c r="AM172" s="1393">
        <v>0.0</v>
      </c>
      <c r="AN172" s="1393">
        <v>0.0</v>
      </c>
      <c r="AO172" s="1393">
        <v>0.0</v>
      </c>
      <c r="AP172" s="1393">
        <v>138782.7322255184</v>
      </c>
      <c r="AQ172" s="1393">
        <v>0.0</v>
      </c>
      <c r="AR172" s="1393">
        <v>0.0</v>
      </c>
      <c r="AS172" s="1393">
        <v>770109.2317245353</v>
      </c>
      <c r="AT172" s="1393">
        <v>0.0</v>
      </c>
      <c r="AU172" s="1393">
        <v>0.0</v>
      </c>
      <c r="AV172" s="1393">
        <v>0.0</v>
      </c>
      <c r="AW172" s="1393">
        <v>45077.48555670988</v>
      </c>
      <c r="AX172" s="1393">
        <v>128976.93584082297</v>
      </c>
      <c r="AY172" s="1393">
        <v>0.0</v>
      </c>
      <c r="AZ172" s="1393">
        <v>0.0</v>
      </c>
      <c r="BA172" s="1393">
        <v>716165.2574882988</v>
      </c>
      <c r="BB172" s="1393">
        <v>0.0</v>
      </c>
      <c r="BC172" s="1393">
        <v>0.0</v>
      </c>
      <c r="BD172" s="1393">
        <v>0.0</v>
      </c>
      <c r="BE172" s="1393">
        <v>41892.50254178499</v>
      </c>
      <c r="BF172" s="1393">
        <v>127606.88172162748</v>
      </c>
      <c r="BG172" s="1393">
        <v>0.0</v>
      </c>
      <c r="BH172" s="1393">
        <v>0.0</v>
      </c>
      <c r="BI172" s="1393">
        <v>708624.8506887703</v>
      </c>
      <c r="BJ172" s="1393">
        <v>0.0</v>
      </c>
      <c r="BK172" s="1393">
        <v>0.0</v>
      </c>
      <c r="BL172" s="1393">
        <v>0.0</v>
      </c>
      <c r="BM172" s="1393">
        <v>41447.50053195576</v>
      </c>
      <c r="BN172" s="1393">
        <v>129518.27981786759</v>
      </c>
      <c r="BO172" s="1393">
        <v>0.0</v>
      </c>
      <c r="BP172" s="1393">
        <v>0.0</v>
      </c>
      <c r="BQ172" s="1393">
        <v>719091.1992746525</v>
      </c>
      <c r="BR172" s="1393">
        <v>0.0</v>
      </c>
      <c r="BS172" s="1393">
        <v>0.0</v>
      </c>
      <c r="BT172" s="1393">
        <v>0.0</v>
      </c>
      <c r="BU172" s="1393">
        <v>42068.33439719757</v>
      </c>
      <c r="BV172" s="1393">
        <v>135472.85729569936</v>
      </c>
      <c r="BW172" s="1393">
        <v>0.0</v>
      </c>
      <c r="BX172" s="1393">
        <v>0.0</v>
      </c>
      <c r="BY172" s="1393">
        <v>751817.922423667</v>
      </c>
      <c r="BZ172" s="1393">
        <v>0.0</v>
      </c>
      <c r="CA172" s="1393">
        <v>0.0</v>
      </c>
      <c r="CB172" s="1393">
        <v>0.0</v>
      </c>
      <c r="CC172" s="1393">
        <v>44002.41780908125</v>
      </c>
      <c r="CD172" s="1393">
        <v>136312.28697555198</v>
      </c>
      <c r="CE172" s="1393">
        <v>0.0</v>
      </c>
      <c r="CF172" s="1393">
        <v>0.0</v>
      </c>
      <c r="CG172" s="1393">
        <v>756430.0521370484</v>
      </c>
      <c r="CH172" s="1393">
        <v>0.0</v>
      </c>
      <c r="CI172" s="1393">
        <v>0.0</v>
      </c>
      <c r="CJ172" s="1393">
        <v>0.0</v>
      </c>
      <c r="CK172" s="1393">
        <v>44275.06973531615</v>
      </c>
      <c r="CL172" s="1393">
        <v>131863.74742004575</v>
      </c>
      <c r="CM172" s="1393">
        <v>0.0</v>
      </c>
      <c r="CN172" s="1393">
        <v>0.0</v>
      </c>
      <c r="CO172" s="1393">
        <v>731933.5069905671</v>
      </c>
      <c r="CP172" s="1393">
        <v>0.0</v>
      </c>
      <c r="CQ172" s="1393">
        <v>0.0</v>
      </c>
      <c r="CR172" s="1393">
        <v>0.0</v>
      </c>
      <c r="CS172" s="1393">
        <v>42830.15670942235</v>
      </c>
      <c r="CT172" s="1393">
        <v>131570.62619334148</v>
      </c>
      <c r="CU172" s="1393">
        <v>0.0</v>
      </c>
      <c r="CV172" s="1393">
        <v>0.0</v>
      </c>
      <c r="CW172" s="1393">
        <v>730322.476648668</v>
      </c>
      <c r="CX172" s="1393">
        <v>0.0</v>
      </c>
      <c r="CY172" s="1393">
        <v>0.0</v>
      </c>
      <c r="CZ172" s="1393">
        <v>0.0</v>
      </c>
      <c r="DA172" s="1393">
        <v>42734.94913099208</v>
      </c>
      <c r="DB172" s="1393">
        <v>129412.58736705211</v>
      </c>
      <c r="DC172" s="1393">
        <v>0.0</v>
      </c>
      <c r="DD172" s="1393">
        <v>0.0</v>
      </c>
      <c r="DE172" s="1393">
        <v>718458.6260632398</v>
      </c>
      <c r="DF172" s="1393">
        <v>0.0</v>
      </c>
      <c r="DG172" s="1393">
        <v>0.0</v>
      </c>
      <c r="DH172" s="1393">
        <v>0.0</v>
      </c>
      <c r="DI172" s="1393">
        <v>42034.00483869495</v>
      </c>
      <c r="DJ172" s="1393">
        <v>131437.57556886724</v>
      </c>
      <c r="DK172" s="1393">
        <v>0.0</v>
      </c>
      <c r="DL172" s="1393">
        <v>0.0</v>
      </c>
      <c r="DM172" s="1393">
        <v>729588.2104737445</v>
      </c>
      <c r="DN172" s="1393">
        <v>0.0</v>
      </c>
      <c r="DO172" s="1393">
        <v>0.0</v>
      </c>
      <c r="DP172" s="1393">
        <v>0.0</v>
      </c>
      <c r="DQ172" s="1393">
        <v>42691.73346931089</v>
      </c>
      <c r="DR172" s="1379">
        <f t="shared" si="52"/>
        <v>9082549.999</v>
      </c>
    </row>
    <row r="173" hidden="1">
      <c r="A173" s="1401"/>
      <c r="B173" s="1403">
        <f t="shared" si="53"/>
        <v>16</v>
      </c>
      <c r="C173" s="1404" t="s">
        <v>1433</v>
      </c>
      <c r="D173" s="185" t="s">
        <v>186</v>
      </c>
      <c r="E173" s="185" t="s">
        <v>1387</v>
      </c>
      <c r="F173" s="185" t="s">
        <v>1910</v>
      </c>
      <c r="G173" s="185" t="s">
        <v>86</v>
      </c>
      <c r="H173" s="185" t="s">
        <v>86</v>
      </c>
      <c r="I173" s="185" t="s">
        <v>103</v>
      </c>
      <c r="J173" s="185" t="s">
        <v>253</v>
      </c>
      <c r="K173" s="185" t="s">
        <v>254</v>
      </c>
      <c r="L173" s="1390"/>
      <c r="M173" s="503"/>
      <c r="N173" s="503"/>
      <c r="O173" s="503"/>
      <c r="P173" s="503"/>
      <c r="Q173" s="503">
        <v>4.164054E7</v>
      </c>
      <c r="R173" s="503">
        <v>4.164054E7</v>
      </c>
      <c r="S173" s="503">
        <v>4.164054E7</v>
      </c>
      <c r="T173" s="503">
        <v>4.164054E7</v>
      </c>
      <c r="U173" s="503">
        <v>4.164054E7</v>
      </c>
      <c r="V173" s="503">
        <v>4.164054E7</v>
      </c>
      <c r="W173" s="503">
        <v>4.164054E7</v>
      </c>
      <c r="X173" s="1405">
        <v>2.9148378E8</v>
      </c>
      <c r="Y173" s="1392">
        <f t="shared" si="3"/>
        <v>0</v>
      </c>
      <c r="Z173" s="1393">
        <v>0.0</v>
      </c>
      <c r="AA173" s="1393">
        <v>0.0</v>
      </c>
      <c r="AB173" s="1393">
        <v>0.0</v>
      </c>
      <c r="AC173" s="1393">
        <v>0.0</v>
      </c>
      <c r="AD173" s="1393">
        <v>0.0</v>
      </c>
      <c r="AE173" s="1393">
        <v>0.0</v>
      </c>
      <c r="AF173" s="1393">
        <v>0.0</v>
      </c>
      <c r="AG173" s="1393">
        <v>0.0</v>
      </c>
      <c r="AH173" s="1393">
        <v>0.0</v>
      </c>
      <c r="AI173" s="1393">
        <v>0.0</v>
      </c>
      <c r="AJ173" s="1393">
        <v>0.0</v>
      </c>
      <c r="AK173" s="1393">
        <v>0.0</v>
      </c>
      <c r="AL173" s="1393">
        <v>0.0</v>
      </c>
      <c r="AM173" s="1393">
        <v>0.0</v>
      </c>
      <c r="AN173" s="1393">
        <v>0.0</v>
      </c>
      <c r="AO173" s="1393">
        <v>0.0</v>
      </c>
      <c r="AP173" s="1393">
        <v>0.0</v>
      </c>
      <c r="AQ173" s="1393">
        <v>0.0</v>
      </c>
      <c r="AR173" s="1393">
        <v>0.0</v>
      </c>
      <c r="AS173" s="1393">
        <v>0.0</v>
      </c>
      <c r="AT173" s="1393">
        <v>0.0</v>
      </c>
      <c r="AU173" s="1393">
        <v>0.0</v>
      </c>
      <c r="AV173" s="1393">
        <v>0.0</v>
      </c>
      <c r="AW173" s="1393">
        <v>0.0</v>
      </c>
      <c r="AX173" s="1393">
        <v>0.0</v>
      </c>
      <c r="AY173" s="1393">
        <v>0.0</v>
      </c>
      <c r="AZ173" s="1393">
        <v>0.0</v>
      </c>
      <c r="BA173" s="1393">
        <v>0.0</v>
      </c>
      <c r="BB173" s="1393">
        <v>0.0</v>
      </c>
      <c r="BC173" s="1393">
        <v>0.0</v>
      </c>
      <c r="BD173" s="1393">
        <v>0.0</v>
      </c>
      <c r="BE173" s="1393">
        <v>0.0</v>
      </c>
      <c r="BF173" s="1393">
        <v>0.0</v>
      </c>
      <c r="BG173" s="1393">
        <v>0.0</v>
      </c>
      <c r="BH173" s="1393">
        <v>0.0</v>
      </c>
      <c r="BI173" s="1393">
        <v>0.0</v>
      </c>
      <c r="BJ173" s="1393">
        <v>0.0</v>
      </c>
      <c r="BK173" s="1393">
        <v>0.0</v>
      </c>
      <c r="BL173" s="1393">
        <v>0.0</v>
      </c>
      <c r="BM173" s="1393">
        <v>0.0</v>
      </c>
      <c r="BN173" s="1393">
        <v>5383574.513108644</v>
      </c>
      <c r="BO173" s="1393">
        <v>0.0</v>
      </c>
      <c r="BP173" s="1393">
        <v>0.0</v>
      </c>
      <c r="BQ173" s="1393">
        <v>2.9889843028023977E7</v>
      </c>
      <c r="BR173" s="1393">
        <v>0.0</v>
      </c>
      <c r="BS173" s="1393">
        <v>0.0</v>
      </c>
      <c r="BT173" s="1393">
        <v>0.0</v>
      </c>
      <c r="BU173" s="1393">
        <v>1748618.134738699</v>
      </c>
      <c r="BV173" s="1393">
        <v>5631083.29403953</v>
      </c>
      <c r="BW173" s="1393">
        <v>0.0</v>
      </c>
      <c r="BX173" s="1393">
        <v>0.0</v>
      </c>
      <c r="BY173" s="1393">
        <v>3.12501664734122E7</v>
      </c>
      <c r="BZ173" s="1393">
        <v>0.0</v>
      </c>
      <c r="CA173" s="1393">
        <v>0.0</v>
      </c>
      <c r="CB173" s="1393">
        <v>0.0</v>
      </c>
      <c r="CC173" s="1393">
        <v>1829010.510062748</v>
      </c>
      <c r="CD173" s="1393">
        <v>5665975.142791355</v>
      </c>
      <c r="CE173" s="1393">
        <v>0.0</v>
      </c>
      <c r="CF173" s="1393">
        <v>0.0</v>
      </c>
      <c r="CG173" s="1393">
        <v>3.144187488716682E7</v>
      </c>
      <c r="CH173" s="1393">
        <v>0.0</v>
      </c>
      <c r="CI173" s="1393">
        <v>0.0</v>
      </c>
      <c r="CJ173" s="1393">
        <v>0.0</v>
      </c>
      <c r="CK173" s="1393">
        <v>1840343.5972770958</v>
      </c>
      <c r="CL173" s="1393">
        <v>5481066.5398879135</v>
      </c>
      <c r="CM173" s="1393">
        <v>0.0</v>
      </c>
      <c r="CN173" s="1393">
        <v>0.0</v>
      </c>
      <c r="CO173" s="1393">
        <v>3.0423648145001434E7</v>
      </c>
      <c r="CP173" s="1393">
        <v>0.0</v>
      </c>
      <c r="CQ173" s="1393">
        <v>0.0</v>
      </c>
      <c r="CR173" s="1393">
        <v>0.0</v>
      </c>
      <c r="CS173" s="1393">
        <v>1780284.1450453384</v>
      </c>
      <c r="CT173" s="1393">
        <v>5468882.622933831</v>
      </c>
      <c r="CU173" s="1393">
        <v>0.0</v>
      </c>
      <c r="CV173" s="1393">
        <v>0.0</v>
      </c>
      <c r="CW173" s="1393">
        <v>3.035668383771841E7</v>
      </c>
      <c r="CX173" s="1393">
        <v>0.0</v>
      </c>
      <c r="CY173" s="1393">
        <v>0.0</v>
      </c>
      <c r="CZ173" s="1393">
        <v>0.0</v>
      </c>
      <c r="DA173" s="1393">
        <v>1776326.733833479</v>
      </c>
      <c r="DB173" s="1393">
        <v>5379181.286258824</v>
      </c>
      <c r="DC173" s="1393">
        <v>0.0</v>
      </c>
      <c r="DD173" s="1393">
        <v>0.0</v>
      </c>
      <c r="DE173" s="1393">
        <v>2.9863549403499115E7</v>
      </c>
      <c r="DF173" s="1393">
        <v>0.0</v>
      </c>
      <c r="DG173" s="1393">
        <v>0.0</v>
      </c>
      <c r="DH173" s="1393">
        <v>0.0</v>
      </c>
      <c r="DI173" s="1393">
        <v>1747191.1876200307</v>
      </c>
      <c r="DJ173" s="1393">
        <v>5463352.222500164</v>
      </c>
      <c r="DK173" s="1393">
        <v>0.0</v>
      </c>
      <c r="DL173" s="1393">
        <v>0.0</v>
      </c>
      <c r="DM173" s="1393">
        <v>3.032616322957943E7</v>
      </c>
      <c r="DN173" s="1393">
        <v>0.0</v>
      </c>
      <c r="DO173" s="1393">
        <v>0.0</v>
      </c>
      <c r="DP173" s="1393">
        <v>0.0</v>
      </c>
      <c r="DQ173" s="1393">
        <v>1774530.4257361114</v>
      </c>
      <c r="DR173" s="1379">
        <f t="shared" si="52"/>
        <v>264521349.4</v>
      </c>
    </row>
    <row r="174" hidden="1">
      <c r="A174" s="1401"/>
      <c r="B174" s="1403">
        <f t="shared" si="53"/>
        <v>17</v>
      </c>
      <c r="C174" s="1404" t="s">
        <v>1436</v>
      </c>
      <c r="D174" s="185" t="s">
        <v>186</v>
      </c>
      <c r="E174" s="185" t="s">
        <v>1387</v>
      </c>
      <c r="F174" s="185" t="s">
        <v>1910</v>
      </c>
      <c r="G174" s="185" t="s">
        <v>86</v>
      </c>
      <c r="H174" s="185" t="s">
        <v>86</v>
      </c>
      <c r="I174" s="185" t="s">
        <v>103</v>
      </c>
      <c r="J174" s="185" t="s">
        <v>253</v>
      </c>
      <c r="K174" s="185" t="s">
        <v>254</v>
      </c>
      <c r="L174" s="1390"/>
      <c r="M174" s="503"/>
      <c r="N174" s="503">
        <v>1.2599832E7</v>
      </c>
      <c r="O174" s="503">
        <v>1.2599832E7</v>
      </c>
      <c r="P174" s="503">
        <v>1.2599832E7</v>
      </c>
      <c r="Q174" s="503">
        <v>1.2599832E7</v>
      </c>
      <c r="R174" s="503">
        <v>1.2599832E7</v>
      </c>
      <c r="S174" s="503">
        <v>1.2599832E7</v>
      </c>
      <c r="T174" s="503">
        <v>1.2599832E7</v>
      </c>
      <c r="U174" s="503">
        <v>1.2599832E7</v>
      </c>
      <c r="V174" s="503">
        <v>1.2599832E7</v>
      </c>
      <c r="W174" s="503">
        <v>1.2599832E7</v>
      </c>
      <c r="X174" s="1405">
        <v>1.2599832E8</v>
      </c>
      <c r="Y174" s="1392">
        <f t="shared" si="3"/>
        <v>0</v>
      </c>
      <c r="Z174" s="1393">
        <v>0.0</v>
      </c>
      <c r="AA174" s="1393">
        <v>0.0</v>
      </c>
      <c r="AB174" s="1393">
        <v>0.0</v>
      </c>
      <c r="AC174" s="1393">
        <v>0.0</v>
      </c>
      <c r="AD174" s="1393">
        <v>0.0</v>
      </c>
      <c r="AE174" s="1393">
        <v>0.0</v>
      </c>
      <c r="AF174" s="1393">
        <v>0.0</v>
      </c>
      <c r="AG174" s="1393">
        <v>0.0</v>
      </c>
      <c r="AH174" s="1393">
        <v>0.0</v>
      </c>
      <c r="AI174" s="1393">
        <v>0.0</v>
      </c>
      <c r="AJ174" s="1393">
        <v>0.0</v>
      </c>
      <c r="AK174" s="1393">
        <v>0.0</v>
      </c>
      <c r="AL174" s="1393">
        <v>0.0</v>
      </c>
      <c r="AM174" s="1393">
        <v>0.0</v>
      </c>
      <c r="AN174" s="1393">
        <v>0.0</v>
      </c>
      <c r="AO174" s="1393">
        <v>0.0</v>
      </c>
      <c r="AP174" s="1393">
        <v>1745514.639338103</v>
      </c>
      <c r="AQ174" s="1393">
        <v>0.0</v>
      </c>
      <c r="AR174" s="1393">
        <v>0.0</v>
      </c>
      <c r="AS174" s="1393">
        <v>9685909.163974702</v>
      </c>
      <c r="AT174" s="1393">
        <v>0.0</v>
      </c>
      <c r="AU174" s="1393">
        <v>0.0</v>
      </c>
      <c r="AV174" s="1393">
        <v>0.0</v>
      </c>
      <c r="AW174" s="1393">
        <v>566953.8975204093</v>
      </c>
      <c r="AX174" s="1393">
        <v>1622184.0140839382</v>
      </c>
      <c r="AY174" s="1393">
        <v>0.0</v>
      </c>
      <c r="AZ174" s="1393">
        <v>0.0</v>
      </c>
      <c r="BA174" s="1393">
        <v>9007438.613471195</v>
      </c>
      <c r="BB174" s="1393">
        <v>0.0</v>
      </c>
      <c r="BC174" s="1393">
        <v>0.0</v>
      </c>
      <c r="BD174" s="1393">
        <v>0.0</v>
      </c>
      <c r="BE174" s="1393">
        <v>526895.3514070453</v>
      </c>
      <c r="BF174" s="1393">
        <v>1604952.4069279758</v>
      </c>
      <c r="BG174" s="1393">
        <v>0.0</v>
      </c>
      <c r="BH174" s="1393">
        <v>0.0</v>
      </c>
      <c r="BI174" s="1393">
        <v>8912600.514782129</v>
      </c>
      <c r="BJ174" s="1393">
        <v>0.0</v>
      </c>
      <c r="BK174" s="1393">
        <v>0.0</v>
      </c>
      <c r="BL174" s="1393">
        <v>0.0</v>
      </c>
      <c r="BM174" s="1393">
        <v>521298.41935191327</v>
      </c>
      <c r="BN174" s="1393">
        <v>1628992.6697552605</v>
      </c>
      <c r="BO174" s="1393">
        <v>0.0</v>
      </c>
      <c r="BP174" s="1393">
        <v>0.0</v>
      </c>
      <c r="BQ174" s="1393">
        <v>9044239.115522359</v>
      </c>
      <c r="BR174" s="1393">
        <v>0.0</v>
      </c>
      <c r="BS174" s="1393">
        <v>0.0</v>
      </c>
      <c r="BT174" s="1393">
        <v>0.0</v>
      </c>
      <c r="BU174" s="1393">
        <v>529106.8446725467</v>
      </c>
      <c r="BV174" s="1393">
        <v>1703885.2878205874</v>
      </c>
      <c r="BW174" s="1393">
        <v>0.0</v>
      </c>
      <c r="BX174" s="1393">
        <v>0.0</v>
      </c>
      <c r="BY174" s="1393">
        <v>9455853.539291907</v>
      </c>
      <c r="BZ174" s="1393">
        <v>0.0</v>
      </c>
      <c r="CA174" s="1393">
        <v>0.0</v>
      </c>
      <c r="CB174" s="1393">
        <v>0.0</v>
      </c>
      <c r="CC174" s="1393">
        <v>553432.4279422152</v>
      </c>
      <c r="CD174" s="1393">
        <v>1714443.0623461434</v>
      </c>
      <c r="CE174" s="1393">
        <v>0.0</v>
      </c>
      <c r="CF174" s="1393">
        <v>0.0</v>
      </c>
      <c r="CG174" s="1393">
        <v>9513861.764120275</v>
      </c>
      <c r="CH174" s="1393">
        <v>0.0</v>
      </c>
      <c r="CI174" s="1393">
        <v>0.0</v>
      </c>
      <c r="CJ174" s="1393">
        <v>0.0</v>
      </c>
      <c r="CK174" s="1393">
        <v>556861.6580852953</v>
      </c>
      <c r="CL174" s="1393">
        <v>1658492.363053145</v>
      </c>
      <c r="CM174" s="1393">
        <v>0.0</v>
      </c>
      <c r="CN174" s="1393">
        <v>0.0</v>
      </c>
      <c r="CO174" s="1393">
        <v>9205760.911220886</v>
      </c>
      <c r="CP174" s="1393">
        <v>0.0</v>
      </c>
      <c r="CQ174" s="1393">
        <v>0.0</v>
      </c>
      <c r="CR174" s="1393">
        <v>0.0</v>
      </c>
      <c r="CS174" s="1393">
        <v>538688.526609763</v>
      </c>
      <c r="CT174" s="1393">
        <v>1654805.6839965482</v>
      </c>
      <c r="CU174" s="1393">
        <v>0.0</v>
      </c>
      <c r="CV174" s="1393">
        <v>0.0</v>
      </c>
      <c r="CW174" s="1393">
        <v>9185498.469337026</v>
      </c>
      <c r="CX174" s="1393">
        <v>0.0</v>
      </c>
      <c r="CY174" s="1393">
        <v>0.0</v>
      </c>
      <c r="CZ174" s="1393">
        <v>0.0</v>
      </c>
      <c r="DA174" s="1393">
        <v>537491.0705627389</v>
      </c>
      <c r="DB174" s="1393">
        <v>1627663.3421277702</v>
      </c>
      <c r="DC174" s="1393">
        <v>0.0</v>
      </c>
      <c r="DD174" s="1393">
        <v>0.0</v>
      </c>
      <c r="DE174" s="1393">
        <v>9036283.04070478</v>
      </c>
      <c r="DF174" s="1393">
        <v>0.0</v>
      </c>
      <c r="DG174" s="1393">
        <v>0.0</v>
      </c>
      <c r="DH174" s="1393">
        <v>0.0</v>
      </c>
      <c r="DI174" s="1393">
        <v>528675.070877872</v>
      </c>
      <c r="DJ174" s="1393">
        <v>1653132.2639026458</v>
      </c>
      <c r="DK174" s="1393">
        <v>0.0</v>
      </c>
      <c r="DL174" s="1393">
        <v>0.0</v>
      </c>
      <c r="DM174" s="1393">
        <v>9176263.369718026</v>
      </c>
      <c r="DN174" s="1393">
        <v>0.0</v>
      </c>
      <c r="DO174" s="1393">
        <v>0.0</v>
      </c>
      <c r="DP174" s="1393">
        <v>0.0</v>
      </c>
      <c r="DQ174" s="1393">
        <v>536947.5334172775</v>
      </c>
      <c r="DR174" s="1379">
        <f t="shared" si="52"/>
        <v>114234125</v>
      </c>
    </row>
    <row r="175" hidden="1">
      <c r="A175" s="1401"/>
      <c r="B175" s="1403">
        <f t="shared" si="53"/>
        <v>18</v>
      </c>
      <c r="C175" s="1404" t="s">
        <v>1439</v>
      </c>
      <c r="D175" s="185" t="s">
        <v>186</v>
      </c>
      <c r="E175" s="185" t="s">
        <v>1387</v>
      </c>
      <c r="F175" s="185" t="s">
        <v>1910</v>
      </c>
      <c r="G175" s="185" t="s">
        <v>86</v>
      </c>
      <c r="H175" s="185" t="s">
        <v>86</v>
      </c>
      <c r="I175" s="185" t="s">
        <v>103</v>
      </c>
      <c r="J175" s="185" t="s">
        <v>253</v>
      </c>
      <c r="K175" s="185" t="s">
        <v>254</v>
      </c>
      <c r="L175" s="1390"/>
      <c r="M175" s="503"/>
      <c r="N175" s="503">
        <v>7638606.0</v>
      </c>
      <c r="O175" s="503">
        <v>7638606.0</v>
      </c>
      <c r="P175" s="503">
        <v>7638606.0</v>
      </c>
      <c r="Q175" s="503">
        <v>7638606.0</v>
      </c>
      <c r="R175" s="503">
        <v>7638606.0</v>
      </c>
      <c r="S175" s="503">
        <v>7638606.0</v>
      </c>
      <c r="T175" s="503">
        <v>7638606.0</v>
      </c>
      <c r="U175" s="503">
        <v>7638606.0</v>
      </c>
      <c r="V175" s="503">
        <v>7638606.0</v>
      </c>
      <c r="W175" s="503">
        <v>7638606.0</v>
      </c>
      <c r="X175" s="1405">
        <v>7.638606E7</v>
      </c>
      <c r="Y175" s="1392">
        <f t="shared" si="3"/>
        <v>0</v>
      </c>
      <c r="Z175" s="1393">
        <v>0.0</v>
      </c>
      <c r="AA175" s="1393">
        <v>0.0</v>
      </c>
      <c r="AB175" s="1393">
        <v>0.0</v>
      </c>
      <c r="AC175" s="1393">
        <v>0.0</v>
      </c>
      <c r="AD175" s="1393">
        <v>0.0</v>
      </c>
      <c r="AE175" s="1393">
        <v>0.0</v>
      </c>
      <c r="AF175" s="1393">
        <v>0.0</v>
      </c>
      <c r="AG175" s="1393">
        <v>0.0</v>
      </c>
      <c r="AH175" s="1393">
        <v>0.0</v>
      </c>
      <c r="AI175" s="1393">
        <v>0.0</v>
      </c>
      <c r="AJ175" s="1393">
        <v>0.0</v>
      </c>
      <c r="AK175" s="1393">
        <v>0.0</v>
      </c>
      <c r="AL175" s="1393">
        <v>0.0</v>
      </c>
      <c r="AM175" s="1393">
        <v>0.0</v>
      </c>
      <c r="AN175" s="1393">
        <v>0.0</v>
      </c>
      <c r="AO175" s="1393">
        <v>0.0</v>
      </c>
      <c r="AP175" s="1393">
        <v>1058212.4108588009</v>
      </c>
      <c r="AQ175" s="1393">
        <v>0.0</v>
      </c>
      <c r="AR175" s="1393">
        <v>0.0</v>
      </c>
      <c r="AS175" s="1393">
        <v>5872050.028555312</v>
      </c>
      <c r="AT175" s="1393">
        <v>0.0</v>
      </c>
      <c r="AU175" s="1393">
        <v>0.0</v>
      </c>
      <c r="AV175" s="1393">
        <v>0.0</v>
      </c>
      <c r="AW175" s="1393">
        <v>343713.9037506837</v>
      </c>
      <c r="AX175" s="1393">
        <v>983443.6318742706</v>
      </c>
      <c r="AY175" s="1393">
        <v>0.0</v>
      </c>
      <c r="AZ175" s="1393">
        <v>0.0</v>
      </c>
      <c r="BA175" s="1393">
        <v>5460729.526988355</v>
      </c>
      <c r="BB175" s="1393">
        <v>0.0</v>
      </c>
      <c r="BC175" s="1393">
        <v>0.0</v>
      </c>
      <c r="BD175" s="1393">
        <v>0.0</v>
      </c>
      <c r="BE175" s="1393">
        <v>319428.5441766179</v>
      </c>
      <c r="BF175" s="1393">
        <v>972997.0276805657</v>
      </c>
      <c r="BG175" s="1393">
        <v>0.0</v>
      </c>
      <c r="BH175" s="1393">
        <v>0.0</v>
      </c>
      <c r="BI175" s="1393">
        <v>5403234.246918361</v>
      </c>
      <c r="BJ175" s="1393">
        <v>0.0</v>
      </c>
      <c r="BK175" s="1393">
        <v>0.0</v>
      </c>
      <c r="BL175" s="1393">
        <v>0.0</v>
      </c>
      <c r="BM175" s="1393">
        <v>316035.42284151417</v>
      </c>
      <c r="BN175" s="1393">
        <v>987571.3565981316</v>
      </c>
      <c r="BO175" s="1393">
        <v>0.0</v>
      </c>
      <c r="BP175" s="1393">
        <v>0.0</v>
      </c>
      <c r="BQ175" s="1393">
        <v>5483039.708248791</v>
      </c>
      <c r="BR175" s="1393">
        <v>0.0</v>
      </c>
      <c r="BS175" s="1393">
        <v>0.0</v>
      </c>
      <c r="BT175" s="1393">
        <v>0.0</v>
      </c>
      <c r="BU175" s="1393">
        <v>320769.254570758</v>
      </c>
      <c r="BV175" s="1393">
        <v>1032974.7557632567</v>
      </c>
      <c r="BW175" s="1393">
        <v>0.0</v>
      </c>
      <c r="BX175" s="1393">
        <v>0.0</v>
      </c>
      <c r="BY175" s="1393">
        <v>5732579.575692468</v>
      </c>
      <c r="BZ175" s="1393">
        <v>0.0</v>
      </c>
      <c r="CA175" s="1393">
        <v>0.0</v>
      </c>
      <c r="CB175" s="1393">
        <v>0.0</v>
      </c>
      <c r="CC175" s="1393">
        <v>335516.55805204174</v>
      </c>
      <c r="CD175" s="1393">
        <v>1039375.3712506345</v>
      </c>
      <c r="CE175" s="1393">
        <v>0.0</v>
      </c>
      <c r="CF175" s="1393">
        <v>0.0</v>
      </c>
      <c r="CG175" s="1393">
        <v>5767746.8679407565</v>
      </c>
      <c r="CH175" s="1393">
        <v>0.0</v>
      </c>
      <c r="CI175" s="1393">
        <v>0.0</v>
      </c>
      <c r="CJ175" s="1393">
        <v>0.0</v>
      </c>
      <c r="CK175" s="1393">
        <v>337595.51735453977</v>
      </c>
      <c r="CL175" s="1393">
        <v>1005455.4469751606</v>
      </c>
      <c r="CM175" s="1393">
        <v>0.0</v>
      </c>
      <c r="CN175" s="1393">
        <v>0.0</v>
      </c>
      <c r="CO175" s="1393">
        <v>5580961.756554954</v>
      </c>
      <c r="CP175" s="1393">
        <v>0.0</v>
      </c>
      <c r="CQ175" s="1393">
        <v>0.0</v>
      </c>
      <c r="CR175" s="1393">
        <v>0.0</v>
      </c>
      <c r="CS175" s="1393">
        <v>326578.11719176057</v>
      </c>
      <c r="CT175" s="1393">
        <v>1003220.4101300825</v>
      </c>
      <c r="CU175" s="1393">
        <v>0.0</v>
      </c>
      <c r="CV175" s="1393">
        <v>0.0</v>
      </c>
      <c r="CW175" s="1393">
        <v>5568677.718946461</v>
      </c>
      <c r="CX175" s="1393">
        <v>0.0</v>
      </c>
      <c r="CY175" s="1393">
        <v>0.0</v>
      </c>
      <c r="CZ175" s="1393">
        <v>0.0</v>
      </c>
      <c r="DA175" s="1393">
        <v>325852.1634690812</v>
      </c>
      <c r="DB175" s="1393">
        <v>986765.4561709424</v>
      </c>
      <c r="DC175" s="1393">
        <v>0.0</v>
      </c>
      <c r="DD175" s="1393">
        <v>0.0</v>
      </c>
      <c r="DE175" s="1393">
        <v>5478216.364505954</v>
      </c>
      <c r="DF175" s="1393">
        <v>0.0</v>
      </c>
      <c r="DG175" s="1393">
        <v>0.0</v>
      </c>
      <c r="DH175" s="1393">
        <v>0.0</v>
      </c>
      <c r="DI175" s="1393">
        <v>320507.4931521419</v>
      </c>
      <c r="DJ175" s="1393">
        <v>1002205.9047962173</v>
      </c>
      <c r="DK175" s="1393">
        <v>0.0</v>
      </c>
      <c r="DL175" s="1393">
        <v>0.0</v>
      </c>
      <c r="DM175" s="1393">
        <v>5563078.970696461</v>
      </c>
      <c r="DN175" s="1393">
        <v>0.0</v>
      </c>
      <c r="DO175" s="1393">
        <v>0.0</v>
      </c>
      <c r="DP175" s="1393">
        <v>0.0</v>
      </c>
      <c r="DQ175" s="1393">
        <v>325522.6458929307</v>
      </c>
      <c r="DR175" s="1379">
        <f t="shared" si="52"/>
        <v>69254056.16</v>
      </c>
    </row>
    <row r="176" hidden="1">
      <c r="A176" s="1401"/>
      <c r="B176" s="1403">
        <f t="shared" si="53"/>
        <v>19</v>
      </c>
      <c r="C176" s="1404" t="s">
        <v>1442</v>
      </c>
      <c r="D176" s="185" t="s">
        <v>186</v>
      </c>
      <c r="E176" s="185" t="s">
        <v>1387</v>
      </c>
      <c r="F176" s="185" t="s">
        <v>1910</v>
      </c>
      <c r="G176" s="185" t="s">
        <v>86</v>
      </c>
      <c r="H176" s="185" t="s">
        <v>86</v>
      </c>
      <c r="I176" s="185" t="s">
        <v>103</v>
      </c>
      <c r="J176" s="185" t="s">
        <v>253</v>
      </c>
      <c r="K176" s="185" t="s">
        <v>254</v>
      </c>
      <c r="L176" s="1390"/>
      <c r="M176" s="503"/>
      <c r="N176" s="503"/>
      <c r="O176" s="503"/>
      <c r="P176" s="503"/>
      <c r="Q176" s="503"/>
      <c r="R176" s="503"/>
      <c r="S176" s="503">
        <v>402273.0</v>
      </c>
      <c r="T176" s="503">
        <v>402273.0</v>
      </c>
      <c r="U176" s="503">
        <v>402273.0</v>
      </c>
      <c r="V176" s="503">
        <v>402273.0</v>
      </c>
      <c r="W176" s="503">
        <v>402273.0</v>
      </c>
      <c r="X176" s="1405">
        <v>2011365.0</v>
      </c>
      <c r="Y176" s="1392">
        <f t="shared" si="3"/>
        <v>0</v>
      </c>
      <c r="Z176" s="1393">
        <v>0.0</v>
      </c>
      <c r="AA176" s="1393">
        <v>0.0</v>
      </c>
      <c r="AB176" s="1393">
        <v>0.0</v>
      </c>
      <c r="AC176" s="1393">
        <v>0.0</v>
      </c>
      <c r="AD176" s="1393">
        <v>0.0</v>
      </c>
      <c r="AE176" s="1393">
        <v>0.0</v>
      </c>
      <c r="AF176" s="1393">
        <v>0.0</v>
      </c>
      <c r="AG176" s="1393">
        <v>0.0</v>
      </c>
      <c r="AH176" s="1393">
        <v>0.0</v>
      </c>
      <c r="AI176" s="1393">
        <v>0.0</v>
      </c>
      <c r="AJ176" s="1393">
        <v>0.0</v>
      </c>
      <c r="AK176" s="1393">
        <v>0.0</v>
      </c>
      <c r="AL176" s="1393">
        <v>0.0</v>
      </c>
      <c r="AM176" s="1393">
        <v>0.0</v>
      </c>
      <c r="AN176" s="1393">
        <v>0.0</v>
      </c>
      <c r="AO176" s="1393">
        <v>0.0</v>
      </c>
      <c r="AP176" s="1393">
        <v>0.0</v>
      </c>
      <c r="AQ176" s="1393">
        <v>0.0</v>
      </c>
      <c r="AR176" s="1393">
        <v>0.0</v>
      </c>
      <c r="AS176" s="1393">
        <v>0.0</v>
      </c>
      <c r="AT176" s="1393">
        <v>0.0</v>
      </c>
      <c r="AU176" s="1393">
        <v>0.0</v>
      </c>
      <c r="AV176" s="1393">
        <v>0.0</v>
      </c>
      <c r="AW176" s="1393">
        <v>0.0</v>
      </c>
      <c r="AX176" s="1393">
        <v>0.0</v>
      </c>
      <c r="AY176" s="1393">
        <v>0.0</v>
      </c>
      <c r="AZ176" s="1393">
        <v>0.0</v>
      </c>
      <c r="BA176" s="1393">
        <v>0.0</v>
      </c>
      <c r="BB176" s="1393">
        <v>0.0</v>
      </c>
      <c r="BC176" s="1393">
        <v>0.0</v>
      </c>
      <c r="BD176" s="1393">
        <v>0.0</v>
      </c>
      <c r="BE176" s="1393">
        <v>0.0</v>
      </c>
      <c r="BF176" s="1393">
        <v>0.0</v>
      </c>
      <c r="BG176" s="1393">
        <v>0.0</v>
      </c>
      <c r="BH176" s="1393">
        <v>0.0</v>
      </c>
      <c r="BI176" s="1393">
        <v>0.0</v>
      </c>
      <c r="BJ176" s="1393">
        <v>0.0</v>
      </c>
      <c r="BK176" s="1393">
        <v>0.0</v>
      </c>
      <c r="BL176" s="1393">
        <v>0.0</v>
      </c>
      <c r="BM176" s="1393">
        <v>0.0</v>
      </c>
      <c r="BN176" s="1393">
        <v>0.0</v>
      </c>
      <c r="BO176" s="1393">
        <v>0.0</v>
      </c>
      <c r="BP176" s="1393">
        <v>0.0</v>
      </c>
      <c r="BQ176" s="1393">
        <v>0.0</v>
      </c>
      <c r="BR176" s="1393">
        <v>0.0</v>
      </c>
      <c r="BS176" s="1393">
        <v>0.0</v>
      </c>
      <c r="BT176" s="1393">
        <v>0.0</v>
      </c>
      <c r="BU176" s="1393">
        <v>0.0</v>
      </c>
      <c r="BV176" s="1393">
        <v>0.0</v>
      </c>
      <c r="BW176" s="1393">
        <v>0.0</v>
      </c>
      <c r="BX176" s="1393">
        <v>0.0</v>
      </c>
      <c r="BY176" s="1393">
        <v>0.0</v>
      </c>
      <c r="BZ176" s="1393">
        <v>0.0</v>
      </c>
      <c r="CA176" s="1393">
        <v>0.0</v>
      </c>
      <c r="CB176" s="1393">
        <v>0.0</v>
      </c>
      <c r="CC176" s="1393">
        <v>0.0</v>
      </c>
      <c r="CD176" s="1393">
        <v>54736.773793425986</v>
      </c>
      <c r="CE176" s="1393">
        <v>0.0</v>
      </c>
      <c r="CF176" s="1393">
        <v>0.0</v>
      </c>
      <c r="CG176" s="1393">
        <v>303747.67801967164</v>
      </c>
      <c r="CH176" s="1393">
        <v>0.0</v>
      </c>
      <c r="CI176" s="1393">
        <v>0.0</v>
      </c>
      <c r="CJ176" s="1393">
        <v>0.0</v>
      </c>
      <c r="CK176" s="1393">
        <v>17778.841002240824</v>
      </c>
      <c r="CL176" s="1393">
        <v>52950.44397119563</v>
      </c>
      <c r="CM176" s="1393">
        <v>0.0</v>
      </c>
      <c r="CN176" s="1393">
        <v>0.0</v>
      </c>
      <c r="CO176" s="1393">
        <v>293910.98699090263</v>
      </c>
      <c r="CP176" s="1393">
        <v>0.0</v>
      </c>
      <c r="CQ176" s="1393">
        <v>0.0</v>
      </c>
      <c r="CR176" s="1393">
        <v>0.0</v>
      </c>
      <c r="CS176" s="1393">
        <v>17198.630082122458</v>
      </c>
      <c r="CT176" s="1393">
        <v>52832.739906241884</v>
      </c>
      <c r="CU176" s="1393">
        <v>0.0</v>
      </c>
      <c r="CV176" s="1393">
        <v>0.0</v>
      </c>
      <c r="CW176" s="1393">
        <v>293264.0709618678</v>
      </c>
      <c r="CX176" s="1393">
        <v>0.0</v>
      </c>
      <c r="CY176" s="1393">
        <v>0.0</v>
      </c>
      <c r="CZ176" s="1393">
        <v>0.0</v>
      </c>
      <c r="DA176" s="1393">
        <v>17160.39907742299</v>
      </c>
      <c r="DB176" s="1393">
        <v>51966.170313045805</v>
      </c>
      <c r="DC176" s="1393">
        <v>0.0</v>
      </c>
      <c r="DD176" s="1393">
        <v>0.0</v>
      </c>
      <c r="DE176" s="1393">
        <v>288500.0917181621</v>
      </c>
      <c r="DF176" s="1393">
        <v>0.0</v>
      </c>
      <c r="DG176" s="1393">
        <v>0.0</v>
      </c>
      <c r="DH176" s="1393">
        <v>0.0</v>
      </c>
      <c r="DI176" s="1393">
        <v>16878.93194030319</v>
      </c>
      <c r="DJ176" s="1393">
        <v>52779.31286678339</v>
      </c>
      <c r="DK176" s="1393">
        <v>0.0</v>
      </c>
      <c r="DL176" s="1393">
        <v>0.0</v>
      </c>
      <c r="DM176" s="1393">
        <v>292969.22328222945</v>
      </c>
      <c r="DN176" s="1393">
        <v>0.0</v>
      </c>
      <c r="DO176" s="1393">
        <v>0.0</v>
      </c>
      <c r="DP176" s="1393">
        <v>0.0</v>
      </c>
      <c r="DQ176" s="1393">
        <v>17143.045646193415</v>
      </c>
      <c r="DR176" s="1379">
        <f t="shared" si="52"/>
        <v>1823817.34</v>
      </c>
    </row>
    <row r="177" hidden="1">
      <c r="A177" s="1401"/>
      <c r="B177" s="1403">
        <f t="shared" si="53"/>
        <v>20</v>
      </c>
      <c r="C177" s="1404" t="s">
        <v>1445</v>
      </c>
      <c r="D177" s="185" t="s">
        <v>186</v>
      </c>
      <c r="E177" s="185" t="s">
        <v>1387</v>
      </c>
      <c r="F177" s="185" t="s">
        <v>1910</v>
      </c>
      <c r="G177" s="185" t="s">
        <v>86</v>
      </c>
      <c r="H177" s="185" t="s">
        <v>86</v>
      </c>
      <c r="I177" s="185" t="s">
        <v>103</v>
      </c>
      <c r="J177" s="185" t="s">
        <v>253</v>
      </c>
      <c r="K177" s="185" t="s">
        <v>254</v>
      </c>
      <c r="L177" s="1390"/>
      <c r="M177" s="503"/>
      <c r="N177" s="503"/>
      <c r="O177" s="503"/>
      <c r="P177" s="503"/>
      <c r="Q177" s="503">
        <v>705396.0</v>
      </c>
      <c r="R177" s="503">
        <v>705396.0</v>
      </c>
      <c r="S177" s="503">
        <v>705396.0</v>
      </c>
      <c r="T177" s="503">
        <v>705396.0</v>
      </c>
      <c r="U177" s="503">
        <v>705396.0</v>
      </c>
      <c r="V177" s="503">
        <v>705396.0</v>
      </c>
      <c r="W177" s="503">
        <v>705396.0</v>
      </c>
      <c r="X177" s="1405">
        <v>4937772.0</v>
      </c>
      <c r="Y177" s="1392">
        <f t="shared" si="3"/>
        <v>0</v>
      </c>
      <c r="Z177" s="1393">
        <v>0.0</v>
      </c>
      <c r="AA177" s="1393">
        <v>0.0</v>
      </c>
      <c r="AB177" s="1393">
        <v>0.0</v>
      </c>
      <c r="AC177" s="1393">
        <v>0.0</v>
      </c>
      <c r="AD177" s="1393">
        <v>0.0</v>
      </c>
      <c r="AE177" s="1393">
        <v>0.0</v>
      </c>
      <c r="AF177" s="1393">
        <v>0.0</v>
      </c>
      <c r="AG177" s="1393">
        <v>0.0</v>
      </c>
      <c r="AH177" s="1393">
        <v>0.0</v>
      </c>
      <c r="AI177" s="1393">
        <v>0.0</v>
      </c>
      <c r="AJ177" s="1393">
        <v>0.0</v>
      </c>
      <c r="AK177" s="1393">
        <v>0.0</v>
      </c>
      <c r="AL177" s="1393">
        <v>0.0</v>
      </c>
      <c r="AM177" s="1393">
        <v>0.0</v>
      </c>
      <c r="AN177" s="1393">
        <v>0.0</v>
      </c>
      <c r="AO177" s="1393">
        <v>0.0</v>
      </c>
      <c r="AP177" s="1393">
        <v>0.0</v>
      </c>
      <c r="AQ177" s="1393">
        <v>0.0</v>
      </c>
      <c r="AR177" s="1393">
        <v>0.0</v>
      </c>
      <c r="AS177" s="1393">
        <v>0.0</v>
      </c>
      <c r="AT177" s="1393">
        <v>0.0</v>
      </c>
      <c r="AU177" s="1393">
        <v>0.0</v>
      </c>
      <c r="AV177" s="1393">
        <v>0.0</v>
      </c>
      <c r="AW177" s="1393">
        <v>0.0</v>
      </c>
      <c r="AX177" s="1393">
        <v>0.0</v>
      </c>
      <c r="AY177" s="1393">
        <v>0.0</v>
      </c>
      <c r="AZ177" s="1393">
        <v>0.0</v>
      </c>
      <c r="BA177" s="1393">
        <v>0.0</v>
      </c>
      <c r="BB177" s="1393">
        <v>0.0</v>
      </c>
      <c r="BC177" s="1393">
        <v>0.0</v>
      </c>
      <c r="BD177" s="1393">
        <v>0.0</v>
      </c>
      <c r="BE177" s="1393">
        <v>0.0</v>
      </c>
      <c r="BF177" s="1393">
        <v>0.0</v>
      </c>
      <c r="BG177" s="1393">
        <v>0.0</v>
      </c>
      <c r="BH177" s="1393">
        <v>0.0</v>
      </c>
      <c r="BI177" s="1393">
        <v>0.0</v>
      </c>
      <c r="BJ177" s="1393">
        <v>0.0</v>
      </c>
      <c r="BK177" s="1393">
        <v>0.0</v>
      </c>
      <c r="BL177" s="1393">
        <v>0.0</v>
      </c>
      <c r="BM177" s="1393">
        <v>0.0</v>
      </c>
      <c r="BN177" s="1393">
        <v>91198.43131834468</v>
      </c>
      <c r="BO177" s="1393">
        <v>0.0</v>
      </c>
      <c r="BP177" s="1393">
        <v>0.0</v>
      </c>
      <c r="BQ177" s="1393">
        <v>506337.7111006726</v>
      </c>
      <c r="BR177" s="1393">
        <v>0.0</v>
      </c>
      <c r="BS177" s="1393">
        <v>0.0</v>
      </c>
      <c r="BT177" s="1393">
        <v>0.0</v>
      </c>
      <c r="BU177" s="1393">
        <v>29621.811767381958</v>
      </c>
      <c r="BV177" s="1393">
        <v>95391.26128725294</v>
      </c>
      <c r="BW177" s="1393">
        <v>0.0</v>
      </c>
      <c r="BX177" s="1393">
        <v>0.0</v>
      </c>
      <c r="BY177" s="1393">
        <v>529381.7618522496</v>
      </c>
      <c r="BZ177" s="1393">
        <v>0.0</v>
      </c>
      <c r="CA177" s="1393">
        <v>0.0</v>
      </c>
      <c r="CB177" s="1393">
        <v>0.0</v>
      </c>
      <c r="CC177" s="1393">
        <v>30983.668745799696</v>
      </c>
      <c r="CD177" s="1393">
        <v>95982.33360625127</v>
      </c>
      <c r="CE177" s="1393">
        <v>0.0</v>
      </c>
      <c r="CF177" s="1393">
        <v>0.0</v>
      </c>
      <c r="CG177" s="1393">
        <v>532629.3265627181</v>
      </c>
      <c r="CH177" s="1393">
        <v>0.0</v>
      </c>
      <c r="CI177" s="1393">
        <v>0.0</v>
      </c>
      <c r="CJ177" s="1393">
        <v>0.0</v>
      </c>
      <c r="CK177" s="1393">
        <v>31175.652672728887</v>
      </c>
      <c r="CL177" s="1393">
        <v>92849.95854930735</v>
      </c>
      <c r="CM177" s="1393">
        <v>0.0</v>
      </c>
      <c r="CN177" s="1393">
        <v>0.0</v>
      </c>
      <c r="CO177" s="1393">
        <v>515380.43711468275</v>
      </c>
      <c r="CP177" s="1393">
        <v>0.0</v>
      </c>
      <c r="CQ177" s="1393">
        <v>0.0</v>
      </c>
      <c r="CR177" s="1393">
        <v>0.0</v>
      </c>
      <c r="CS177" s="1393">
        <v>30158.237976222248</v>
      </c>
      <c r="CT177" s="1393">
        <v>92643.5614592662</v>
      </c>
      <c r="CU177" s="1393">
        <v>0.0</v>
      </c>
      <c r="CV177" s="1393">
        <v>0.0</v>
      </c>
      <c r="CW177" s="1393">
        <v>514246.05330265197</v>
      </c>
      <c r="CX177" s="1393">
        <v>0.0</v>
      </c>
      <c r="CY177" s="1393">
        <v>0.0</v>
      </c>
      <c r="CZ177" s="1393">
        <v>0.0</v>
      </c>
      <c r="DA177" s="1393">
        <v>30091.198931118586</v>
      </c>
      <c r="DB177" s="1393">
        <v>91124.00950136164</v>
      </c>
      <c r="DC177" s="1393">
        <v>0.0</v>
      </c>
      <c r="DD177" s="1393">
        <v>0.0</v>
      </c>
      <c r="DE177" s="1393">
        <v>505892.2937846306</v>
      </c>
      <c r="DF177" s="1393">
        <v>0.0</v>
      </c>
      <c r="DG177" s="1393">
        <v>0.0</v>
      </c>
      <c r="DH177" s="1393">
        <v>0.0</v>
      </c>
      <c r="DI177" s="1393">
        <v>29597.63910320133</v>
      </c>
      <c r="DJ177" s="1393">
        <v>92549.87577833346</v>
      </c>
      <c r="DK177" s="1393">
        <v>0.0</v>
      </c>
      <c r="DL177" s="1393">
        <v>0.0</v>
      </c>
      <c r="DM177" s="1393">
        <v>513729.03035100916</v>
      </c>
      <c r="DN177" s="1393">
        <v>0.0</v>
      </c>
      <c r="DO177" s="1393">
        <v>0.0</v>
      </c>
      <c r="DP177" s="1393">
        <v>0.0</v>
      </c>
      <c r="DQ177" s="1393">
        <v>30060.769245368818</v>
      </c>
      <c r="DR177" s="1379">
        <f t="shared" si="52"/>
        <v>4481025.024</v>
      </c>
    </row>
    <row r="178" hidden="1">
      <c r="A178" s="1401"/>
      <c r="B178" s="1403">
        <f t="shared" si="53"/>
        <v>21</v>
      </c>
      <c r="C178" s="1404" t="s">
        <v>1448</v>
      </c>
      <c r="D178" s="185" t="s">
        <v>186</v>
      </c>
      <c r="E178" s="185" t="s">
        <v>1387</v>
      </c>
      <c r="F178" s="185" t="s">
        <v>1910</v>
      </c>
      <c r="G178" s="185" t="s">
        <v>86</v>
      </c>
      <c r="H178" s="185" t="s">
        <v>86</v>
      </c>
      <c r="I178" s="185" t="s">
        <v>103</v>
      </c>
      <c r="J178" s="185" t="s">
        <v>253</v>
      </c>
      <c r="K178" s="185" t="s">
        <v>254</v>
      </c>
      <c r="L178" s="1390"/>
      <c r="M178" s="503"/>
      <c r="N178" s="503"/>
      <c r="O178" s="503">
        <v>994612.0</v>
      </c>
      <c r="P178" s="503">
        <v>994612.0</v>
      </c>
      <c r="Q178" s="503">
        <v>994612.0</v>
      </c>
      <c r="R178" s="503">
        <v>994612.0</v>
      </c>
      <c r="S178" s="503">
        <v>994612.0</v>
      </c>
      <c r="T178" s="503">
        <v>994612.0</v>
      </c>
      <c r="U178" s="503">
        <v>994612.0</v>
      </c>
      <c r="V178" s="503">
        <v>994612.0</v>
      </c>
      <c r="W178" s="503">
        <v>994612.0</v>
      </c>
      <c r="X178" s="1405">
        <v>8951508.0</v>
      </c>
      <c r="Y178" s="1392">
        <f t="shared" si="3"/>
        <v>0</v>
      </c>
      <c r="Z178" s="1393">
        <v>0.0</v>
      </c>
      <c r="AA178" s="1393">
        <v>0.0</v>
      </c>
      <c r="AB178" s="1393">
        <v>0.0</v>
      </c>
      <c r="AC178" s="1393">
        <v>0.0</v>
      </c>
      <c r="AD178" s="1393">
        <v>0.0</v>
      </c>
      <c r="AE178" s="1393">
        <v>0.0</v>
      </c>
      <c r="AF178" s="1393">
        <v>0.0</v>
      </c>
      <c r="AG178" s="1393">
        <v>0.0</v>
      </c>
      <c r="AH178" s="1393">
        <v>0.0</v>
      </c>
      <c r="AI178" s="1393">
        <v>0.0</v>
      </c>
      <c r="AJ178" s="1393">
        <v>0.0</v>
      </c>
      <c r="AK178" s="1393">
        <v>0.0</v>
      </c>
      <c r="AL178" s="1393">
        <v>0.0</v>
      </c>
      <c r="AM178" s="1393">
        <v>0.0</v>
      </c>
      <c r="AN178" s="1393">
        <v>0.0</v>
      </c>
      <c r="AO178" s="1393">
        <v>0.0</v>
      </c>
      <c r="AP178" s="1393">
        <v>0.0</v>
      </c>
      <c r="AQ178" s="1393">
        <v>0.0</v>
      </c>
      <c r="AR178" s="1393">
        <v>0.0</v>
      </c>
      <c r="AS178" s="1393">
        <v>0.0</v>
      </c>
      <c r="AT178" s="1393">
        <v>0.0</v>
      </c>
      <c r="AU178" s="1393">
        <v>0.0</v>
      </c>
      <c r="AV178" s="1393">
        <v>0.0</v>
      </c>
      <c r="AW178" s="1393">
        <v>0.0</v>
      </c>
      <c r="AX178" s="1393">
        <v>128052.79360995081</v>
      </c>
      <c r="AY178" s="1393">
        <v>0.0</v>
      </c>
      <c r="AZ178" s="1393">
        <v>0.0</v>
      </c>
      <c r="BA178" s="1393">
        <v>711033.808563623</v>
      </c>
      <c r="BB178" s="1393">
        <v>0.0</v>
      </c>
      <c r="BC178" s="1393">
        <v>0.0</v>
      </c>
      <c r="BD178" s="1393">
        <v>0.0</v>
      </c>
      <c r="BE178" s="1393">
        <v>41592.33545762071</v>
      </c>
      <c r="BF178" s="1393">
        <v>126692.55616737175</v>
      </c>
      <c r="BG178" s="1393">
        <v>0.0</v>
      </c>
      <c r="BH178" s="1393">
        <v>0.0</v>
      </c>
      <c r="BI178" s="1393">
        <v>703547.4300933919</v>
      </c>
      <c r="BJ178" s="1393">
        <v>0.0</v>
      </c>
      <c r="BK178" s="1393">
        <v>0.0</v>
      </c>
      <c r="BL178" s="1393">
        <v>0.0</v>
      </c>
      <c r="BM178" s="1393">
        <v>41150.52196477264</v>
      </c>
      <c r="BN178" s="1393">
        <v>128590.2587630231</v>
      </c>
      <c r="BO178" s="1393">
        <v>0.0</v>
      </c>
      <c r="BP178" s="1393">
        <v>0.0</v>
      </c>
      <c r="BQ178" s="1393">
        <v>713938.7854669748</v>
      </c>
      <c r="BR178" s="1393">
        <v>0.0</v>
      </c>
      <c r="BS178" s="1393">
        <v>0.0</v>
      </c>
      <c r="BT178" s="1393">
        <v>0.0</v>
      </c>
      <c r="BU178" s="1393">
        <v>41766.90744713509</v>
      </c>
      <c r="BV178" s="1393">
        <v>134502.17065511746</v>
      </c>
      <c r="BW178" s="1393">
        <v>0.0</v>
      </c>
      <c r="BX178" s="1393">
        <v>0.0</v>
      </c>
      <c r="BY178" s="1393">
        <v>746431.0159391173</v>
      </c>
      <c r="BZ178" s="1393">
        <v>0.0</v>
      </c>
      <c r="CA178" s="1393">
        <v>0.0</v>
      </c>
      <c r="CB178" s="1393">
        <v>0.0</v>
      </c>
      <c r="CC178" s="1393">
        <v>43687.132814188524</v>
      </c>
      <c r="CD178" s="1393">
        <v>135335.5856749695</v>
      </c>
      <c r="CE178" s="1393">
        <v>0.0</v>
      </c>
      <c r="CF178" s="1393">
        <v>0.0</v>
      </c>
      <c r="CG178" s="1393">
        <v>751010.0989390331</v>
      </c>
      <c r="CH178" s="1393">
        <v>0.0</v>
      </c>
      <c r="CI178" s="1393">
        <v>0.0</v>
      </c>
      <c r="CJ178" s="1393">
        <v>0.0</v>
      </c>
      <c r="CK178" s="1393">
        <v>43957.83114183838</v>
      </c>
      <c r="CL178" s="1393">
        <v>130918.9206809277</v>
      </c>
      <c r="CM178" s="1393">
        <v>0.0</v>
      </c>
      <c r="CN178" s="1393">
        <v>0.0</v>
      </c>
      <c r="CO178" s="1393">
        <v>726689.0758092034</v>
      </c>
      <c r="CP178" s="1393">
        <v>0.0</v>
      </c>
      <c r="CQ178" s="1393">
        <v>0.0</v>
      </c>
      <c r="CR178" s="1393">
        <v>0.0</v>
      </c>
      <c r="CS178" s="1393">
        <v>42523.271169678264</v>
      </c>
      <c r="CT178" s="1393">
        <v>130627.8997189149</v>
      </c>
      <c r="CU178" s="1393">
        <v>0.0</v>
      </c>
      <c r="CV178" s="1393">
        <v>0.0</v>
      </c>
      <c r="CW178" s="1393">
        <v>725089.5887805676</v>
      </c>
      <c r="CX178" s="1393">
        <v>0.0</v>
      </c>
      <c r="CY178" s="1393">
        <v>0.0</v>
      </c>
      <c r="CZ178" s="1393">
        <v>0.0</v>
      </c>
      <c r="DA178" s="1393">
        <v>42428.74577014573</v>
      </c>
      <c r="DB178" s="1393">
        <v>128485.32361704392</v>
      </c>
      <c r="DC178" s="1393">
        <v>0.0</v>
      </c>
      <c r="DD178" s="1393">
        <v>0.0</v>
      </c>
      <c r="DE178" s="1393">
        <v>713310.7447529034</v>
      </c>
      <c r="DF178" s="1393">
        <v>0.0</v>
      </c>
      <c r="DG178" s="1393">
        <v>0.0</v>
      </c>
      <c r="DH178" s="1393">
        <v>0.0</v>
      </c>
      <c r="DI178" s="1393">
        <v>41732.823865904094</v>
      </c>
      <c r="DJ178" s="1393">
        <v>130495.80242536077</v>
      </c>
      <c r="DK178" s="1393">
        <v>0.0</v>
      </c>
      <c r="DL178" s="1393">
        <v>0.0</v>
      </c>
      <c r="DM178" s="1393">
        <v>724360.583750798</v>
      </c>
      <c r="DN178" s="1393">
        <v>0.0</v>
      </c>
      <c r="DO178" s="1393">
        <v>0.0</v>
      </c>
      <c r="DP178" s="1393">
        <v>0.0</v>
      </c>
      <c r="DQ178" s="1393">
        <v>42385.83975621463</v>
      </c>
      <c r="DR178" s="1379">
        <f t="shared" si="52"/>
        <v>8070337.853</v>
      </c>
    </row>
    <row r="179" hidden="1">
      <c r="A179" s="1401"/>
      <c r="B179" s="1403">
        <f t="shared" si="53"/>
        <v>22</v>
      </c>
      <c r="C179" s="1404" t="s">
        <v>1451</v>
      </c>
      <c r="D179" s="185" t="s">
        <v>186</v>
      </c>
      <c r="E179" s="185" t="s">
        <v>1387</v>
      </c>
      <c r="F179" s="185" t="s">
        <v>1910</v>
      </c>
      <c r="G179" s="185" t="s">
        <v>86</v>
      </c>
      <c r="H179" s="185" t="s">
        <v>86</v>
      </c>
      <c r="I179" s="185" t="s">
        <v>103</v>
      </c>
      <c r="J179" s="185" t="s">
        <v>253</v>
      </c>
      <c r="K179" s="185" t="s">
        <v>254</v>
      </c>
      <c r="L179" s="1390"/>
      <c r="M179" s="503"/>
      <c r="N179" s="503"/>
      <c r="O179" s="503">
        <v>3794544.0</v>
      </c>
      <c r="P179" s="503">
        <v>3794544.0</v>
      </c>
      <c r="Q179" s="503">
        <v>3794544.0</v>
      </c>
      <c r="R179" s="503">
        <v>3794544.0</v>
      </c>
      <c r="S179" s="503">
        <v>3794544.0</v>
      </c>
      <c r="T179" s="503">
        <v>3794544.0</v>
      </c>
      <c r="U179" s="503">
        <v>3794544.0</v>
      </c>
      <c r="V179" s="503">
        <v>3794544.0</v>
      </c>
      <c r="W179" s="503">
        <v>3794544.0</v>
      </c>
      <c r="X179" s="1405">
        <v>3.4150896E7</v>
      </c>
      <c r="Y179" s="1392">
        <f t="shared" si="3"/>
        <v>0</v>
      </c>
      <c r="Z179" s="1393">
        <v>0.0</v>
      </c>
      <c r="AA179" s="1393">
        <v>0.0</v>
      </c>
      <c r="AB179" s="1393">
        <v>0.0</v>
      </c>
      <c r="AC179" s="1393">
        <v>0.0</v>
      </c>
      <c r="AD179" s="1393">
        <v>0.0</v>
      </c>
      <c r="AE179" s="1393">
        <v>0.0</v>
      </c>
      <c r="AF179" s="1393">
        <v>0.0</v>
      </c>
      <c r="AG179" s="1393">
        <v>0.0</v>
      </c>
      <c r="AH179" s="1393">
        <v>0.0</v>
      </c>
      <c r="AI179" s="1393">
        <v>0.0</v>
      </c>
      <c r="AJ179" s="1393">
        <v>0.0</v>
      </c>
      <c r="AK179" s="1393">
        <v>0.0</v>
      </c>
      <c r="AL179" s="1393">
        <v>0.0</v>
      </c>
      <c r="AM179" s="1393">
        <v>0.0</v>
      </c>
      <c r="AN179" s="1393">
        <v>0.0</v>
      </c>
      <c r="AO179" s="1393">
        <v>0.0</v>
      </c>
      <c r="AP179" s="1393">
        <v>0.0</v>
      </c>
      <c r="AQ179" s="1393">
        <v>0.0</v>
      </c>
      <c r="AR179" s="1393">
        <v>0.0</v>
      </c>
      <c r="AS179" s="1393">
        <v>0.0</v>
      </c>
      <c r="AT179" s="1393">
        <v>0.0</v>
      </c>
      <c r="AU179" s="1393">
        <v>0.0</v>
      </c>
      <c r="AV179" s="1393">
        <v>0.0</v>
      </c>
      <c r="AW179" s="1393">
        <v>0.0</v>
      </c>
      <c r="AX179" s="1393">
        <v>488534.18184767244</v>
      </c>
      <c r="AY179" s="1393">
        <v>0.0</v>
      </c>
      <c r="AZ179" s="1393">
        <v>0.0</v>
      </c>
      <c r="BA179" s="1393">
        <v>2712664.9106206684</v>
      </c>
      <c r="BB179" s="1393">
        <v>0.0</v>
      </c>
      <c r="BC179" s="1393">
        <v>0.0</v>
      </c>
      <c r="BD179" s="1393">
        <v>0.0</v>
      </c>
      <c r="BE179" s="1393">
        <v>158678.90891795183</v>
      </c>
      <c r="BF179" s="1393">
        <v>483344.7403103557</v>
      </c>
      <c r="BG179" s="1393">
        <v>0.0</v>
      </c>
      <c r="BH179" s="1393">
        <v>0.0</v>
      </c>
      <c r="BI179" s="1393">
        <v>2684103.6299343864</v>
      </c>
      <c r="BJ179" s="1393">
        <v>0.0</v>
      </c>
      <c r="BK179" s="1393">
        <v>0.0</v>
      </c>
      <c r="BL179" s="1393">
        <v>0.0</v>
      </c>
      <c r="BM179" s="1393">
        <v>156993.3463685299</v>
      </c>
      <c r="BN179" s="1393">
        <v>490584.6650228197</v>
      </c>
      <c r="BO179" s="1393">
        <v>0.0</v>
      </c>
      <c r="BP179" s="1393">
        <v>0.0</v>
      </c>
      <c r="BQ179" s="1393">
        <v>2723747.68730017</v>
      </c>
      <c r="BR179" s="1393">
        <v>0.0</v>
      </c>
      <c r="BS179" s="1393">
        <v>0.0</v>
      </c>
      <c r="BT179" s="1393">
        <v>0.0</v>
      </c>
      <c r="BU179" s="1393">
        <v>159344.9184728133</v>
      </c>
      <c r="BV179" s="1393">
        <v>513139.1986486711</v>
      </c>
      <c r="BW179" s="1393">
        <v>0.0</v>
      </c>
      <c r="BX179" s="1393">
        <v>0.0</v>
      </c>
      <c r="BY179" s="1393">
        <v>2847708.78789486</v>
      </c>
      <c r="BZ179" s="1393">
        <v>0.0</v>
      </c>
      <c r="CA179" s="1393">
        <v>0.0</v>
      </c>
      <c r="CB179" s="1393">
        <v>0.0</v>
      </c>
      <c r="CC179" s="1393">
        <v>166670.76980499146</v>
      </c>
      <c r="CD179" s="1393">
        <v>516318.7600887999</v>
      </c>
      <c r="CE179" s="1393">
        <v>0.0</v>
      </c>
      <c r="CF179" s="1393">
        <v>0.0</v>
      </c>
      <c r="CG179" s="1393">
        <v>2865178.44633738</v>
      </c>
      <c r="CH179" s="1393">
        <v>0.0</v>
      </c>
      <c r="CI179" s="1393">
        <v>0.0</v>
      </c>
      <c r="CJ179" s="1393">
        <v>0.0</v>
      </c>
      <c r="CK179" s="1393">
        <v>167703.5109291623</v>
      </c>
      <c r="CL179" s="1393">
        <v>499468.7425411016</v>
      </c>
      <c r="CM179" s="1393">
        <v>0.0</v>
      </c>
      <c r="CN179" s="1393">
        <v>0.0</v>
      </c>
      <c r="CO179" s="1393">
        <v>2772391.316892776</v>
      </c>
      <c r="CP179" s="1393">
        <v>0.0</v>
      </c>
      <c r="CQ179" s="1393">
        <v>0.0</v>
      </c>
      <c r="CR179" s="1393">
        <v>0.0</v>
      </c>
      <c r="CS179" s="1393">
        <v>162230.52152726453</v>
      </c>
      <c r="CT179" s="1393">
        <v>498358.468539501</v>
      </c>
      <c r="CU179" s="1393">
        <v>0.0</v>
      </c>
      <c r="CV179" s="1393">
        <v>0.0</v>
      </c>
      <c r="CW179" s="1393">
        <v>2766289.1143177142</v>
      </c>
      <c r="CX179" s="1393">
        <v>0.0</v>
      </c>
      <c r="CY179" s="1393">
        <v>0.0</v>
      </c>
      <c r="CZ179" s="1393">
        <v>0.0</v>
      </c>
      <c r="DA179" s="1393">
        <v>161869.897698431</v>
      </c>
      <c r="DB179" s="1393">
        <v>490184.326972842</v>
      </c>
      <c r="DC179" s="1393">
        <v>0.0</v>
      </c>
      <c r="DD179" s="1393">
        <v>0.0</v>
      </c>
      <c r="DE179" s="1393">
        <v>2721351.649324219</v>
      </c>
      <c r="DF179" s="1393">
        <v>0.0</v>
      </c>
      <c r="DG179" s="1393">
        <v>0.0</v>
      </c>
      <c r="DH179" s="1393">
        <v>0.0</v>
      </c>
      <c r="DI179" s="1393">
        <v>159214.8862103244</v>
      </c>
      <c r="DJ179" s="1393">
        <v>497854.5041868972</v>
      </c>
      <c r="DK179" s="1393">
        <v>0.0</v>
      </c>
      <c r="DL179" s="1393">
        <v>0.0</v>
      </c>
      <c r="DM179" s="1393">
        <v>2763507.8874054286</v>
      </c>
      <c r="DN179" s="1393">
        <v>0.0</v>
      </c>
      <c r="DO179" s="1393">
        <v>0.0</v>
      </c>
      <c r="DP179" s="1393">
        <v>0.0</v>
      </c>
      <c r="DQ179" s="1393">
        <v>161706.20697508744</v>
      </c>
      <c r="DR179" s="1379">
        <f t="shared" si="52"/>
        <v>30789143.99</v>
      </c>
    </row>
    <row r="180" hidden="1">
      <c r="A180" s="1401"/>
      <c r="B180" s="1403">
        <f t="shared" si="53"/>
        <v>23</v>
      </c>
      <c r="C180" s="1404" t="s">
        <v>1454</v>
      </c>
      <c r="D180" s="185" t="s">
        <v>186</v>
      </c>
      <c r="E180" s="185" t="s">
        <v>1387</v>
      </c>
      <c r="F180" s="185" t="s">
        <v>1910</v>
      </c>
      <c r="G180" s="185" t="s">
        <v>86</v>
      </c>
      <c r="H180" s="185" t="s">
        <v>86</v>
      </c>
      <c r="I180" s="185" t="s">
        <v>103</v>
      </c>
      <c r="J180" s="185" t="s">
        <v>253</v>
      </c>
      <c r="K180" s="185" t="s">
        <v>254</v>
      </c>
      <c r="L180" s="1390"/>
      <c r="M180" s="503"/>
      <c r="N180" s="503"/>
      <c r="O180" s="503"/>
      <c r="P180" s="503"/>
      <c r="Q180" s="503"/>
      <c r="R180" s="503">
        <v>496422.0</v>
      </c>
      <c r="S180" s="503">
        <v>496422.0</v>
      </c>
      <c r="T180" s="503">
        <v>496422.0</v>
      </c>
      <c r="U180" s="503">
        <v>496422.0</v>
      </c>
      <c r="V180" s="503">
        <v>496422.0</v>
      </c>
      <c r="W180" s="503">
        <v>496422.0</v>
      </c>
      <c r="X180" s="1405">
        <v>2978532.0</v>
      </c>
      <c r="Y180" s="1392">
        <f t="shared" si="3"/>
        <v>0</v>
      </c>
      <c r="Z180" s="1393">
        <v>0.0</v>
      </c>
      <c r="AA180" s="1393">
        <v>0.0</v>
      </c>
      <c r="AB180" s="1393">
        <v>0.0</v>
      </c>
      <c r="AC180" s="1393">
        <v>0.0</v>
      </c>
      <c r="AD180" s="1393">
        <v>0.0</v>
      </c>
      <c r="AE180" s="1393">
        <v>0.0</v>
      </c>
      <c r="AF180" s="1393">
        <v>0.0</v>
      </c>
      <c r="AG180" s="1393">
        <v>0.0</v>
      </c>
      <c r="AH180" s="1393">
        <v>0.0</v>
      </c>
      <c r="AI180" s="1393">
        <v>0.0</v>
      </c>
      <c r="AJ180" s="1393">
        <v>0.0</v>
      </c>
      <c r="AK180" s="1393">
        <v>0.0</v>
      </c>
      <c r="AL180" s="1393">
        <v>0.0</v>
      </c>
      <c r="AM180" s="1393">
        <v>0.0</v>
      </c>
      <c r="AN180" s="1393">
        <v>0.0</v>
      </c>
      <c r="AO180" s="1393">
        <v>0.0</v>
      </c>
      <c r="AP180" s="1393">
        <v>0.0</v>
      </c>
      <c r="AQ180" s="1393">
        <v>0.0</v>
      </c>
      <c r="AR180" s="1393">
        <v>0.0</v>
      </c>
      <c r="AS180" s="1393">
        <v>0.0</v>
      </c>
      <c r="AT180" s="1393">
        <v>0.0</v>
      </c>
      <c r="AU180" s="1393">
        <v>0.0</v>
      </c>
      <c r="AV180" s="1393">
        <v>0.0</v>
      </c>
      <c r="AW180" s="1393">
        <v>0.0</v>
      </c>
      <c r="AX180" s="1393">
        <v>0.0</v>
      </c>
      <c r="AY180" s="1393">
        <v>0.0</v>
      </c>
      <c r="AZ180" s="1393">
        <v>0.0</v>
      </c>
      <c r="BA180" s="1393">
        <v>0.0</v>
      </c>
      <c r="BB180" s="1393">
        <v>0.0</v>
      </c>
      <c r="BC180" s="1393">
        <v>0.0</v>
      </c>
      <c r="BD180" s="1393">
        <v>0.0</v>
      </c>
      <c r="BE180" s="1393">
        <v>0.0</v>
      </c>
      <c r="BF180" s="1393">
        <v>0.0</v>
      </c>
      <c r="BG180" s="1393">
        <v>0.0</v>
      </c>
      <c r="BH180" s="1393">
        <v>0.0</v>
      </c>
      <c r="BI180" s="1393">
        <v>0.0</v>
      </c>
      <c r="BJ180" s="1393">
        <v>0.0</v>
      </c>
      <c r="BK180" s="1393">
        <v>0.0</v>
      </c>
      <c r="BL180" s="1393">
        <v>0.0</v>
      </c>
      <c r="BM180" s="1393">
        <v>0.0</v>
      </c>
      <c r="BN180" s="1393">
        <v>0.0</v>
      </c>
      <c r="BO180" s="1393">
        <v>0.0</v>
      </c>
      <c r="BP180" s="1393">
        <v>0.0</v>
      </c>
      <c r="BQ180" s="1393">
        <v>0.0</v>
      </c>
      <c r="BR180" s="1393">
        <v>0.0</v>
      </c>
      <c r="BS180" s="1393">
        <v>0.0</v>
      </c>
      <c r="BT180" s="1393">
        <v>0.0</v>
      </c>
      <c r="BU180" s="1393">
        <v>0.0</v>
      </c>
      <c r="BV180" s="1393">
        <v>67131.54130550881</v>
      </c>
      <c r="BW180" s="1393">
        <v>0.0</v>
      </c>
      <c r="BX180" s="1393">
        <v>0.0</v>
      </c>
      <c r="BY180" s="1393">
        <v>372552.0884470814</v>
      </c>
      <c r="BZ180" s="1393">
        <v>0.0</v>
      </c>
      <c r="CA180" s="1393">
        <v>0.0</v>
      </c>
      <c r="CB180" s="1393">
        <v>0.0</v>
      </c>
      <c r="CC180" s="1393">
        <v>21804.73777300605</v>
      </c>
      <c r="CD180" s="1393">
        <v>67547.5080855044</v>
      </c>
      <c r="CE180" s="1393">
        <v>0.0</v>
      </c>
      <c r="CF180" s="1393">
        <v>0.0</v>
      </c>
      <c r="CG180" s="1393">
        <v>374837.56010938203</v>
      </c>
      <c r="CH180" s="1393">
        <v>0.0</v>
      </c>
      <c r="CI180" s="1393">
        <v>0.0</v>
      </c>
      <c r="CJ180" s="1393">
        <v>0.0</v>
      </c>
      <c r="CK180" s="1393">
        <v>21939.846343190806</v>
      </c>
      <c r="CL180" s="1393">
        <v>65343.10107083716</v>
      </c>
      <c r="CM180" s="1393">
        <v>0.0</v>
      </c>
      <c r="CN180" s="1393">
        <v>0.0</v>
      </c>
      <c r="CO180" s="1393">
        <v>362698.6647972842</v>
      </c>
      <c r="CP180" s="1393">
        <v>0.0</v>
      </c>
      <c r="CQ180" s="1393">
        <v>0.0</v>
      </c>
      <c r="CR180" s="1393">
        <v>0.0</v>
      </c>
      <c r="CS180" s="1393">
        <v>21223.84137793835</v>
      </c>
      <c r="CT180" s="1393">
        <v>65197.84924600062</v>
      </c>
      <c r="CU180" s="1393">
        <v>0.0</v>
      </c>
      <c r="CV180" s="1393">
        <v>0.0</v>
      </c>
      <c r="CW180" s="1393">
        <v>361900.3428891135</v>
      </c>
      <c r="CX180" s="1393">
        <v>0.0</v>
      </c>
      <c r="CY180" s="1393">
        <v>0.0</v>
      </c>
      <c r="CZ180" s="1393">
        <v>0.0</v>
      </c>
      <c r="DA180" s="1393">
        <v>21176.662691287944</v>
      </c>
      <c r="DB180" s="1393">
        <v>64128.46549269482</v>
      </c>
      <c r="DC180" s="1393">
        <v>0.0</v>
      </c>
      <c r="DD180" s="1393">
        <v>0.0</v>
      </c>
      <c r="DE180" s="1393">
        <v>356021.38977985963</v>
      </c>
      <c r="DF180" s="1393">
        <v>0.0</v>
      </c>
      <c r="DG180" s="1393">
        <v>0.0</v>
      </c>
      <c r="DH180" s="1393">
        <v>0.0</v>
      </c>
      <c r="DI180" s="1393">
        <v>20829.320266757128</v>
      </c>
      <c r="DJ180" s="1393">
        <v>65131.918005817795</v>
      </c>
      <c r="DK180" s="1393">
        <v>0.0</v>
      </c>
      <c r="DL180" s="1393">
        <v>0.0</v>
      </c>
      <c r="DM180" s="1393">
        <v>361536.48830572993</v>
      </c>
      <c r="DN180" s="1393">
        <v>0.0</v>
      </c>
      <c r="DO180" s="1393">
        <v>0.0</v>
      </c>
      <c r="DP180" s="1393">
        <v>0.0</v>
      </c>
      <c r="DQ180" s="1393">
        <v>21155.247818706768</v>
      </c>
      <c r="DR180" s="1379">
        <f t="shared" si="52"/>
        <v>2712156.574</v>
      </c>
    </row>
    <row r="181" hidden="1">
      <c r="A181" s="1401"/>
      <c r="B181" s="1403">
        <f t="shared" si="53"/>
        <v>24</v>
      </c>
      <c r="C181" s="1404" t="s">
        <v>1457</v>
      </c>
      <c r="D181" s="185" t="s">
        <v>186</v>
      </c>
      <c r="E181" s="185" t="s">
        <v>1387</v>
      </c>
      <c r="F181" s="185" t="s">
        <v>1910</v>
      </c>
      <c r="G181" s="185" t="s">
        <v>86</v>
      </c>
      <c r="H181" s="185" t="s">
        <v>86</v>
      </c>
      <c r="I181" s="185" t="s">
        <v>103</v>
      </c>
      <c r="J181" s="185" t="s">
        <v>253</v>
      </c>
      <c r="K181" s="185" t="s">
        <v>254</v>
      </c>
      <c r="L181" s="1390"/>
      <c r="M181" s="503"/>
      <c r="N181" s="503"/>
      <c r="O181" s="503"/>
      <c r="P181" s="503"/>
      <c r="Q181" s="503"/>
      <c r="R181" s="503"/>
      <c r="S181" s="503">
        <v>222534.0</v>
      </c>
      <c r="T181" s="503">
        <v>222534.0</v>
      </c>
      <c r="U181" s="503">
        <v>222534.0</v>
      </c>
      <c r="V181" s="503">
        <v>222534.0</v>
      </c>
      <c r="W181" s="503">
        <v>222534.0</v>
      </c>
      <c r="X181" s="1405">
        <v>1112670.0</v>
      </c>
      <c r="Y181" s="1392">
        <f t="shared" si="3"/>
        <v>0</v>
      </c>
      <c r="Z181" s="1393">
        <v>0.0</v>
      </c>
      <c r="AA181" s="1393">
        <v>0.0</v>
      </c>
      <c r="AB181" s="1393">
        <v>0.0</v>
      </c>
      <c r="AC181" s="1393">
        <v>0.0</v>
      </c>
      <c r="AD181" s="1393">
        <v>0.0</v>
      </c>
      <c r="AE181" s="1393">
        <v>0.0</v>
      </c>
      <c r="AF181" s="1393">
        <v>0.0</v>
      </c>
      <c r="AG181" s="1393">
        <v>0.0</v>
      </c>
      <c r="AH181" s="1393">
        <v>0.0</v>
      </c>
      <c r="AI181" s="1393">
        <v>0.0</v>
      </c>
      <c r="AJ181" s="1393">
        <v>0.0</v>
      </c>
      <c r="AK181" s="1393">
        <v>0.0</v>
      </c>
      <c r="AL181" s="1393">
        <v>0.0</v>
      </c>
      <c r="AM181" s="1393">
        <v>0.0</v>
      </c>
      <c r="AN181" s="1393">
        <v>0.0</v>
      </c>
      <c r="AO181" s="1393">
        <v>0.0</v>
      </c>
      <c r="AP181" s="1393">
        <v>0.0</v>
      </c>
      <c r="AQ181" s="1393">
        <v>0.0</v>
      </c>
      <c r="AR181" s="1393">
        <v>0.0</v>
      </c>
      <c r="AS181" s="1393">
        <v>0.0</v>
      </c>
      <c r="AT181" s="1393">
        <v>0.0</v>
      </c>
      <c r="AU181" s="1393">
        <v>0.0</v>
      </c>
      <c r="AV181" s="1393">
        <v>0.0</v>
      </c>
      <c r="AW181" s="1393">
        <v>0.0</v>
      </c>
      <c r="AX181" s="1393">
        <v>0.0</v>
      </c>
      <c r="AY181" s="1393">
        <v>0.0</v>
      </c>
      <c r="AZ181" s="1393">
        <v>0.0</v>
      </c>
      <c r="BA181" s="1393">
        <v>0.0</v>
      </c>
      <c r="BB181" s="1393">
        <v>0.0</v>
      </c>
      <c r="BC181" s="1393">
        <v>0.0</v>
      </c>
      <c r="BD181" s="1393">
        <v>0.0</v>
      </c>
      <c r="BE181" s="1393">
        <v>0.0</v>
      </c>
      <c r="BF181" s="1393">
        <v>0.0</v>
      </c>
      <c r="BG181" s="1393">
        <v>0.0</v>
      </c>
      <c r="BH181" s="1393">
        <v>0.0</v>
      </c>
      <c r="BI181" s="1393">
        <v>0.0</v>
      </c>
      <c r="BJ181" s="1393">
        <v>0.0</v>
      </c>
      <c r="BK181" s="1393">
        <v>0.0</v>
      </c>
      <c r="BL181" s="1393">
        <v>0.0</v>
      </c>
      <c r="BM181" s="1393">
        <v>0.0</v>
      </c>
      <c r="BN181" s="1393">
        <v>0.0</v>
      </c>
      <c r="BO181" s="1393">
        <v>0.0</v>
      </c>
      <c r="BP181" s="1393">
        <v>0.0</v>
      </c>
      <c r="BQ181" s="1393">
        <v>0.0</v>
      </c>
      <c r="BR181" s="1393">
        <v>0.0</v>
      </c>
      <c r="BS181" s="1393">
        <v>0.0</v>
      </c>
      <c r="BT181" s="1393">
        <v>0.0</v>
      </c>
      <c r="BU181" s="1393">
        <v>0.0</v>
      </c>
      <c r="BV181" s="1393">
        <v>0.0</v>
      </c>
      <c r="BW181" s="1393">
        <v>0.0</v>
      </c>
      <c r="BX181" s="1393">
        <v>0.0</v>
      </c>
      <c r="BY181" s="1393">
        <v>0.0</v>
      </c>
      <c r="BZ181" s="1393">
        <v>0.0</v>
      </c>
      <c r="CA181" s="1393">
        <v>0.0</v>
      </c>
      <c r="CB181" s="1393">
        <v>0.0</v>
      </c>
      <c r="CC181" s="1393">
        <v>0.0</v>
      </c>
      <c r="CD181" s="1393">
        <v>30279.917417639903</v>
      </c>
      <c r="CE181" s="1393">
        <v>0.0</v>
      </c>
      <c r="CF181" s="1393">
        <v>0.0</v>
      </c>
      <c r="CG181" s="1393">
        <v>168030.63039386092</v>
      </c>
      <c r="CH181" s="1393">
        <v>0.0</v>
      </c>
      <c r="CI181" s="1393">
        <v>0.0</v>
      </c>
      <c r="CJ181" s="1393">
        <v>0.0</v>
      </c>
      <c r="CK181" s="1393">
        <v>9835.103533154499</v>
      </c>
      <c r="CL181" s="1393">
        <v>29291.734962789073</v>
      </c>
      <c r="CM181" s="1393">
        <v>0.0</v>
      </c>
      <c r="CN181" s="1393">
        <v>0.0</v>
      </c>
      <c r="CO181" s="1393">
        <v>162589.0566332653</v>
      </c>
      <c r="CP181" s="1393">
        <v>0.0</v>
      </c>
      <c r="CQ181" s="1393">
        <v>0.0</v>
      </c>
      <c r="CR181" s="1393">
        <v>0.0</v>
      </c>
      <c r="CS181" s="1393">
        <v>9514.135790110297</v>
      </c>
      <c r="CT181" s="1393">
        <v>29226.62207579338</v>
      </c>
      <c r="CU181" s="1393">
        <v>0.0</v>
      </c>
      <c r="CV181" s="1393">
        <v>0.0</v>
      </c>
      <c r="CW181" s="1393">
        <v>162231.1881916716</v>
      </c>
      <c r="CX181" s="1393">
        <v>0.0</v>
      </c>
      <c r="CY181" s="1393">
        <v>0.0</v>
      </c>
      <c r="CZ181" s="1393">
        <v>0.0</v>
      </c>
      <c r="DA181" s="1393">
        <v>9492.986723680804</v>
      </c>
      <c r="DB181" s="1393">
        <v>28747.243151897677</v>
      </c>
      <c r="DC181" s="1393">
        <v>0.0</v>
      </c>
      <c r="DD181" s="1393">
        <v>0.0</v>
      </c>
      <c r="DE181" s="1393">
        <v>159595.79541855777</v>
      </c>
      <c r="DF181" s="1393">
        <v>0.0</v>
      </c>
      <c r="DG181" s="1393">
        <v>0.0</v>
      </c>
      <c r="DH181" s="1393">
        <v>0.0</v>
      </c>
      <c r="DI181" s="1393">
        <v>9337.281498891127</v>
      </c>
      <c r="DJ181" s="1393">
        <v>29197.06669226315</v>
      </c>
      <c r="DK181" s="1393">
        <v>0.0</v>
      </c>
      <c r="DL181" s="1393">
        <v>0.0</v>
      </c>
      <c r="DM181" s="1393">
        <v>162068.08096463754</v>
      </c>
      <c r="DN181" s="1393">
        <v>0.0</v>
      </c>
      <c r="DO181" s="1393">
        <v>0.0</v>
      </c>
      <c r="DP181" s="1393">
        <v>0.0</v>
      </c>
      <c r="DQ181" s="1393">
        <v>9483.386953213378</v>
      </c>
      <c r="DR181" s="1379">
        <f t="shared" si="52"/>
        <v>1008920.23</v>
      </c>
    </row>
    <row r="182" hidden="1">
      <c r="A182" s="1401"/>
      <c r="B182" s="1403">
        <f t="shared" si="53"/>
        <v>25</v>
      </c>
      <c r="C182" s="1404" t="s">
        <v>1460</v>
      </c>
      <c r="D182" s="185" t="s">
        <v>186</v>
      </c>
      <c r="E182" s="185" t="s">
        <v>1387</v>
      </c>
      <c r="F182" s="185" t="s">
        <v>1910</v>
      </c>
      <c r="G182" s="185" t="s">
        <v>86</v>
      </c>
      <c r="H182" s="185" t="s">
        <v>86</v>
      </c>
      <c r="I182" s="185" t="s">
        <v>103</v>
      </c>
      <c r="J182" s="185" t="s">
        <v>253</v>
      </c>
      <c r="K182" s="185" t="s">
        <v>254</v>
      </c>
      <c r="L182" s="1390"/>
      <c r="M182" s="503"/>
      <c r="N182" s="503"/>
      <c r="O182" s="503"/>
      <c r="P182" s="503">
        <v>1495926.0</v>
      </c>
      <c r="Q182" s="503">
        <v>1495926.0</v>
      </c>
      <c r="R182" s="503">
        <v>1495926.0</v>
      </c>
      <c r="S182" s="503">
        <v>1495926.0</v>
      </c>
      <c r="T182" s="503">
        <v>1495926.0</v>
      </c>
      <c r="U182" s="503">
        <v>1495926.0</v>
      </c>
      <c r="V182" s="503">
        <v>1495926.0</v>
      </c>
      <c r="W182" s="503">
        <v>1495926.0</v>
      </c>
      <c r="X182" s="1405">
        <v>1.1967408E7</v>
      </c>
      <c r="Y182" s="1392">
        <f t="shared" si="3"/>
        <v>0</v>
      </c>
      <c r="Z182" s="1393">
        <v>0.0</v>
      </c>
      <c r="AA182" s="1393">
        <v>0.0</v>
      </c>
      <c r="AB182" s="1393">
        <v>0.0</v>
      </c>
      <c r="AC182" s="1393">
        <v>0.0</v>
      </c>
      <c r="AD182" s="1393">
        <v>0.0</v>
      </c>
      <c r="AE182" s="1393">
        <v>0.0</v>
      </c>
      <c r="AF182" s="1393">
        <v>0.0</v>
      </c>
      <c r="AG182" s="1393">
        <v>0.0</v>
      </c>
      <c r="AH182" s="1393">
        <v>0.0</v>
      </c>
      <c r="AI182" s="1393">
        <v>0.0</v>
      </c>
      <c r="AJ182" s="1393">
        <v>0.0</v>
      </c>
      <c r="AK182" s="1393">
        <v>0.0</v>
      </c>
      <c r="AL182" s="1393">
        <v>0.0</v>
      </c>
      <c r="AM182" s="1393">
        <v>0.0</v>
      </c>
      <c r="AN182" s="1393">
        <v>0.0</v>
      </c>
      <c r="AO182" s="1393">
        <v>0.0</v>
      </c>
      <c r="AP182" s="1393">
        <v>0.0</v>
      </c>
      <c r="AQ182" s="1393">
        <v>0.0</v>
      </c>
      <c r="AR182" s="1393">
        <v>0.0</v>
      </c>
      <c r="AS182" s="1393">
        <v>0.0</v>
      </c>
      <c r="AT182" s="1393">
        <v>0.0</v>
      </c>
      <c r="AU182" s="1393">
        <v>0.0</v>
      </c>
      <c r="AV182" s="1393">
        <v>0.0</v>
      </c>
      <c r="AW182" s="1393">
        <v>0.0</v>
      </c>
      <c r="AX182" s="1393">
        <v>0.0</v>
      </c>
      <c r="AY182" s="1393">
        <v>0.0</v>
      </c>
      <c r="AZ182" s="1393">
        <v>0.0</v>
      </c>
      <c r="BA182" s="1393">
        <v>0.0</v>
      </c>
      <c r="BB182" s="1393">
        <v>0.0</v>
      </c>
      <c r="BC182" s="1393">
        <v>0.0</v>
      </c>
      <c r="BD182" s="1393">
        <v>0.0</v>
      </c>
      <c r="BE182" s="1393">
        <v>0.0</v>
      </c>
      <c r="BF182" s="1393">
        <v>190549.3687761979</v>
      </c>
      <c r="BG182" s="1393">
        <v>0.0</v>
      </c>
      <c r="BH182" s="1393">
        <v>0.0</v>
      </c>
      <c r="BI182" s="1393">
        <v>1058156.238724133</v>
      </c>
      <c r="BJ182" s="1393">
        <v>0.0</v>
      </c>
      <c r="BK182" s="1393">
        <v>0.0</v>
      </c>
      <c r="BL182" s="1393">
        <v>0.0</v>
      </c>
      <c r="BM182" s="1393">
        <v>61891.60770297813</v>
      </c>
      <c r="BN182" s="1393">
        <v>193403.56986476545</v>
      </c>
      <c r="BO182" s="1393">
        <v>0.0</v>
      </c>
      <c r="BP182" s="1393">
        <v>0.0</v>
      </c>
      <c r="BQ182" s="1393">
        <v>1073785.1459548746</v>
      </c>
      <c r="BR182" s="1393">
        <v>0.0</v>
      </c>
      <c r="BS182" s="1393">
        <v>0.0</v>
      </c>
      <c r="BT182" s="1393">
        <v>0.0</v>
      </c>
      <c r="BU182" s="1393">
        <v>62818.6697825514</v>
      </c>
      <c r="BV182" s="1393">
        <v>202295.2610057261</v>
      </c>
      <c r="BW182" s="1393">
        <v>0.0</v>
      </c>
      <c r="BX182" s="1393">
        <v>0.0</v>
      </c>
      <c r="BY182" s="1393">
        <v>1122654.425997012</v>
      </c>
      <c r="BZ182" s="1393">
        <v>0.0</v>
      </c>
      <c r="CA182" s="1393">
        <v>0.0</v>
      </c>
      <c r="CB182" s="1393">
        <v>0.0</v>
      </c>
      <c r="CC182" s="1393">
        <v>65706.74578850625</v>
      </c>
      <c r="CD182" s="1393">
        <v>203548.74195808457</v>
      </c>
      <c r="CE182" s="1393">
        <v>0.0</v>
      </c>
      <c r="CF182" s="1393">
        <v>0.0</v>
      </c>
      <c r="CG182" s="1393">
        <v>1129541.5028830057</v>
      </c>
      <c r="CH182" s="1393">
        <v>0.0</v>
      </c>
      <c r="CI182" s="1393">
        <v>0.0</v>
      </c>
      <c r="CJ182" s="1393">
        <v>0.0</v>
      </c>
      <c r="CK182" s="1393">
        <v>66113.88411630437</v>
      </c>
      <c r="CL182" s="1393">
        <v>196905.9465787035</v>
      </c>
      <c r="CM182" s="1393">
        <v>0.0</v>
      </c>
      <c r="CN182" s="1393">
        <v>0.0</v>
      </c>
      <c r="CO182" s="1393">
        <v>1092961.9614673443</v>
      </c>
      <c r="CP182" s="1393">
        <v>0.0</v>
      </c>
      <c r="CQ182" s="1393">
        <v>0.0</v>
      </c>
      <c r="CR182" s="1393">
        <v>0.0</v>
      </c>
      <c r="CS182" s="1393">
        <v>63956.26329440236</v>
      </c>
      <c r="CT182" s="1393">
        <v>196468.2424049956</v>
      </c>
      <c r="CU182" s="1393">
        <v>0.0</v>
      </c>
      <c r="CV182" s="1393">
        <v>0.0</v>
      </c>
      <c r="CW182" s="1393">
        <v>1090556.285452176</v>
      </c>
      <c r="CX182" s="1393">
        <v>0.0</v>
      </c>
      <c r="CY182" s="1393">
        <v>0.0</v>
      </c>
      <c r="CZ182" s="1393">
        <v>0.0</v>
      </c>
      <c r="DA182" s="1393">
        <v>63814.09428495839</v>
      </c>
      <c r="DB182" s="1393">
        <v>193245.7442873704</v>
      </c>
      <c r="DC182" s="1393">
        <v>0.0</v>
      </c>
      <c r="DD182" s="1393">
        <v>0.0</v>
      </c>
      <c r="DE182" s="1393">
        <v>1072840.5540605097</v>
      </c>
      <c r="DF182" s="1393">
        <v>0.0</v>
      </c>
      <c r="DG182" s="1393">
        <v>0.0</v>
      </c>
      <c r="DH182" s="1393">
        <v>0.0</v>
      </c>
      <c r="DI182" s="1393">
        <v>62767.407063685576</v>
      </c>
      <c r="DJ182" s="1393">
        <v>196269.5641506037</v>
      </c>
      <c r="DK182" s="1393">
        <v>0.0</v>
      </c>
      <c r="DL182" s="1393">
        <v>0.0</v>
      </c>
      <c r="DM182" s="1393">
        <v>1089459.84022714</v>
      </c>
      <c r="DN182" s="1393">
        <v>0.0</v>
      </c>
      <c r="DO182" s="1393">
        <v>0.0</v>
      </c>
      <c r="DP182" s="1393">
        <v>0.0</v>
      </c>
      <c r="DQ182" s="1393">
        <v>63749.562365178695</v>
      </c>
      <c r="DR182" s="1379">
        <f t="shared" si="52"/>
        <v>10813460.63</v>
      </c>
    </row>
    <row r="183" hidden="1">
      <c r="A183" s="1401"/>
      <c r="B183" s="1403">
        <f t="shared" si="53"/>
        <v>26</v>
      </c>
      <c r="C183" s="1404" t="s">
        <v>1463</v>
      </c>
      <c r="D183" s="185" t="s">
        <v>186</v>
      </c>
      <c r="E183" s="185" t="s">
        <v>1387</v>
      </c>
      <c r="F183" s="185" t="s">
        <v>1910</v>
      </c>
      <c r="G183" s="185" t="s">
        <v>86</v>
      </c>
      <c r="H183" s="185" t="s">
        <v>86</v>
      </c>
      <c r="I183" s="185" t="s">
        <v>103</v>
      </c>
      <c r="J183" s="185" t="s">
        <v>253</v>
      </c>
      <c r="K183" s="185" t="s">
        <v>254</v>
      </c>
      <c r="L183" s="1390"/>
      <c r="M183" s="503"/>
      <c r="N183" s="503"/>
      <c r="O183" s="503"/>
      <c r="P183" s="503"/>
      <c r="Q183" s="503">
        <v>3502656.0</v>
      </c>
      <c r="R183" s="503">
        <v>3502656.0</v>
      </c>
      <c r="S183" s="503">
        <v>3502656.0</v>
      </c>
      <c r="T183" s="503">
        <v>3502656.0</v>
      </c>
      <c r="U183" s="503">
        <v>3502656.0</v>
      </c>
      <c r="V183" s="503">
        <v>3502656.0</v>
      </c>
      <c r="W183" s="503">
        <v>3502656.0</v>
      </c>
      <c r="X183" s="1405">
        <v>2.4518592E7</v>
      </c>
      <c r="Y183" s="1392">
        <f t="shared" si="3"/>
        <v>0</v>
      </c>
      <c r="Z183" s="1393">
        <v>0.0</v>
      </c>
      <c r="AA183" s="1393">
        <v>0.0</v>
      </c>
      <c r="AB183" s="1393">
        <v>0.0</v>
      </c>
      <c r="AC183" s="1393">
        <v>0.0</v>
      </c>
      <c r="AD183" s="1393">
        <v>0.0</v>
      </c>
      <c r="AE183" s="1393">
        <v>0.0</v>
      </c>
      <c r="AF183" s="1393">
        <v>0.0</v>
      </c>
      <c r="AG183" s="1393">
        <v>0.0</v>
      </c>
      <c r="AH183" s="1393">
        <v>0.0</v>
      </c>
      <c r="AI183" s="1393">
        <v>0.0</v>
      </c>
      <c r="AJ183" s="1393">
        <v>0.0</v>
      </c>
      <c r="AK183" s="1393">
        <v>0.0</v>
      </c>
      <c r="AL183" s="1393">
        <v>0.0</v>
      </c>
      <c r="AM183" s="1393">
        <v>0.0</v>
      </c>
      <c r="AN183" s="1393">
        <v>0.0</v>
      </c>
      <c r="AO183" s="1393">
        <v>0.0</v>
      </c>
      <c r="AP183" s="1393">
        <v>0.0</v>
      </c>
      <c r="AQ183" s="1393">
        <v>0.0</v>
      </c>
      <c r="AR183" s="1393">
        <v>0.0</v>
      </c>
      <c r="AS183" s="1393">
        <v>0.0</v>
      </c>
      <c r="AT183" s="1393">
        <v>0.0</v>
      </c>
      <c r="AU183" s="1393">
        <v>0.0</v>
      </c>
      <c r="AV183" s="1393">
        <v>0.0</v>
      </c>
      <c r="AW183" s="1393">
        <v>0.0</v>
      </c>
      <c r="AX183" s="1393">
        <v>0.0</v>
      </c>
      <c r="AY183" s="1393">
        <v>0.0</v>
      </c>
      <c r="AZ183" s="1393">
        <v>0.0</v>
      </c>
      <c r="BA183" s="1393">
        <v>0.0</v>
      </c>
      <c r="BB183" s="1393">
        <v>0.0</v>
      </c>
      <c r="BC183" s="1393">
        <v>0.0</v>
      </c>
      <c r="BD183" s="1393">
        <v>0.0</v>
      </c>
      <c r="BE183" s="1393">
        <v>0.0</v>
      </c>
      <c r="BF183" s="1393">
        <v>0.0</v>
      </c>
      <c r="BG183" s="1393">
        <v>0.0</v>
      </c>
      <c r="BH183" s="1393">
        <v>0.0</v>
      </c>
      <c r="BI183" s="1393">
        <v>0.0</v>
      </c>
      <c r="BJ183" s="1393">
        <v>0.0</v>
      </c>
      <c r="BK183" s="1393">
        <v>0.0</v>
      </c>
      <c r="BL183" s="1393">
        <v>0.0</v>
      </c>
      <c r="BM183" s="1393">
        <v>0.0</v>
      </c>
      <c r="BN183" s="1393">
        <v>452847.3830979874</v>
      </c>
      <c r="BO183" s="1393">
        <v>0.0</v>
      </c>
      <c r="BP183" s="1393">
        <v>0.0</v>
      </c>
      <c r="BQ183" s="1393">
        <v>2514228.634430926</v>
      </c>
      <c r="BR183" s="1393">
        <v>0.0</v>
      </c>
      <c r="BS183" s="1393">
        <v>0.0</v>
      </c>
      <c r="BT183" s="1393">
        <v>0.0</v>
      </c>
      <c r="BU183" s="1393">
        <v>147087.61705182766</v>
      </c>
      <c r="BV183" s="1393">
        <v>473666.9525987733</v>
      </c>
      <c r="BW183" s="1393">
        <v>0.0</v>
      </c>
      <c r="BX183" s="1393">
        <v>0.0</v>
      </c>
      <c r="BY183" s="1393">
        <v>2628654.265749101</v>
      </c>
      <c r="BZ183" s="1393">
        <v>0.0</v>
      </c>
      <c r="CA183" s="1393">
        <v>0.0</v>
      </c>
      <c r="CB183" s="1393">
        <v>0.0</v>
      </c>
      <c r="CC183" s="1393">
        <v>153849.94135845368</v>
      </c>
      <c r="CD183" s="1393">
        <v>476601.93238966144</v>
      </c>
      <c r="CE183" s="1393">
        <v>0.0</v>
      </c>
      <c r="CF183" s="1393">
        <v>0.0</v>
      </c>
      <c r="CG183" s="1393">
        <v>2644780.104311428</v>
      </c>
      <c r="CH183" s="1393">
        <v>0.0</v>
      </c>
      <c r="CI183" s="1393">
        <v>0.0</v>
      </c>
      <c r="CJ183" s="1393">
        <v>0.0</v>
      </c>
      <c r="CK183" s="1393">
        <v>154803.24085768827</v>
      </c>
      <c r="CL183" s="1393">
        <v>461048.07003793993</v>
      </c>
      <c r="CM183" s="1393">
        <v>0.0</v>
      </c>
      <c r="CN183" s="1393">
        <v>0.0</v>
      </c>
      <c r="CO183" s="1393">
        <v>2559130.4463625625</v>
      </c>
      <c r="CP183" s="1393">
        <v>0.0</v>
      </c>
      <c r="CQ183" s="1393">
        <v>0.0</v>
      </c>
      <c r="CR183" s="1393">
        <v>0.0</v>
      </c>
      <c r="CS183" s="1393">
        <v>149751.25064055188</v>
      </c>
      <c r="CT183" s="1393">
        <v>460023.20172877016</v>
      </c>
      <c r="CU183" s="1393">
        <v>0.0</v>
      </c>
      <c r="CV183" s="1393">
        <v>0.0</v>
      </c>
      <c r="CW183" s="1393">
        <v>2553497.6439855825</v>
      </c>
      <c r="CX183" s="1393">
        <v>0.0</v>
      </c>
      <c r="CY183" s="1393">
        <v>0.0</v>
      </c>
      <c r="CZ183" s="1393">
        <v>0.0</v>
      </c>
      <c r="DA183" s="1393">
        <v>149418.36710624403</v>
      </c>
      <c r="DB183" s="1393">
        <v>452477.84028262337</v>
      </c>
      <c r="DC183" s="1393">
        <v>0.0</v>
      </c>
      <c r="DD183" s="1393">
        <v>0.0</v>
      </c>
      <c r="DE183" s="1393">
        <v>2512016.90706851</v>
      </c>
      <c r="DF183" s="1393">
        <v>0.0</v>
      </c>
      <c r="DG183" s="1393">
        <v>0.0</v>
      </c>
      <c r="DH183" s="1393">
        <v>0.0</v>
      </c>
      <c r="DI183" s="1393">
        <v>146967.58727106868</v>
      </c>
      <c r="DJ183" s="1393">
        <v>459558.0038648282</v>
      </c>
      <c r="DK183" s="1393">
        <v>0.0</v>
      </c>
      <c r="DL183" s="1393">
        <v>0.0</v>
      </c>
      <c r="DM183" s="1393">
        <v>2550930.357605011</v>
      </c>
      <c r="DN183" s="1393">
        <v>0.0</v>
      </c>
      <c r="DO183" s="1393">
        <v>0.0</v>
      </c>
      <c r="DP183" s="1393">
        <v>0.0</v>
      </c>
      <c r="DQ183" s="1393">
        <v>149267.2679770038</v>
      </c>
      <c r="DR183" s="1379">
        <f t="shared" si="52"/>
        <v>22250607.02</v>
      </c>
    </row>
    <row r="184" hidden="1">
      <c r="A184" s="1401"/>
      <c r="B184" s="1403">
        <f t="shared" si="53"/>
        <v>27</v>
      </c>
      <c r="C184" s="1404" t="s">
        <v>1454</v>
      </c>
      <c r="D184" s="185" t="s">
        <v>186</v>
      </c>
      <c r="E184" s="185" t="s">
        <v>1387</v>
      </c>
      <c r="F184" s="185" t="s">
        <v>1910</v>
      </c>
      <c r="G184" s="185" t="s">
        <v>86</v>
      </c>
      <c r="H184" s="185" t="s">
        <v>86</v>
      </c>
      <c r="I184" s="185" t="s">
        <v>103</v>
      </c>
      <c r="J184" s="185" t="s">
        <v>253</v>
      </c>
      <c r="K184" s="185" t="s">
        <v>254</v>
      </c>
      <c r="L184" s="1390"/>
      <c r="M184" s="503"/>
      <c r="N184" s="503"/>
      <c r="O184" s="503"/>
      <c r="P184" s="503"/>
      <c r="Q184" s="503"/>
      <c r="R184" s="503">
        <v>496422.0</v>
      </c>
      <c r="S184" s="503">
        <v>496422.0</v>
      </c>
      <c r="T184" s="503">
        <v>496422.0</v>
      </c>
      <c r="U184" s="503">
        <v>496422.0</v>
      </c>
      <c r="V184" s="503">
        <v>496422.0</v>
      </c>
      <c r="W184" s="503">
        <v>496422.0</v>
      </c>
      <c r="X184" s="1405">
        <v>2978532.0</v>
      </c>
      <c r="Y184" s="1392">
        <f t="shared" si="3"/>
        <v>0</v>
      </c>
      <c r="Z184" s="1393">
        <v>0.0</v>
      </c>
      <c r="AA184" s="1393">
        <v>0.0</v>
      </c>
      <c r="AB184" s="1393">
        <v>0.0</v>
      </c>
      <c r="AC184" s="1393">
        <v>0.0</v>
      </c>
      <c r="AD184" s="1393">
        <v>0.0</v>
      </c>
      <c r="AE184" s="1393">
        <v>0.0</v>
      </c>
      <c r="AF184" s="1393">
        <v>0.0</v>
      </c>
      <c r="AG184" s="1393">
        <v>0.0</v>
      </c>
      <c r="AH184" s="1393">
        <v>0.0</v>
      </c>
      <c r="AI184" s="1393">
        <v>0.0</v>
      </c>
      <c r="AJ184" s="1393">
        <v>0.0</v>
      </c>
      <c r="AK184" s="1393">
        <v>0.0</v>
      </c>
      <c r="AL184" s="1393">
        <v>0.0</v>
      </c>
      <c r="AM184" s="1393">
        <v>0.0</v>
      </c>
      <c r="AN184" s="1393">
        <v>0.0</v>
      </c>
      <c r="AO184" s="1393">
        <v>0.0</v>
      </c>
      <c r="AP184" s="1393">
        <v>0.0</v>
      </c>
      <c r="AQ184" s="1393">
        <v>0.0</v>
      </c>
      <c r="AR184" s="1393">
        <v>0.0</v>
      </c>
      <c r="AS184" s="1393">
        <v>0.0</v>
      </c>
      <c r="AT184" s="1393">
        <v>0.0</v>
      </c>
      <c r="AU184" s="1393">
        <v>0.0</v>
      </c>
      <c r="AV184" s="1393">
        <v>0.0</v>
      </c>
      <c r="AW184" s="1393">
        <v>0.0</v>
      </c>
      <c r="AX184" s="1393">
        <v>0.0</v>
      </c>
      <c r="AY184" s="1393">
        <v>0.0</v>
      </c>
      <c r="AZ184" s="1393">
        <v>0.0</v>
      </c>
      <c r="BA184" s="1393">
        <v>0.0</v>
      </c>
      <c r="BB184" s="1393">
        <v>0.0</v>
      </c>
      <c r="BC184" s="1393">
        <v>0.0</v>
      </c>
      <c r="BD184" s="1393">
        <v>0.0</v>
      </c>
      <c r="BE184" s="1393">
        <v>0.0</v>
      </c>
      <c r="BF184" s="1393">
        <v>0.0</v>
      </c>
      <c r="BG184" s="1393">
        <v>0.0</v>
      </c>
      <c r="BH184" s="1393">
        <v>0.0</v>
      </c>
      <c r="BI184" s="1393">
        <v>0.0</v>
      </c>
      <c r="BJ184" s="1393">
        <v>0.0</v>
      </c>
      <c r="BK184" s="1393">
        <v>0.0</v>
      </c>
      <c r="BL184" s="1393">
        <v>0.0</v>
      </c>
      <c r="BM184" s="1393">
        <v>0.0</v>
      </c>
      <c r="BN184" s="1393">
        <v>0.0</v>
      </c>
      <c r="BO184" s="1393">
        <v>0.0</v>
      </c>
      <c r="BP184" s="1393">
        <v>0.0</v>
      </c>
      <c r="BQ184" s="1393">
        <v>0.0</v>
      </c>
      <c r="BR184" s="1393">
        <v>0.0</v>
      </c>
      <c r="BS184" s="1393">
        <v>0.0</v>
      </c>
      <c r="BT184" s="1393">
        <v>0.0</v>
      </c>
      <c r="BU184" s="1393">
        <v>0.0</v>
      </c>
      <c r="BV184" s="1393">
        <v>67131.54130550881</v>
      </c>
      <c r="BW184" s="1393">
        <v>0.0</v>
      </c>
      <c r="BX184" s="1393">
        <v>0.0</v>
      </c>
      <c r="BY184" s="1393">
        <v>372552.0884470814</v>
      </c>
      <c r="BZ184" s="1393">
        <v>0.0</v>
      </c>
      <c r="CA184" s="1393">
        <v>0.0</v>
      </c>
      <c r="CB184" s="1393">
        <v>0.0</v>
      </c>
      <c r="CC184" s="1393">
        <v>21804.73777300605</v>
      </c>
      <c r="CD184" s="1393">
        <v>67547.5080855044</v>
      </c>
      <c r="CE184" s="1393">
        <v>0.0</v>
      </c>
      <c r="CF184" s="1393">
        <v>0.0</v>
      </c>
      <c r="CG184" s="1393">
        <v>374837.56010938203</v>
      </c>
      <c r="CH184" s="1393">
        <v>0.0</v>
      </c>
      <c r="CI184" s="1393">
        <v>0.0</v>
      </c>
      <c r="CJ184" s="1393">
        <v>0.0</v>
      </c>
      <c r="CK184" s="1393">
        <v>21939.846343190806</v>
      </c>
      <c r="CL184" s="1393">
        <v>65343.10107083716</v>
      </c>
      <c r="CM184" s="1393">
        <v>0.0</v>
      </c>
      <c r="CN184" s="1393">
        <v>0.0</v>
      </c>
      <c r="CO184" s="1393">
        <v>362698.6647972842</v>
      </c>
      <c r="CP184" s="1393">
        <v>0.0</v>
      </c>
      <c r="CQ184" s="1393">
        <v>0.0</v>
      </c>
      <c r="CR184" s="1393">
        <v>0.0</v>
      </c>
      <c r="CS184" s="1393">
        <v>21223.84137793835</v>
      </c>
      <c r="CT184" s="1393">
        <v>65197.84924600062</v>
      </c>
      <c r="CU184" s="1393">
        <v>0.0</v>
      </c>
      <c r="CV184" s="1393">
        <v>0.0</v>
      </c>
      <c r="CW184" s="1393">
        <v>361900.3428891135</v>
      </c>
      <c r="CX184" s="1393">
        <v>0.0</v>
      </c>
      <c r="CY184" s="1393">
        <v>0.0</v>
      </c>
      <c r="CZ184" s="1393">
        <v>0.0</v>
      </c>
      <c r="DA184" s="1393">
        <v>21176.662691287944</v>
      </c>
      <c r="DB184" s="1393">
        <v>64128.46549269482</v>
      </c>
      <c r="DC184" s="1393">
        <v>0.0</v>
      </c>
      <c r="DD184" s="1393">
        <v>0.0</v>
      </c>
      <c r="DE184" s="1393">
        <v>356021.38977985963</v>
      </c>
      <c r="DF184" s="1393">
        <v>0.0</v>
      </c>
      <c r="DG184" s="1393">
        <v>0.0</v>
      </c>
      <c r="DH184" s="1393">
        <v>0.0</v>
      </c>
      <c r="DI184" s="1393">
        <v>20829.320266757128</v>
      </c>
      <c r="DJ184" s="1393">
        <v>65131.918005817795</v>
      </c>
      <c r="DK184" s="1393">
        <v>0.0</v>
      </c>
      <c r="DL184" s="1393">
        <v>0.0</v>
      </c>
      <c r="DM184" s="1393">
        <v>361536.48830572993</v>
      </c>
      <c r="DN184" s="1393">
        <v>0.0</v>
      </c>
      <c r="DO184" s="1393">
        <v>0.0</v>
      </c>
      <c r="DP184" s="1393">
        <v>0.0</v>
      </c>
      <c r="DQ184" s="1393">
        <v>21155.247818706768</v>
      </c>
      <c r="DR184" s="1379">
        <f t="shared" si="52"/>
        <v>2712156.574</v>
      </c>
    </row>
    <row r="185" hidden="1">
      <c r="A185" s="1401"/>
      <c r="B185" s="1403">
        <f t="shared" si="53"/>
        <v>28</v>
      </c>
      <c r="C185" s="1404" t="s">
        <v>1468</v>
      </c>
      <c r="D185" s="185" t="s">
        <v>186</v>
      </c>
      <c r="E185" s="185" t="s">
        <v>1387</v>
      </c>
      <c r="F185" s="185" t="s">
        <v>1910</v>
      </c>
      <c r="G185" s="185" t="s">
        <v>86</v>
      </c>
      <c r="H185" s="185" t="s">
        <v>86</v>
      </c>
      <c r="I185" s="185" t="s">
        <v>103</v>
      </c>
      <c r="J185" s="185" t="s">
        <v>253</v>
      </c>
      <c r="K185" s="185" t="s">
        <v>254</v>
      </c>
      <c r="L185" s="1390"/>
      <c r="M185" s="503">
        <v>5071554.0</v>
      </c>
      <c r="N185" s="503">
        <v>5071554.0</v>
      </c>
      <c r="O185" s="503">
        <v>5071554.0</v>
      </c>
      <c r="P185" s="503">
        <v>5071554.0</v>
      </c>
      <c r="Q185" s="503">
        <v>5071554.0</v>
      </c>
      <c r="R185" s="503">
        <v>5071554.0</v>
      </c>
      <c r="S185" s="503">
        <v>5071554.0</v>
      </c>
      <c r="T185" s="503">
        <v>5071554.0</v>
      </c>
      <c r="U185" s="503">
        <v>5071554.0</v>
      </c>
      <c r="V185" s="503">
        <v>5071554.0</v>
      </c>
      <c r="W185" s="503">
        <v>5071554.0</v>
      </c>
      <c r="X185" s="1405">
        <v>5.5787094E7</v>
      </c>
      <c r="Y185" s="1392">
        <f t="shared" si="3"/>
        <v>0</v>
      </c>
      <c r="Z185" s="1393">
        <v>0.0</v>
      </c>
      <c r="AA185" s="1393">
        <v>0.0</v>
      </c>
      <c r="AB185" s="1393">
        <v>0.0</v>
      </c>
      <c r="AC185" s="1393">
        <v>0.0</v>
      </c>
      <c r="AD185" s="1393">
        <v>0.0</v>
      </c>
      <c r="AE185" s="1393">
        <v>0.0</v>
      </c>
      <c r="AF185" s="1393">
        <v>0.0</v>
      </c>
      <c r="AG185" s="1393">
        <v>0.0</v>
      </c>
      <c r="AH185" s="1393">
        <v>639365.8637117123</v>
      </c>
      <c r="AI185" s="1393">
        <v>0.0</v>
      </c>
      <c r="AJ185" s="1393">
        <v>0.0</v>
      </c>
      <c r="AK185" s="1393">
        <v>3553528.021946932</v>
      </c>
      <c r="AL185" s="1393">
        <v>0.0</v>
      </c>
      <c r="AM185" s="1393">
        <v>0.0</v>
      </c>
      <c r="AN185" s="1393">
        <v>0.0</v>
      </c>
      <c r="AO185" s="1393">
        <v>207669.96747177918</v>
      </c>
      <c r="AP185" s="1393">
        <v>702586.4909304911</v>
      </c>
      <c r="AQ185" s="1393">
        <v>0.0</v>
      </c>
      <c r="AR185" s="1393">
        <v>0.0</v>
      </c>
      <c r="AS185" s="1393">
        <v>3898671.931831516</v>
      </c>
      <c r="AT185" s="1393">
        <v>0.0</v>
      </c>
      <c r="AU185" s="1393">
        <v>0.0</v>
      </c>
      <c r="AV185" s="1393">
        <v>0.0</v>
      </c>
      <c r="AW185" s="1393">
        <v>228204.41627993312</v>
      </c>
      <c r="AX185" s="1393">
        <v>652944.7238156392</v>
      </c>
      <c r="AY185" s="1393">
        <v>0.0</v>
      </c>
      <c r="AZ185" s="1393">
        <v>0.0</v>
      </c>
      <c r="BA185" s="1393">
        <v>3625580.9863103167</v>
      </c>
      <c r="BB185" s="1393">
        <v>0.0</v>
      </c>
      <c r="BC185" s="1393">
        <v>0.0</v>
      </c>
      <c r="BD185" s="1393">
        <v>0.0</v>
      </c>
      <c r="BE185" s="1393">
        <v>212080.46480380103</v>
      </c>
      <c r="BF185" s="1393">
        <v>646008.8356071099</v>
      </c>
      <c r="BG185" s="1393">
        <v>0.0</v>
      </c>
      <c r="BH185" s="1393">
        <v>0.0</v>
      </c>
      <c r="BI185" s="1393">
        <v>3587407.736162305</v>
      </c>
      <c r="BJ185" s="1393">
        <v>0.0</v>
      </c>
      <c r="BK185" s="1393">
        <v>0.0</v>
      </c>
      <c r="BL185" s="1393">
        <v>0.0</v>
      </c>
      <c r="BM185" s="1393">
        <v>209827.64562716975</v>
      </c>
      <c r="BN185" s="1393">
        <v>655685.2734439609</v>
      </c>
      <c r="BO185" s="1393">
        <v>0.0</v>
      </c>
      <c r="BP185" s="1393">
        <v>0.0</v>
      </c>
      <c r="BQ185" s="1393">
        <v>3640393.5436031115</v>
      </c>
      <c r="BR185" s="1393">
        <v>0.0</v>
      </c>
      <c r="BS185" s="1393">
        <v>0.0</v>
      </c>
      <c r="BT185" s="1393">
        <v>0.0</v>
      </c>
      <c r="BU185" s="1393">
        <v>212970.61218962548</v>
      </c>
      <c r="BV185" s="1393">
        <v>685830.2751169738</v>
      </c>
      <c r="BW185" s="1393">
        <v>0.0</v>
      </c>
      <c r="BX185" s="1393">
        <v>0.0</v>
      </c>
      <c r="BY185" s="1393">
        <v>3806072.3222825527</v>
      </c>
      <c r="BZ185" s="1393">
        <v>0.0</v>
      </c>
      <c r="CA185" s="1393">
        <v>0.0</v>
      </c>
      <c r="CB185" s="1393">
        <v>0.0</v>
      </c>
      <c r="CC185" s="1393">
        <v>222761.89425859437</v>
      </c>
      <c r="CD185" s="1393">
        <v>690079.8812725308</v>
      </c>
      <c r="CE185" s="1393">
        <v>0.0</v>
      </c>
      <c r="CF185" s="1393">
        <v>0.0</v>
      </c>
      <c r="CG185" s="1393">
        <v>3829421.192700922</v>
      </c>
      <c r="CH185" s="1393">
        <v>0.0</v>
      </c>
      <c r="CI185" s="1393">
        <v>0.0</v>
      </c>
      <c r="CJ185" s="1393">
        <v>0.0</v>
      </c>
      <c r="CK185" s="1393">
        <v>224142.19249186115</v>
      </c>
      <c r="CL185" s="1393">
        <v>667559.1847424338</v>
      </c>
      <c r="CM185" s="1393">
        <v>0.0</v>
      </c>
      <c r="CN185" s="1393">
        <v>0.0</v>
      </c>
      <c r="CO185" s="1393">
        <v>3705407.6254624603</v>
      </c>
      <c r="CP185" s="1393">
        <v>0.0</v>
      </c>
      <c r="CQ185" s="1393">
        <v>0.0</v>
      </c>
      <c r="CR185" s="1393">
        <v>0.0</v>
      </c>
      <c r="CS185" s="1393">
        <v>216827.3316566324</v>
      </c>
      <c r="CT185" s="1393">
        <v>666075.2608364485</v>
      </c>
      <c r="CU185" s="1393">
        <v>0.0</v>
      </c>
      <c r="CV185" s="1393">
        <v>0.0</v>
      </c>
      <c r="CW185" s="1393">
        <v>3697251.797020791</v>
      </c>
      <c r="CX185" s="1393">
        <v>0.0</v>
      </c>
      <c r="CY185" s="1393">
        <v>0.0</v>
      </c>
      <c r="CZ185" s="1393">
        <v>0.0</v>
      </c>
      <c r="DA185" s="1393">
        <v>216345.34403924915</v>
      </c>
      <c r="DB185" s="1393">
        <v>655150.2062425484</v>
      </c>
      <c r="DC185" s="1393">
        <v>0.0</v>
      </c>
      <c r="DD185" s="1393">
        <v>0.0</v>
      </c>
      <c r="DE185" s="1393">
        <v>3637191.146692947</v>
      </c>
      <c r="DF185" s="1393">
        <v>0.0</v>
      </c>
      <c r="DG185" s="1393">
        <v>0.0</v>
      </c>
      <c r="DH185" s="1393">
        <v>0.0</v>
      </c>
      <c r="DI185" s="1393">
        <v>212796.81906956818</v>
      </c>
      <c r="DJ185" s="1393">
        <v>665401.6930959491</v>
      </c>
      <c r="DK185" s="1393">
        <v>0.0</v>
      </c>
      <c r="DL185" s="1393">
        <v>0.0</v>
      </c>
      <c r="DM185" s="1393">
        <v>3693534.5802822555</v>
      </c>
      <c r="DN185" s="1393">
        <v>0.0</v>
      </c>
      <c r="DO185" s="1393">
        <v>0.0</v>
      </c>
      <c r="DP185" s="1393">
        <v>0.0</v>
      </c>
      <c r="DQ185" s="1393">
        <v>216126.56509170338</v>
      </c>
      <c r="DR185" s="1379">
        <f t="shared" si="52"/>
        <v>50380901.83</v>
      </c>
    </row>
    <row r="186" hidden="1">
      <c r="A186" s="1401"/>
      <c r="B186" s="1394">
        <f t="shared" si="53"/>
        <v>29</v>
      </c>
      <c r="C186" s="1389" t="s">
        <v>1471</v>
      </c>
      <c r="D186" s="185" t="s">
        <v>186</v>
      </c>
      <c r="E186" s="185" t="s">
        <v>1387</v>
      </c>
      <c r="F186" s="185" t="s">
        <v>1910</v>
      </c>
      <c r="G186" s="185" t="s">
        <v>86</v>
      </c>
      <c r="H186" s="185" t="s">
        <v>86</v>
      </c>
      <c r="I186" s="185" t="s">
        <v>103</v>
      </c>
      <c r="J186" s="185" t="s">
        <v>253</v>
      </c>
      <c r="K186" s="185" t="s">
        <v>254</v>
      </c>
      <c r="L186" s="1390">
        <v>2.0833333333333334E8</v>
      </c>
      <c r="M186" s="1390">
        <v>2.0833333333333334E8</v>
      </c>
      <c r="N186" s="1390">
        <v>2.0833333333333334E8</v>
      </c>
      <c r="O186" s="1390">
        <v>2.0833333333333334E8</v>
      </c>
      <c r="P186" s="1390">
        <v>2.0833333333333334E8</v>
      </c>
      <c r="Q186" s="1390">
        <v>2.0833333333333334E8</v>
      </c>
      <c r="R186" s="1390">
        <v>2.0833333333333334E8</v>
      </c>
      <c r="S186" s="1390">
        <v>2.0833333333333334E8</v>
      </c>
      <c r="T186" s="1390">
        <v>2.0833333333333334E8</v>
      </c>
      <c r="U186" s="1390">
        <v>2.0833333333333334E8</v>
      </c>
      <c r="V186" s="1390">
        <v>2.0833333333333334E8</v>
      </c>
      <c r="W186" s="1390">
        <v>2.0833333333333334E8</v>
      </c>
      <c r="X186" s="1391">
        <v>2.5E9</v>
      </c>
      <c r="Y186" s="1392">
        <f t="shared" si="3"/>
        <v>0</v>
      </c>
      <c r="Z186" s="1393">
        <v>2.574615593072046E7</v>
      </c>
      <c r="AA186" s="1393">
        <v>0.0</v>
      </c>
      <c r="AB186" s="1393">
        <v>0.0</v>
      </c>
      <c r="AC186" s="1393">
        <v>1.4345809182792425E8</v>
      </c>
      <c r="AD186" s="1393">
        <v>0.0</v>
      </c>
      <c r="AE186" s="1393">
        <v>0.0</v>
      </c>
      <c r="AF186" s="1393">
        <v>0.0</v>
      </c>
      <c r="AG186" s="1393">
        <v>8362509.899444491</v>
      </c>
      <c r="AH186" s="1393">
        <v>2.6264380031565618E7</v>
      </c>
      <c r="AI186" s="1393">
        <v>0.0</v>
      </c>
      <c r="AJ186" s="1393">
        <v>0.0</v>
      </c>
      <c r="AK186" s="1393">
        <v>1.4597465350967592E8</v>
      </c>
      <c r="AL186" s="1393">
        <v>0.0</v>
      </c>
      <c r="AM186" s="1393">
        <v>0.0</v>
      </c>
      <c r="AN186" s="1393">
        <v>0.0</v>
      </c>
      <c r="AO186" s="1393">
        <v>8530832.276777623</v>
      </c>
      <c r="AP186" s="1393">
        <v>2.886140729459235E7</v>
      </c>
      <c r="AQ186" s="1393">
        <v>0.0</v>
      </c>
      <c r="AR186" s="1393">
        <v>0.0</v>
      </c>
      <c r="AS186" s="1393">
        <v>1.6015274985370675E8</v>
      </c>
      <c r="AT186" s="1393">
        <v>0.0</v>
      </c>
      <c r="AU186" s="1393">
        <v>0.0</v>
      </c>
      <c r="AV186" s="1393">
        <v>0.0</v>
      </c>
      <c r="AW186" s="1393">
        <v>9374362.71505461</v>
      </c>
      <c r="AX186" s="1393">
        <v>2.6822183258804865E7</v>
      </c>
      <c r="AY186" s="1393">
        <v>0.0</v>
      </c>
      <c r="AZ186" s="1393">
        <v>0.0</v>
      </c>
      <c r="BA186" s="1393">
        <v>1.4893450255049688E8</v>
      </c>
      <c r="BB186" s="1393">
        <v>0.0</v>
      </c>
      <c r="BC186" s="1393">
        <v>0.0</v>
      </c>
      <c r="BD186" s="1393">
        <v>0.0</v>
      </c>
      <c r="BE186" s="1393">
        <v>8712010.197950875</v>
      </c>
      <c r="BF186" s="1393">
        <v>2.653726532041551E7</v>
      </c>
      <c r="BG186" s="1393">
        <v>0.0</v>
      </c>
      <c r="BH186" s="1393">
        <v>0.0</v>
      </c>
      <c r="BI186" s="1393">
        <v>1.4736639138624576E8</v>
      </c>
      <c r="BJ186" s="1393">
        <v>0.0</v>
      </c>
      <c r="BK186" s="1393">
        <v>0.0</v>
      </c>
      <c r="BL186" s="1393">
        <v>0.0</v>
      </c>
      <c r="BM186" s="1393">
        <v>8619467.098051937</v>
      </c>
      <c r="BN186" s="1393">
        <v>2.6934761738543756E7</v>
      </c>
      <c r="BO186" s="1393">
        <v>0.0</v>
      </c>
      <c r="BP186" s="1393">
        <v>0.0</v>
      </c>
      <c r="BQ186" s="1393">
        <v>1.4954298457316664E8</v>
      </c>
      <c r="BR186" s="1393">
        <v>0.0</v>
      </c>
      <c r="BS186" s="1393">
        <v>0.0</v>
      </c>
      <c r="BT186" s="1393">
        <v>0.0</v>
      </c>
      <c r="BU186" s="1393">
        <v>8748576.381027453</v>
      </c>
      <c r="BV186" s="1393">
        <v>2.817308211960993E7</v>
      </c>
      <c r="BW186" s="1393">
        <v>0.0</v>
      </c>
      <c r="BX186" s="1393">
        <v>0.0</v>
      </c>
      <c r="BY186" s="1393">
        <v>1.5634886936210582E8</v>
      </c>
      <c r="BZ186" s="1393">
        <v>0.0</v>
      </c>
      <c r="CA186" s="1393">
        <v>0.0</v>
      </c>
      <c r="CB186" s="1393">
        <v>0.0</v>
      </c>
      <c r="CC186" s="1393">
        <v>9150790.461965011</v>
      </c>
      <c r="CD186" s="1393">
        <v>2.834765082493004E7</v>
      </c>
      <c r="CE186" s="1393">
        <v>0.0</v>
      </c>
      <c r="CF186" s="1393">
        <v>0.0</v>
      </c>
      <c r="CG186" s="1393">
        <v>1.5730801285221297E8</v>
      </c>
      <c r="CH186" s="1393">
        <v>0.0</v>
      </c>
      <c r="CI186" s="1393">
        <v>0.0</v>
      </c>
      <c r="CJ186" s="1393">
        <v>0.0</v>
      </c>
      <c r="CK186" s="1393">
        <v>9207491.451825432</v>
      </c>
      <c r="CL186" s="1393">
        <v>2.7422527721221883E7</v>
      </c>
      <c r="CM186" s="1393">
        <v>0.0</v>
      </c>
      <c r="CN186" s="1393">
        <v>0.0</v>
      </c>
      <c r="CO186" s="1393">
        <v>1.5221368479392037E8</v>
      </c>
      <c r="CP186" s="1393">
        <v>0.0</v>
      </c>
      <c r="CQ186" s="1393">
        <v>0.0</v>
      </c>
      <c r="CR186" s="1393">
        <v>0.0</v>
      </c>
      <c r="CS186" s="1393">
        <v>8907005.774127303</v>
      </c>
      <c r="CT186" s="1393">
        <v>2.73615699134677E7</v>
      </c>
      <c r="CU186" s="1393">
        <v>0.0</v>
      </c>
      <c r="CV186" s="1393">
        <v>0.0</v>
      </c>
      <c r="CW186" s="1393">
        <v>1.5187865317928156E8</v>
      </c>
      <c r="CX186" s="1393">
        <v>0.0</v>
      </c>
      <c r="CY186" s="1393">
        <v>0.0</v>
      </c>
      <c r="CZ186" s="1393">
        <v>0.0</v>
      </c>
      <c r="DA186" s="1393">
        <v>8887206.303007632</v>
      </c>
      <c r="DB186" s="1393">
        <v>2.6912781822007798E7</v>
      </c>
      <c r="DC186" s="1393">
        <v>0.0</v>
      </c>
      <c r="DD186" s="1393">
        <v>0.0</v>
      </c>
      <c r="DE186" s="1393">
        <v>1.4941143396304777E8</v>
      </c>
      <c r="DF186" s="1393">
        <v>0.0</v>
      </c>
      <c r="DG186" s="1393">
        <v>0.0</v>
      </c>
      <c r="DH186" s="1393">
        <v>0.0</v>
      </c>
      <c r="DI186" s="1393">
        <v>8741437.168862516</v>
      </c>
      <c r="DJ186" s="1393">
        <v>2.733390056150891E7</v>
      </c>
      <c r="DK186" s="1393">
        <v>0.0</v>
      </c>
      <c r="DL186" s="1393">
        <v>0.0</v>
      </c>
      <c r="DM186" s="1393">
        <v>1.5172595439033806E8</v>
      </c>
      <c r="DN186" s="1393">
        <v>0.0</v>
      </c>
      <c r="DO186" s="1393">
        <v>0.0</v>
      </c>
      <c r="DP186" s="1393">
        <v>0.0</v>
      </c>
      <c r="DQ186" s="1393">
        <v>8878219.127202077</v>
      </c>
      <c r="DR186" s="1379">
        <f t="shared" si="52"/>
        <v>2247153558</v>
      </c>
    </row>
    <row r="187" hidden="1">
      <c r="A187" s="1401">
        <v>18.0</v>
      </c>
      <c r="B187" s="1402" t="s">
        <v>1913</v>
      </c>
      <c r="C187" s="7"/>
      <c r="D187" s="1225"/>
      <c r="E187" s="1225"/>
      <c r="F187" s="1225"/>
      <c r="G187" s="1225"/>
      <c r="H187" s="1225"/>
      <c r="I187" s="1225"/>
      <c r="J187" s="1225"/>
      <c r="K187" s="1225"/>
      <c r="L187" s="1396" t="str">
        <f t="shared" ref="L187:X187" si="54">L188</f>
        <v/>
      </c>
      <c r="M187" s="1396" t="str">
        <f t="shared" si="54"/>
        <v/>
      </c>
      <c r="N187" s="1396" t="str">
        <f t="shared" si="54"/>
        <v/>
      </c>
      <c r="O187" s="1396">
        <f t="shared" si="54"/>
        <v>47369000</v>
      </c>
      <c r="P187" s="1396">
        <f t="shared" si="54"/>
        <v>47369000</v>
      </c>
      <c r="Q187" s="1396">
        <f t="shared" si="54"/>
        <v>47369000</v>
      </c>
      <c r="R187" s="1396">
        <f t="shared" si="54"/>
        <v>47369000</v>
      </c>
      <c r="S187" s="1396">
        <f t="shared" si="54"/>
        <v>47369000</v>
      </c>
      <c r="T187" s="1396">
        <f t="shared" si="54"/>
        <v>47369000</v>
      </c>
      <c r="U187" s="1396">
        <f t="shared" si="54"/>
        <v>47369000</v>
      </c>
      <c r="V187" s="1396">
        <f t="shared" si="54"/>
        <v>47369000</v>
      </c>
      <c r="W187" s="1396">
        <f t="shared" si="54"/>
        <v>47369000</v>
      </c>
      <c r="X187" s="1396">
        <f t="shared" si="54"/>
        <v>426321000</v>
      </c>
      <c r="Y187" s="1392">
        <f t="shared" si="3"/>
        <v>0</v>
      </c>
    </row>
    <row r="188" hidden="1">
      <c r="A188" s="1401"/>
      <c r="B188" s="1407">
        <v>1.0</v>
      </c>
      <c r="C188" s="1404" t="s">
        <v>1487</v>
      </c>
      <c r="D188" s="185" t="s">
        <v>186</v>
      </c>
      <c r="E188" s="185" t="s">
        <v>1486</v>
      </c>
      <c r="F188" s="185" t="s">
        <v>1910</v>
      </c>
      <c r="G188" s="185" t="s">
        <v>203</v>
      </c>
      <c r="H188" s="185" t="s">
        <v>135</v>
      </c>
      <c r="I188" s="185" t="s">
        <v>135</v>
      </c>
      <c r="J188" s="185" t="s">
        <v>1911</v>
      </c>
      <c r="K188" s="185" t="s">
        <v>188</v>
      </c>
      <c r="L188" s="1390"/>
      <c r="M188" s="503"/>
      <c r="N188" s="503"/>
      <c r="O188" s="503">
        <v>4.7369E7</v>
      </c>
      <c r="P188" s="503">
        <v>4.7369E7</v>
      </c>
      <c r="Q188" s="503">
        <v>4.7369E7</v>
      </c>
      <c r="R188" s="503">
        <v>4.7369E7</v>
      </c>
      <c r="S188" s="503">
        <v>4.7369E7</v>
      </c>
      <c r="T188" s="503">
        <v>4.7369E7</v>
      </c>
      <c r="U188" s="503">
        <v>4.7369E7</v>
      </c>
      <c r="V188" s="503">
        <v>4.7369E7</v>
      </c>
      <c r="W188" s="503">
        <v>4.7369E7</v>
      </c>
      <c r="X188" s="1405">
        <v>4.26321E8</v>
      </c>
      <c r="Y188" s="1392">
        <f t="shared" si="3"/>
        <v>0</v>
      </c>
      <c r="Z188" s="1393">
        <v>0.0</v>
      </c>
      <c r="AA188" s="1393">
        <v>0.0</v>
      </c>
      <c r="AB188" s="1393">
        <v>0.0</v>
      </c>
      <c r="AC188" s="1393">
        <v>0.0</v>
      </c>
      <c r="AD188" s="1393">
        <v>0.0</v>
      </c>
      <c r="AE188" s="1393">
        <v>0.0</v>
      </c>
      <c r="AF188" s="1393">
        <v>0.0</v>
      </c>
      <c r="AG188" s="1393">
        <v>0.0</v>
      </c>
      <c r="AH188" s="1393">
        <v>0.0</v>
      </c>
      <c r="AI188" s="1393">
        <v>0.0</v>
      </c>
      <c r="AJ188" s="1393">
        <v>0.0</v>
      </c>
      <c r="AK188" s="1393">
        <v>0.0</v>
      </c>
      <c r="AL188" s="1393">
        <v>0.0</v>
      </c>
      <c r="AM188" s="1393">
        <v>0.0</v>
      </c>
      <c r="AN188" s="1393">
        <v>0.0</v>
      </c>
      <c r="AO188" s="1393">
        <v>0.0</v>
      </c>
      <c r="AP188" s="1393">
        <v>0.0</v>
      </c>
      <c r="AQ188" s="1393">
        <v>0.0</v>
      </c>
      <c r="AR188" s="1393">
        <v>0.0</v>
      </c>
      <c r="AS188" s="1393">
        <v>0.0</v>
      </c>
      <c r="AT188" s="1393">
        <v>0.0</v>
      </c>
      <c r="AU188" s="1393">
        <v>0.0</v>
      </c>
      <c r="AV188" s="1393">
        <v>0.0</v>
      </c>
      <c r="AW188" s="1393">
        <v>0.0</v>
      </c>
      <c r="AX188" s="1393">
        <v>830879.187010412</v>
      </c>
      <c r="AY188" s="1393">
        <v>0.0</v>
      </c>
      <c r="AZ188" s="1393">
        <v>0.0</v>
      </c>
      <c r="BA188" s="1393">
        <v>3.552596232448669E7</v>
      </c>
      <c r="BB188" s="1393">
        <v>0.0</v>
      </c>
      <c r="BC188" s="1393">
        <v>0.0</v>
      </c>
      <c r="BD188" s="1393">
        <v>0.0</v>
      </c>
      <c r="BE188" s="1393">
        <v>3670282.4504924295</v>
      </c>
      <c r="BF188" s="1393">
        <v>793938.3245923138</v>
      </c>
      <c r="BG188" s="1393">
        <v>0.0</v>
      </c>
      <c r="BH188" s="1393">
        <v>0.0</v>
      </c>
      <c r="BI188" s="1393">
        <v>3.395241905377779E7</v>
      </c>
      <c r="BJ188" s="1393">
        <v>0.0</v>
      </c>
      <c r="BK188" s="1393">
        <v>0.0</v>
      </c>
      <c r="BL188" s="1393">
        <v>0.0</v>
      </c>
      <c r="BM188" s="1393">
        <v>3507101.808638777</v>
      </c>
      <c r="BN188" s="1393">
        <v>830126.694572603</v>
      </c>
      <c r="BO188" s="1393">
        <v>0.0</v>
      </c>
      <c r="BP188" s="1393">
        <v>0.0</v>
      </c>
      <c r="BQ188" s="1393">
        <v>3.5491636832630634E7</v>
      </c>
      <c r="BR188" s="1393">
        <v>0.0</v>
      </c>
      <c r="BS188" s="1393">
        <v>0.0</v>
      </c>
      <c r="BT188" s="1393">
        <v>0.0</v>
      </c>
      <c r="BU188" s="1393">
        <v>3666958.4295856655</v>
      </c>
      <c r="BV188" s="1393">
        <v>761075.3779135905</v>
      </c>
      <c r="BW188" s="1393">
        <v>0.0</v>
      </c>
      <c r="BX188" s="1393">
        <v>0.0</v>
      </c>
      <c r="BY188" s="1393">
        <v>3.2516063256936606E7</v>
      </c>
      <c r="BZ188" s="1393">
        <v>0.0</v>
      </c>
      <c r="CA188" s="1393">
        <v>0.0</v>
      </c>
      <c r="CB188" s="1393">
        <v>0.0</v>
      </c>
      <c r="CC188" s="1393">
        <v>3361934.739404107</v>
      </c>
      <c r="CD188" s="1393">
        <v>744550.7529502249</v>
      </c>
      <c r="CE188" s="1393">
        <v>0.0</v>
      </c>
      <c r="CF188" s="1393">
        <v>0.0</v>
      </c>
      <c r="CG188" s="1393">
        <v>3.180783552199087E7</v>
      </c>
      <c r="CH188" s="1393">
        <v>0.0</v>
      </c>
      <c r="CI188" s="1393">
        <v>0.0</v>
      </c>
      <c r="CJ188" s="1393">
        <v>0.0</v>
      </c>
      <c r="CK188" s="1393">
        <v>3288939.721654011</v>
      </c>
      <c r="CL188" s="1393">
        <v>901912.9094808545</v>
      </c>
      <c r="CM188" s="1393">
        <v>0.0</v>
      </c>
      <c r="CN188" s="1393">
        <v>0.0</v>
      </c>
      <c r="CO188" s="1393">
        <v>3.8548459130484074E7</v>
      </c>
      <c r="CP188" s="1393">
        <v>0.0</v>
      </c>
      <c r="CQ188" s="1393">
        <v>0.0</v>
      </c>
      <c r="CR188" s="1393">
        <v>0.0</v>
      </c>
      <c r="CS188" s="1393">
        <v>3984063.116866431</v>
      </c>
      <c r="CT188" s="1393">
        <v>911796.9682609512</v>
      </c>
      <c r="CU188" s="1393">
        <v>0.0</v>
      </c>
      <c r="CV188" s="1393">
        <v>0.0</v>
      </c>
      <c r="CW188" s="1393">
        <v>3.89728093374395E7</v>
      </c>
      <c r="CX188" s="1393">
        <v>0.0</v>
      </c>
      <c r="CY188" s="1393">
        <v>0.0</v>
      </c>
      <c r="CZ188" s="1393">
        <v>0.0</v>
      </c>
      <c r="DA188" s="1393">
        <v>4027724.4433834106</v>
      </c>
      <c r="DB188" s="1393">
        <v>853974.3540378924</v>
      </c>
      <c r="DC188" s="1393">
        <v>0.0</v>
      </c>
      <c r="DD188" s="1393">
        <v>0.0</v>
      </c>
      <c r="DE188" s="1393">
        <v>3.651065386885181E7</v>
      </c>
      <c r="DF188" s="1393">
        <v>0.0</v>
      </c>
      <c r="DG188" s="1393">
        <v>0.0</v>
      </c>
      <c r="DH188" s="1393">
        <v>0.0</v>
      </c>
      <c r="DI188" s="1393">
        <v>3772301.8385783783</v>
      </c>
      <c r="DJ188" s="1393">
        <v>843525.0343074151</v>
      </c>
      <c r="DK188" s="1393">
        <v>0.0</v>
      </c>
      <c r="DL188" s="1393">
        <v>0.0</v>
      </c>
      <c r="DM188" s="1393">
        <v>3.605526851455955E7</v>
      </c>
      <c r="DN188" s="1393">
        <v>0.0</v>
      </c>
      <c r="DO188" s="1393">
        <v>0.0</v>
      </c>
      <c r="DP188" s="1393">
        <v>0.0</v>
      </c>
      <c r="DQ188" s="1393">
        <v>3726143.5577766304</v>
      </c>
      <c r="DR188" s="1379">
        <f>SUM(Z188:DQ188)</f>
        <v>359858337.6</v>
      </c>
    </row>
    <row r="189" hidden="1">
      <c r="A189" s="1401">
        <v>19.0</v>
      </c>
      <c r="B189" s="1402" t="s">
        <v>1914</v>
      </c>
      <c r="C189" s="7"/>
      <c r="D189" s="1225"/>
      <c r="E189" s="1225"/>
      <c r="F189" s="1225"/>
      <c r="G189" s="1225"/>
      <c r="H189" s="1225"/>
      <c r="I189" s="1225"/>
      <c r="J189" s="1225"/>
      <c r="K189" s="1225"/>
      <c r="L189" s="1396">
        <f t="shared" ref="L189:X189" si="55">L190+L191</f>
        <v>833333333.3</v>
      </c>
      <c r="M189" s="1396">
        <f t="shared" si="55"/>
        <v>833333333.3</v>
      </c>
      <c r="N189" s="1396">
        <f t="shared" si="55"/>
        <v>833333333.3</v>
      </c>
      <c r="O189" s="1396">
        <f t="shared" si="55"/>
        <v>890169517.3</v>
      </c>
      <c r="P189" s="1396">
        <f t="shared" si="55"/>
        <v>890169517.3</v>
      </c>
      <c r="Q189" s="1396">
        <f t="shared" si="55"/>
        <v>890169517.3</v>
      </c>
      <c r="R189" s="1396">
        <f t="shared" si="55"/>
        <v>890169517.3</v>
      </c>
      <c r="S189" s="1396">
        <f t="shared" si="55"/>
        <v>890169517.3</v>
      </c>
      <c r="T189" s="1396">
        <f t="shared" si="55"/>
        <v>890169517.3</v>
      </c>
      <c r="U189" s="1396">
        <f t="shared" si="55"/>
        <v>890169517.3</v>
      </c>
      <c r="V189" s="1396">
        <f t="shared" si="55"/>
        <v>890169517.3</v>
      </c>
      <c r="W189" s="1396">
        <f t="shared" si="55"/>
        <v>890169517.3</v>
      </c>
      <c r="X189" s="1396">
        <f t="shared" si="55"/>
        <v>10511525656</v>
      </c>
      <c r="Y189" s="1392">
        <f t="shared" si="3"/>
        <v>0</v>
      </c>
    </row>
    <row r="190" hidden="1">
      <c r="A190" s="25"/>
      <c r="B190" s="1407">
        <v>1.0</v>
      </c>
      <c r="C190" s="1404" t="s">
        <v>1496</v>
      </c>
      <c r="D190" s="185" t="s">
        <v>186</v>
      </c>
      <c r="E190" s="185" t="s">
        <v>1497</v>
      </c>
      <c r="F190" s="185" t="s">
        <v>1910</v>
      </c>
      <c r="G190" s="185" t="s">
        <v>86</v>
      </c>
      <c r="H190" s="185" t="s">
        <v>86</v>
      </c>
      <c r="I190" s="185" t="s">
        <v>103</v>
      </c>
      <c r="J190" s="185" t="s">
        <v>1911</v>
      </c>
      <c r="K190" s="185" t="s">
        <v>188</v>
      </c>
      <c r="L190" s="1390"/>
      <c r="M190" s="503"/>
      <c r="N190" s="503"/>
      <c r="O190" s="503">
        <v>5.6836184E7</v>
      </c>
      <c r="P190" s="503">
        <v>5.6836184E7</v>
      </c>
      <c r="Q190" s="503">
        <v>5.6836184E7</v>
      </c>
      <c r="R190" s="503">
        <v>5.6836184E7</v>
      </c>
      <c r="S190" s="503">
        <v>5.6836184E7</v>
      </c>
      <c r="T190" s="503">
        <v>5.6836184E7</v>
      </c>
      <c r="U190" s="503">
        <v>5.6836184E7</v>
      </c>
      <c r="V190" s="503">
        <v>5.6836184E7</v>
      </c>
      <c r="W190" s="503">
        <v>5.6836184E7</v>
      </c>
      <c r="X190" s="1405">
        <v>5.11525656E8</v>
      </c>
      <c r="Y190" s="1392">
        <f t="shared" si="3"/>
        <v>0</v>
      </c>
      <c r="Z190" s="1393">
        <v>0.0</v>
      </c>
      <c r="AA190" s="1393">
        <v>0.0</v>
      </c>
      <c r="AB190" s="1393">
        <v>0.0</v>
      </c>
      <c r="AC190" s="1393">
        <v>0.0</v>
      </c>
      <c r="AD190" s="1393">
        <v>0.0</v>
      </c>
      <c r="AE190" s="1393">
        <v>0.0</v>
      </c>
      <c r="AF190" s="1393">
        <v>0.0</v>
      </c>
      <c r="AG190" s="1393">
        <v>0.0</v>
      </c>
      <c r="AH190" s="1393">
        <v>0.0</v>
      </c>
      <c r="AI190" s="1393">
        <v>0.0</v>
      </c>
      <c r="AJ190" s="1393">
        <v>0.0</v>
      </c>
      <c r="AK190" s="1393">
        <v>0.0</v>
      </c>
      <c r="AL190" s="1393">
        <v>0.0</v>
      </c>
      <c r="AM190" s="1393">
        <v>0.0</v>
      </c>
      <c r="AN190" s="1393">
        <v>0.0</v>
      </c>
      <c r="AO190" s="1393">
        <v>0.0</v>
      </c>
      <c r="AP190" s="1393">
        <v>0.0</v>
      </c>
      <c r="AQ190" s="1393">
        <v>0.0</v>
      </c>
      <c r="AR190" s="1393">
        <v>0.0</v>
      </c>
      <c r="AS190" s="1393">
        <v>0.0</v>
      </c>
      <c r="AT190" s="1393">
        <v>0.0</v>
      </c>
      <c r="AU190" s="1393">
        <v>0.0</v>
      </c>
      <c r="AV190" s="1393">
        <v>0.0</v>
      </c>
      <c r="AW190" s="1393">
        <v>7317458.606299933</v>
      </c>
      <c r="AX190" s="1393">
        <v>0.0</v>
      </c>
      <c r="AY190" s="1393">
        <v>0.0</v>
      </c>
      <c r="AZ190" s="1393">
        <v>4.063137019636085E7</v>
      </c>
      <c r="BA190" s="1393">
        <v>0.0</v>
      </c>
      <c r="BB190" s="1393">
        <v>0.0</v>
      </c>
      <c r="BC190" s="1393">
        <v>0.0</v>
      </c>
      <c r="BD190" s="1393">
        <v>2376755.590178939</v>
      </c>
      <c r="BE190" s="1393">
        <v>7239729.0941181835</v>
      </c>
      <c r="BF190" s="1393">
        <v>0.0</v>
      </c>
      <c r="BG190" s="1393">
        <v>0.0</v>
      </c>
      <c r="BH190" s="1393">
        <v>4.020356801397446E7</v>
      </c>
      <c r="BI190" s="1393">
        <v>0.0</v>
      </c>
      <c r="BJ190" s="1393">
        <v>0.0</v>
      </c>
      <c r="BK190" s="1393">
        <v>0.0</v>
      </c>
      <c r="BL190" s="1393">
        <v>2351508.5662407647</v>
      </c>
      <c r="BM190" s="1393">
        <v>7348171.556006556</v>
      </c>
      <c r="BN190" s="1393">
        <v>0.0</v>
      </c>
      <c r="BO190" s="1393">
        <v>0.0</v>
      </c>
      <c r="BP190" s="1393">
        <v>4.079737241812637E7</v>
      </c>
      <c r="BQ190" s="1393">
        <v>0.0</v>
      </c>
      <c r="BR190" s="1393">
        <v>0.0</v>
      </c>
      <c r="BS190" s="1393">
        <v>0.0</v>
      </c>
      <c r="BT190" s="1393">
        <v>2386731.345264626</v>
      </c>
      <c r="BU190" s="1393">
        <v>7686002.300146848</v>
      </c>
      <c r="BV190" s="1393">
        <v>0.0</v>
      </c>
      <c r="BW190" s="1393">
        <v>0.0</v>
      </c>
      <c r="BX190" s="1393">
        <v>4.265411091483172E7</v>
      </c>
      <c r="BY190" s="1393">
        <v>0.0</v>
      </c>
      <c r="BZ190" s="1393">
        <v>0.0</v>
      </c>
      <c r="CA190" s="1393">
        <v>0.0</v>
      </c>
      <c r="CB190" s="1393">
        <v>2496460.850120104</v>
      </c>
      <c r="CC190" s="1393">
        <v>7733627.031616681</v>
      </c>
      <c r="CD190" s="1393">
        <v>0.0</v>
      </c>
      <c r="CE190" s="1393">
        <v>0.0</v>
      </c>
      <c r="CF190" s="1393">
        <v>4.2915778383085154E7</v>
      </c>
      <c r="CG190" s="1393">
        <v>0.0</v>
      </c>
      <c r="CH190" s="1393">
        <v>0.0</v>
      </c>
      <c r="CI190" s="1393">
        <v>0.0</v>
      </c>
      <c r="CJ190" s="1393">
        <v>2511929.6560050114</v>
      </c>
      <c r="CK190" s="1393">
        <v>7481240.790280644</v>
      </c>
      <c r="CL190" s="1393">
        <v>0.0</v>
      </c>
      <c r="CM190" s="1393">
        <v>0.0</v>
      </c>
      <c r="CN190" s="1393">
        <v>4.152597598207325E7</v>
      </c>
      <c r="CO190" s="1393">
        <v>0.0</v>
      </c>
      <c r="CP190" s="1393">
        <v>0.0</v>
      </c>
      <c r="CQ190" s="1393">
        <v>0.0</v>
      </c>
      <c r="CR190" s="1393">
        <v>2429953.0515233367</v>
      </c>
      <c r="CS190" s="1393">
        <v>7464610.666227429</v>
      </c>
      <c r="CT190" s="1393">
        <v>0.0</v>
      </c>
      <c r="CU190" s="1393">
        <v>0.0</v>
      </c>
      <c r="CV190" s="1393">
        <v>4.1434574773295194E7</v>
      </c>
      <c r="CW190" s="1393">
        <v>0.0</v>
      </c>
      <c r="CX190" s="1393">
        <v>0.0</v>
      </c>
      <c r="CY190" s="1393">
        <v>0.0</v>
      </c>
      <c r="CZ190" s="1393">
        <v>2424551.484881768</v>
      </c>
      <c r="DA190" s="1393">
        <v>7342175.134019953</v>
      </c>
      <c r="DB190" s="1393">
        <v>0.0</v>
      </c>
      <c r="DC190" s="1393">
        <v>0.0</v>
      </c>
      <c r="DD190" s="1393">
        <v>4.076148361165263E7</v>
      </c>
      <c r="DE190" s="1393">
        <v>0.0</v>
      </c>
      <c r="DF190" s="1393">
        <v>0.0</v>
      </c>
      <c r="DG190" s="1393">
        <v>0.0</v>
      </c>
      <c r="DH190" s="1393">
        <v>2384783.6704987637</v>
      </c>
      <c r="DI190" s="1393">
        <v>7457062.088407793</v>
      </c>
      <c r="DJ190" s="1393">
        <v>0.0</v>
      </c>
      <c r="DK190" s="1393">
        <v>0.0</v>
      </c>
      <c r="DL190" s="1393">
        <v>4.139291645426334E7</v>
      </c>
      <c r="DM190" s="1393">
        <v>0.0</v>
      </c>
      <c r="DN190" s="1393">
        <v>0.0</v>
      </c>
      <c r="DO190" s="1393">
        <v>0.0</v>
      </c>
      <c r="DP190" s="1393">
        <v>2422099.6603486883</v>
      </c>
      <c r="DQ190" s="1379">
        <f t="shared" ref="DQ190:DR190" si="56">SUM(Y190:DP190)</f>
        <v>461172001.9</v>
      </c>
      <c r="DR190" s="1379">
        <f t="shared" si="56"/>
        <v>922344003.8</v>
      </c>
    </row>
    <row r="191" hidden="1">
      <c r="A191" s="25"/>
      <c r="B191" s="1388">
        <v>2.0</v>
      </c>
      <c r="C191" s="1389" t="s">
        <v>1844</v>
      </c>
      <c r="D191" s="185" t="s">
        <v>186</v>
      </c>
      <c r="E191" s="185" t="s">
        <v>1501</v>
      </c>
      <c r="F191" s="185" t="s">
        <v>1910</v>
      </c>
      <c r="G191" s="185" t="s">
        <v>203</v>
      </c>
      <c r="H191" s="185" t="s">
        <v>135</v>
      </c>
      <c r="I191" s="185" t="s">
        <v>135</v>
      </c>
      <c r="J191" s="185" t="s">
        <v>1010</v>
      </c>
      <c r="K191" s="185" t="s">
        <v>367</v>
      </c>
      <c r="L191" s="1390">
        <v>8.333333333333334E8</v>
      </c>
      <c r="M191" s="1390">
        <v>8.333333333333334E8</v>
      </c>
      <c r="N191" s="1390">
        <v>8.333333333333334E8</v>
      </c>
      <c r="O191" s="1390">
        <v>8.333333333333334E8</v>
      </c>
      <c r="P191" s="1390">
        <v>8.333333333333334E8</v>
      </c>
      <c r="Q191" s="1390">
        <v>8.333333333333334E8</v>
      </c>
      <c r="R191" s="1390">
        <v>8.333333333333334E8</v>
      </c>
      <c r="S191" s="1390">
        <v>8.333333333333334E8</v>
      </c>
      <c r="T191" s="1390">
        <v>8.333333333333334E8</v>
      </c>
      <c r="U191" s="1390">
        <v>8.333333333333334E8</v>
      </c>
      <c r="V191" s="1390">
        <v>8.333333333333334E8</v>
      </c>
      <c r="W191" s="1390">
        <v>8.333333333333334E8</v>
      </c>
      <c r="X191" s="1391">
        <v>1.0E10</v>
      </c>
      <c r="Y191" s="1392">
        <f t="shared" si="3"/>
        <v>0</v>
      </c>
      <c r="Z191" s="1393">
        <v>1.4173432832706219E7</v>
      </c>
      <c r="AA191" s="1393">
        <v>0.0</v>
      </c>
      <c r="AB191" s="1393">
        <v>0.0</v>
      </c>
      <c r="AC191" s="1393">
        <v>6.063073055204891E8</v>
      </c>
      <c r="AD191" s="1393">
        <v>0.0</v>
      </c>
      <c r="AE191" s="1393">
        <v>0.0</v>
      </c>
      <c r="AF191" s="1393">
        <v>0.0</v>
      </c>
      <c r="AG191" s="1393">
        <v>6.2608984076601945E7</v>
      </c>
      <c r="AH191" s="1393">
        <v>1.4005488968955863E7</v>
      </c>
      <c r="AI191" s="1393">
        <v>0.0</v>
      </c>
      <c r="AJ191" s="1393">
        <v>0.0</v>
      </c>
      <c r="AK191" s="1393">
        <v>5.989965754185389E8</v>
      </c>
      <c r="AL191" s="1393">
        <v>0.0</v>
      </c>
      <c r="AM191" s="1393">
        <v>0.0</v>
      </c>
      <c r="AN191" s="1393">
        <v>0.0</v>
      </c>
      <c r="AO191" s="1393">
        <v>6.1867117598987184E7</v>
      </c>
      <c r="AP191" s="1393">
        <v>1.757467722961156E7</v>
      </c>
      <c r="AQ191" s="1393">
        <v>0.0</v>
      </c>
      <c r="AR191" s="1393">
        <v>0.0</v>
      </c>
      <c r="AS191" s="1393">
        <v>7.506647131765467E8</v>
      </c>
      <c r="AT191" s="1393">
        <v>0.0</v>
      </c>
      <c r="AU191" s="1393">
        <v>0.0</v>
      </c>
      <c r="AV191" s="1393">
        <v>0.0</v>
      </c>
      <c r="AW191" s="1393">
        <v>7.763346394679148E7</v>
      </c>
      <c r="AX191" s="1393">
        <v>1.4617140376800792E7</v>
      </c>
      <c r="AY191" s="1393">
        <v>0.0</v>
      </c>
      <c r="AZ191" s="1393">
        <v>0.0</v>
      </c>
      <c r="BA191" s="1393">
        <v>6.249861429149635E8</v>
      </c>
      <c r="BB191" s="1393">
        <v>0.0</v>
      </c>
      <c r="BC191" s="1393">
        <v>0.0</v>
      </c>
      <c r="BD191" s="1393">
        <v>0.0</v>
      </c>
      <c r="BE191" s="1393">
        <v>6.456899467465413E7</v>
      </c>
      <c r="BF191" s="1393">
        <v>1.3967262777208615E7</v>
      </c>
      <c r="BG191" s="1393">
        <v>0.0</v>
      </c>
      <c r="BH191" s="1393">
        <v>0.0</v>
      </c>
      <c r="BI191" s="1393">
        <v>5.973037755666116E8</v>
      </c>
      <c r="BJ191" s="1393">
        <v>0.0</v>
      </c>
      <c r="BK191" s="1393">
        <v>0.0</v>
      </c>
      <c r="BL191" s="1393">
        <v>0.0</v>
      </c>
      <c r="BM191" s="1393">
        <v>6.169825921029184E7</v>
      </c>
      <c r="BN191" s="1393">
        <v>1.460390224571279E7</v>
      </c>
      <c r="BO191" s="1393">
        <v>0.0</v>
      </c>
      <c r="BP191" s="1393">
        <v>0.0</v>
      </c>
      <c r="BQ191" s="1393">
        <v>6.243822759017965E8</v>
      </c>
      <c r="BR191" s="1393">
        <v>0.0</v>
      </c>
      <c r="BS191" s="1393">
        <v>0.0</v>
      </c>
      <c r="BT191" s="1393">
        <v>0.0</v>
      </c>
      <c r="BU191" s="1393">
        <v>6.451051724379632E7</v>
      </c>
      <c r="BV191" s="1393">
        <v>1.338912541102111E7</v>
      </c>
      <c r="BW191" s="1393">
        <v>0.0</v>
      </c>
      <c r="BX191" s="1393">
        <v>0.0</v>
      </c>
      <c r="BY191" s="1393">
        <v>5.720348620570521E8</v>
      </c>
      <c r="BZ191" s="1393">
        <v>0.0</v>
      </c>
      <c r="CA191" s="1393">
        <v>0.0</v>
      </c>
      <c r="CB191" s="1393">
        <v>0.0</v>
      </c>
      <c r="CC191" s="1393">
        <v>5.914442531691097E7</v>
      </c>
      <c r="CD191" s="1393">
        <v>1.3098417969386183E7</v>
      </c>
      <c r="CE191" s="1393">
        <v>0.0</v>
      </c>
      <c r="CF191" s="1393">
        <v>0.0</v>
      </c>
      <c r="CG191" s="1393">
        <v>5.595754523350517E8</v>
      </c>
      <c r="CH191" s="1393">
        <v>0.0</v>
      </c>
      <c r="CI191" s="1393">
        <v>0.0</v>
      </c>
      <c r="CJ191" s="1393">
        <v>0.0</v>
      </c>
      <c r="CK191" s="1393">
        <v>5.7860269403583415E7</v>
      </c>
      <c r="CL191" s="1393">
        <v>1.5866792443033325E7</v>
      </c>
      <c r="CM191" s="1393">
        <v>0.0</v>
      </c>
      <c r="CN191" s="1393">
        <v>0.0</v>
      </c>
      <c r="CO191" s="1393">
        <v>6.781590479442265E8</v>
      </c>
      <c r="CP191" s="1393">
        <v>0.0</v>
      </c>
      <c r="CQ191" s="1393">
        <v>0.0</v>
      </c>
      <c r="CR191" s="1393">
        <v>0.0</v>
      </c>
      <c r="CS191" s="1393">
        <v>7.00891426331291E7</v>
      </c>
      <c r="CT191" s="1393">
        <v>1.6040676537062764E7</v>
      </c>
      <c r="CU191" s="1393">
        <v>0.0</v>
      </c>
      <c r="CV191" s="1393">
        <v>0.0</v>
      </c>
      <c r="CW191" s="1393">
        <v>6.856243770088648E8</v>
      </c>
      <c r="CX191" s="1393">
        <v>0.0</v>
      </c>
      <c r="CY191" s="1393">
        <v>0.0</v>
      </c>
      <c r="CZ191" s="1393">
        <v>0.0</v>
      </c>
      <c r="DA191" s="1393">
        <v>7.085724917462565E7</v>
      </c>
      <c r="DB191" s="1393">
        <v>1.5023439275297705E7</v>
      </c>
      <c r="DC191" s="1393">
        <v>0.0</v>
      </c>
      <c r="DD191" s="1393">
        <v>0.0</v>
      </c>
      <c r="DE191" s="1393">
        <v>6.423092083579944E8</v>
      </c>
      <c r="DF191" s="1393">
        <v>0.0</v>
      </c>
      <c r="DG191" s="1393">
        <v>0.0</v>
      </c>
      <c r="DH191" s="1393">
        <v>0.0</v>
      </c>
      <c r="DI191" s="1393">
        <v>6.636375826979633E7</v>
      </c>
      <c r="DJ191" s="1393">
        <v>1.4839610897200968E7</v>
      </c>
      <c r="DK191" s="1393">
        <v>0.0</v>
      </c>
      <c r="DL191" s="1393">
        <v>0.0</v>
      </c>
      <c r="DM191" s="1393">
        <v>6.342978972633219E8</v>
      </c>
      <c r="DN191" s="1393">
        <v>0.0</v>
      </c>
      <c r="DO191" s="1393">
        <v>0.0</v>
      </c>
      <c r="DP191" s="1393">
        <v>0.0</v>
      </c>
      <c r="DQ191" s="1393">
        <v>6.555172436573551E7</v>
      </c>
      <c r="DR191" s="1379">
        <f>SUM(Z191:DQ191)</f>
        <v>8534595506</v>
      </c>
    </row>
    <row r="192" hidden="1">
      <c r="A192" s="25" t="s">
        <v>52</v>
      </c>
      <c r="B192" s="1399" t="s">
        <v>53</v>
      </c>
      <c r="C192" s="7"/>
      <c r="D192" s="1225"/>
      <c r="E192" s="1225"/>
      <c r="F192" s="1225"/>
      <c r="G192" s="1225"/>
      <c r="H192" s="1225"/>
      <c r="I192" s="1225"/>
      <c r="J192" s="1225"/>
      <c r="K192" s="1225"/>
      <c r="L192" s="1400">
        <f t="shared" ref="L192:X192" si="57">L193+L196+L199+L203+L207</f>
        <v>1257804823</v>
      </c>
      <c r="M192" s="1400">
        <f t="shared" si="57"/>
        <v>1257804823</v>
      </c>
      <c r="N192" s="1400">
        <f t="shared" si="57"/>
        <v>2789320823</v>
      </c>
      <c r="O192" s="1400">
        <f t="shared" si="57"/>
        <v>2958349363</v>
      </c>
      <c r="P192" s="1400">
        <f t="shared" si="57"/>
        <v>2958349363</v>
      </c>
      <c r="Q192" s="1400">
        <f t="shared" si="57"/>
        <v>3113057696</v>
      </c>
      <c r="R192" s="1400">
        <f t="shared" si="57"/>
        <v>3113057696</v>
      </c>
      <c r="S192" s="1400">
        <f t="shared" si="57"/>
        <v>3113057696</v>
      </c>
      <c r="T192" s="1400">
        <f t="shared" si="57"/>
        <v>3187257696</v>
      </c>
      <c r="U192" s="1400">
        <f t="shared" si="57"/>
        <v>3128057696</v>
      </c>
      <c r="V192" s="1400">
        <f t="shared" si="57"/>
        <v>3167057696</v>
      </c>
      <c r="W192" s="1400">
        <f t="shared" si="57"/>
        <v>3128057696</v>
      </c>
      <c r="X192" s="1400">
        <f t="shared" si="57"/>
        <v>33171233067</v>
      </c>
      <c r="Y192" s="1392">
        <f t="shared" si="3"/>
        <v>0</v>
      </c>
    </row>
    <row r="193" hidden="1">
      <c r="A193" s="1401">
        <v>20.0</v>
      </c>
      <c r="B193" s="1402" t="s">
        <v>1915</v>
      </c>
      <c r="C193" s="7"/>
      <c r="D193" s="1225"/>
      <c r="E193" s="1225"/>
      <c r="F193" s="1225"/>
      <c r="G193" s="1225"/>
      <c r="H193" s="1225"/>
      <c r="I193" s="1225"/>
      <c r="J193" s="1225"/>
      <c r="K193" s="1225"/>
      <c r="L193" s="1396">
        <f t="shared" ref="L193:X193" si="58">L194+L195</f>
        <v>0</v>
      </c>
      <c r="M193" s="1396">
        <f t="shared" si="58"/>
        <v>0</v>
      </c>
      <c r="N193" s="1396">
        <f t="shared" si="58"/>
        <v>1531516000</v>
      </c>
      <c r="O193" s="1396">
        <f t="shared" si="58"/>
        <v>1531516000</v>
      </c>
      <c r="P193" s="1396">
        <f t="shared" si="58"/>
        <v>1531516000</v>
      </c>
      <c r="Q193" s="1396">
        <f t="shared" si="58"/>
        <v>1686224333</v>
      </c>
      <c r="R193" s="1396">
        <f t="shared" si="58"/>
        <v>1686224333</v>
      </c>
      <c r="S193" s="1396">
        <f t="shared" si="58"/>
        <v>1686224333</v>
      </c>
      <c r="T193" s="1396">
        <f t="shared" si="58"/>
        <v>1686224333</v>
      </c>
      <c r="U193" s="1396">
        <f t="shared" si="58"/>
        <v>1686224333</v>
      </c>
      <c r="V193" s="1396">
        <f t="shared" si="58"/>
        <v>1686224333</v>
      </c>
      <c r="W193" s="1396">
        <f t="shared" si="58"/>
        <v>1686224333</v>
      </c>
      <c r="X193" s="1396">
        <f t="shared" si="58"/>
        <v>16398118331</v>
      </c>
      <c r="Y193" s="1392">
        <f t="shared" si="3"/>
        <v>0</v>
      </c>
    </row>
    <row r="194" hidden="1">
      <c r="A194" s="1401"/>
      <c r="B194" s="1407">
        <v>1.0</v>
      </c>
      <c r="C194" s="1404" t="s">
        <v>1510</v>
      </c>
      <c r="D194" s="185" t="s">
        <v>186</v>
      </c>
      <c r="E194" s="185" t="s">
        <v>1509</v>
      </c>
      <c r="F194" s="185" t="s">
        <v>1910</v>
      </c>
      <c r="G194" s="185" t="s">
        <v>86</v>
      </c>
      <c r="H194" s="185" t="s">
        <v>86</v>
      </c>
      <c r="I194" s="185" t="s">
        <v>103</v>
      </c>
      <c r="J194" s="185" t="s">
        <v>1911</v>
      </c>
      <c r="K194" s="185" t="s">
        <v>188</v>
      </c>
      <c r="L194" s="1390"/>
      <c r="M194" s="503"/>
      <c r="N194" s="503">
        <v>1.531516E9</v>
      </c>
      <c r="O194" s="503">
        <v>1.531516E9</v>
      </c>
      <c r="P194" s="503">
        <v>1.531516E9</v>
      </c>
      <c r="Q194" s="503">
        <v>1.531516E9</v>
      </c>
      <c r="R194" s="503">
        <v>1.531516E9</v>
      </c>
      <c r="S194" s="503">
        <v>1.531516E9</v>
      </c>
      <c r="T194" s="503">
        <v>1.531516E9</v>
      </c>
      <c r="U194" s="503">
        <v>1.531516E9</v>
      </c>
      <c r="V194" s="503">
        <v>1.531516E9</v>
      </c>
      <c r="W194" s="503">
        <v>1.531516E9</v>
      </c>
      <c r="X194" s="1405">
        <v>1.531516E10</v>
      </c>
      <c r="Y194" s="1392">
        <f t="shared" si="3"/>
        <v>0</v>
      </c>
      <c r="Z194" s="1393">
        <v>0.0</v>
      </c>
      <c r="AA194" s="1393">
        <v>0.0</v>
      </c>
      <c r="AB194" s="1393">
        <v>0.0</v>
      </c>
      <c r="AC194" s="1393">
        <v>0.0</v>
      </c>
      <c r="AD194" s="1393">
        <v>0.0</v>
      </c>
      <c r="AE194" s="1393">
        <v>0.0</v>
      </c>
      <c r="AF194" s="1393">
        <v>0.0</v>
      </c>
      <c r="AG194" s="1393">
        <v>0.0</v>
      </c>
      <c r="AH194" s="1393">
        <v>0.0</v>
      </c>
      <c r="AI194" s="1393">
        <v>0.0</v>
      </c>
      <c r="AJ194" s="1393">
        <v>0.0</v>
      </c>
      <c r="AK194" s="1393">
        <v>0.0</v>
      </c>
      <c r="AL194" s="1393">
        <v>0.0</v>
      </c>
      <c r="AM194" s="1393">
        <v>0.0</v>
      </c>
      <c r="AN194" s="1393">
        <v>0.0</v>
      </c>
      <c r="AO194" s="1393">
        <v>0.0</v>
      </c>
      <c r="AP194" s="1393">
        <v>2.1216819386008748E8</v>
      </c>
      <c r="AQ194" s="1393">
        <v>0.0</v>
      </c>
      <c r="AR194" s="1393">
        <v>0.0</v>
      </c>
      <c r="AS194" s="1393">
        <v>1.1773271944557576E9</v>
      </c>
      <c r="AT194" s="1393">
        <v>0.0</v>
      </c>
      <c r="AU194" s="1393">
        <v>0.0</v>
      </c>
      <c r="AV194" s="1393">
        <v>0.0</v>
      </c>
      <c r="AW194" s="1393">
        <v>6.891353514196596E7</v>
      </c>
      <c r="AX194" s="1393">
        <v>1.9717729351580057E8</v>
      </c>
      <c r="AY194" s="1393">
        <v>0.0</v>
      </c>
      <c r="AZ194" s="1393">
        <v>0.0</v>
      </c>
      <c r="BA194" s="1393">
        <v>1.0948587533190086E9</v>
      </c>
      <c r="BB194" s="1393">
        <v>0.0</v>
      </c>
      <c r="BC194" s="1393">
        <v>0.0</v>
      </c>
      <c r="BD194" s="1393">
        <v>0.0</v>
      </c>
      <c r="BE194" s="1393">
        <v>6.404439844955967E7</v>
      </c>
      <c r="BF194" s="1393">
        <v>1.950827828854151E8</v>
      </c>
      <c r="BG194" s="1393">
        <v>0.0</v>
      </c>
      <c r="BH194" s="1393">
        <v>0.0</v>
      </c>
      <c r="BI194" s="1393">
        <v>1.0833311340974283E9</v>
      </c>
      <c r="BJ194" s="1393">
        <v>0.0</v>
      </c>
      <c r="BK194" s="1393">
        <v>0.0</v>
      </c>
      <c r="BL194" s="1393">
        <v>0.0</v>
      </c>
      <c r="BM194" s="1393">
        <v>6.336408850627253E7</v>
      </c>
      <c r="BN194" s="1393">
        <v>1.980048890820844E8</v>
      </c>
      <c r="BO194" s="1393">
        <v>0.0</v>
      </c>
      <c r="BP194" s="1393">
        <v>0.0</v>
      </c>
      <c r="BQ194" s="1393">
        <v>1.0993318730954778E9</v>
      </c>
      <c r="BR194" s="1393">
        <v>0.0</v>
      </c>
      <c r="BS194" s="1393">
        <v>0.0</v>
      </c>
      <c r="BT194" s="1393">
        <v>0.0</v>
      </c>
      <c r="BU194" s="1393">
        <v>6.431320658287507E7</v>
      </c>
      <c r="BV194" s="1393">
        <v>2.0710812497038332E8</v>
      </c>
      <c r="BW194" s="1393">
        <v>0.0</v>
      </c>
      <c r="BX194" s="1393">
        <v>0.0</v>
      </c>
      <c r="BY194" s="1393">
        <v>1.1493638160478792E9</v>
      </c>
      <c r="BZ194" s="1393">
        <v>0.0</v>
      </c>
      <c r="CA194" s="1393">
        <v>0.0</v>
      </c>
      <c r="CB194" s="1393">
        <v>0.0</v>
      </c>
      <c r="CC194" s="1393">
        <v>6.726999362470466E7</v>
      </c>
      <c r="CD194" s="1393">
        <v>2.0839142784380904E8</v>
      </c>
      <c r="CE194" s="1393">
        <v>0.0</v>
      </c>
      <c r="CF194" s="1393">
        <v>0.0</v>
      </c>
      <c r="CG194" s="1393">
        <v>1.156414745334575E9</v>
      </c>
      <c r="CH194" s="1393">
        <v>0.0</v>
      </c>
      <c r="CI194" s="1393">
        <v>0.0</v>
      </c>
      <c r="CJ194" s="1393">
        <v>0.0</v>
      </c>
      <c r="CK194" s="1393">
        <v>6.768681829600261E7</v>
      </c>
      <c r="CL194" s="1393">
        <v>2.0159059183437526E8</v>
      </c>
      <c r="CM194" s="1393">
        <v>0.0</v>
      </c>
      <c r="CN194" s="1393">
        <v>0.0</v>
      </c>
      <c r="CO194" s="1393">
        <v>1.1189649296680596E9</v>
      </c>
      <c r="CP194" s="1393">
        <v>0.0</v>
      </c>
      <c r="CQ194" s="1393">
        <v>0.0</v>
      </c>
      <c r="CR194" s="1393">
        <v>0.0</v>
      </c>
      <c r="CS194" s="1393">
        <v>6.5477864904808074E7</v>
      </c>
      <c r="CT194" s="1393">
        <v>2.011424741164531E8</v>
      </c>
      <c r="CU194" s="1393">
        <v>0.0</v>
      </c>
      <c r="CV194" s="1393">
        <v>0.0</v>
      </c>
      <c r="CW194" s="1393">
        <v>1.1165020195320988E9</v>
      </c>
      <c r="CX194" s="1393">
        <v>0.0</v>
      </c>
      <c r="CY194" s="1393">
        <v>0.0</v>
      </c>
      <c r="CZ194" s="1393">
        <v>0.0</v>
      </c>
      <c r="DA194" s="1393">
        <v>6.533231351211378E7</v>
      </c>
      <c r="DB194" s="1393">
        <v>1.9784330863158762E8</v>
      </c>
      <c r="DC194" s="1393">
        <v>0.0</v>
      </c>
      <c r="DD194" s="1393">
        <v>0.0</v>
      </c>
      <c r="DE194" s="1393">
        <v>1.098364808147285E9</v>
      </c>
      <c r="DF194" s="1393">
        <v>0.0</v>
      </c>
      <c r="DG194" s="1393">
        <v>0.0</v>
      </c>
      <c r="DH194" s="1393">
        <v>0.0</v>
      </c>
      <c r="DI194" s="1393">
        <v>6.426072425811671E7</v>
      </c>
      <c r="DJ194" s="1393">
        <v>2.009390690513274E8</v>
      </c>
      <c r="DK194" s="1393">
        <v>0.0</v>
      </c>
      <c r="DL194" s="1393">
        <v>0.0</v>
      </c>
      <c r="DM194" s="1393">
        <v>1.1153794884675505E9</v>
      </c>
      <c r="DN194" s="1393">
        <v>0.0</v>
      </c>
      <c r="DO194" s="1393">
        <v>0.0</v>
      </c>
      <c r="DP194" s="1393">
        <v>0.0</v>
      </c>
      <c r="DQ194" s="1393">
        <v>6.526624629511689E7</v>
      </c>
      <c r="DR194" s="1379">
        <f t="shared" ref="DR194:DR195" si="59">SUM(Z194:DQ194)</f>
        <v>13885216108</v>
      </c>
    </row>
    <row r="195" hidden="1">
      <c r="A195" s="1401"/>
      <c r="B195" s="1403">
        <f>B194+1</f>
        <v>2</v>
      </c>
      <c r="C195" s="1404" t="s">
        <v>1513</v>
      </c>
      <c r="D195" s="185" t="s">
        <v>186</v>
      </c>
      <c r="E195" s="185" t="s">
        <v>1509</v>
      </c>
      <c r="F195" s="185" t="s">
        <v>1910</v>
      </c>
      <c r="G195" s="185" t="s">
        <v>84</v>
      </c>
      <c r="H195" s="185" t="s">
        <v>84</v>
      </c>
      <c r="I195" s="185" t="s">
        <v>103</v>
      </c>
      <c r="J195" s="185" t="s">
        <v>1911</v>
      </c>
      <c r="K195" s="185" t="s">
        <v>188</v>
      </c>
      <c r="L195" s="1390"/>
      <c r="M195" s="503"/>
      <c r="N195" s="503"/>
      <c r="O195" s="503"/>
      <c r="P195" s="503"/>
      <c r="Q195" s="503">
        <v>1.54708333E8</v>
      </c>
      <c r="R195" s="503">
        <v>1.54708333E8</v>
      </c>
      <c r="S195" s="503">
        <v>1.54708333E8</v>
      </c>
      <c r="T195" s="503">
        <v>1.54708333E8</v>
      </c>
      <c r="U195" s="503">
        <v>1.54708333E8</v>
      </c>
      <c r="V195" s="503">
        <v>1.54708333E8</v>
      </c>
      <c r="W195" s="503">
        <v>1.54708333E8</v>
      </c>
      <c r="X195" s="1405">
        <v>1.082958331E9</v>
      </c>
      <c r="Y195" s="1392">
        <f t="shared" si="3"/>
        <v>0</v>
      </c>
      <c r="Z195" s="1393">
        <v>0.0</v>
      </c>
      <c r="AA195" s="1393">
        <v>0.0</v>
      </c>
      <c r="AB195" s="1393">
        <v>0.0</v>
      </c>
      <c r="AC195" s="1393">
        <v>0.0</v>
      </c>
      <c r="AD195" s="1393">
        <v>0.0</v>
      </c>
      <c r="AE195" s="1393">
        <v>0.0</v>
      </c>
      <c r="AF195" s="1393">
        <v>0.0</v>
      </c>
      <c r="AG195" s="1393">
        <v>0.0</v>
      </c>
      <c r="AH195" s="1393">
        <v>0.0</v>
      </c>
      <c r="AI195" s="1393">
        <v>0.0</v>
      </c>
      <c r="AJ195" s="1393">
        <v>0.0</v>
      </c>
      <c r="AK195" s="1393">
        <v>0.0</v>
      </c>
      <c r="AL195" s="1393">
        <v>0.0</v>
      </c>
      <c r="AM195" s="1393">
        <v>0.0</v>
      </c>
      <c r="AN195" s="1393">
        <v>0.0</v>
      </c>
      <c r="AO195" s="1393">
        <v>0.0</v>
      </c>
      <c r="AP195" s="1393">
        <v>0.0</v>
      </c>
      <c r="AQ195" s="1393">
        <v>0.0</v>
      </c>
      <c r="AR195" s="1393">
        <v>0.0</v>
      </c>
      <c r="AS195" s="1393">
        <v>0.0</v>
      </c>
      <c r="AT195" s="1393">
        <v>0.0</v>
      </c>
      <c r="AU195" s="1393">
        <v>0.0</v>
      </c>
      <c r="AV195" s="1393">
        <v>0.0</v>
      </c>
      <c r="AW195" s="1393">
        <v>0.0</v>
      </c>
      <c r="AX195" s="1393">
        <v>0.0</v>
      </c>
      <c r="AY195" s="1393">
        <v>0.0</v>
      </c>
      <c r="AZ195" s="1393">
        <v>0.0</v>
      </c>
      <c r="BA195" s="1393">
        <v>0.0</v>
      </c>
      <c r="BB195" s="1393">
        <v>0.0</v>
      </c>
      <c r="BC195" s="1393">
        <v>0.0</v>
      </c>
      <c r="BD195" s="1393">
        <v>0.0</v>
      </c>
      <c r="BE195" s="1393">
        <v>0.0</v>
      </c>
      <c r="BF195" s="1393">
        <v>0.0</v>
      </c>
      <c r="BG195" s="1393">
        <v>0.0</v>
      </c>
      <c r="BH195" s="1393">
        <v>0.0</v>
      </c>
      <c r="BI195" s="1393">
        <v>0.0</v>
      </c>
      <c r="BJ195" s="1393">
        <v>0.0</v>
      </c>
      <c r="BK195" s="1393">
        <v>0.0</v>
      </c>
      <c r="BL195" s="1393">
        <v>0.0</v>
      </c>
      <c r="BM195" s="1393">
        <v>0.0</v>
      </c>
      <c r="BN195" s="1393">
        <v>2.8004686450733565E7</v>
      </c>
      <c r="BO195" s="1393">
        <v>0.0</v>
      </c>
      <c r="BP195" s="1393">
        <v>0.0</v>
      </c>
      <c r="BQ195" s="1393">
        <v>7.142242006451924E7</v>
      </c>
      <c r="BR195" s="1393">
        <v>1.4002343225366782E7</v>
      </c>
      <c r="BS195" s="1393">
        <v>0.0</v>
      </c>
      <c r="BT195" s="1393">
        <v>0.0</v>
      </c>
      <c r="BU195" s="1393">
        <v>1.1510427379573047E7</v>
      </c>
      <c r="BV195" s="1393">
        <v>2.7959304244975895E7</v>
      </c>
      <c r="BW195" s="1393">
        <v>0.0</v>
      </c>
      <c r="BX195" s="1393">
        <v>0.0</v>
      </c>
      <c r="BY195" s="1393">
        <v>7.132363644910076E7</v>
      </c>
      <c r="BZ195" s="1393">
        <v>1.3979652122487947E7</v>
      </c>
      <c r="CA195" s="1393">
        <v>0.0</v>
      </c>
      <c r="CB195" s="1393">
        <v>0.0</v>
      </c>
      <c r="CC195" s="1393">
        <v>1.1487736276694214E7</v>
      </c>
      <c r="CD195" s="1393">
        <v>2.7959304245427746E7</v>
      </c>
      <c r="CE195" s="1393">
        <v>0.0</v>
      </c>
      <c r="CF195" s="1393">
        <v>0.0</v>
      </c>
      <c r="CG195" s="1393">
        <v>7.132363644866867E7</v>
      </c>
      <c r="CH195" s="1393">
        <v>1.3979652122713873E7</v>
      </c>
      <c r="CI195" s="1393">
        <v>0.0</v>
      </c>
      <c r="CJ195" s="1393">
        <v>0.0</v>
      </c>
      <c r="CK195" s="1393">
        <v>1.1487736277257249E7</v>
      </c>
      <c r="CL195" s="1393">
        <v>2.8151516236090664E7</v>
      </c>
      <c r="CM195" s="1393">
        <v>0.0</v>
      </c>
      <c r="CN195" s="1393">
        <v>0.0</v>
      </c>
      <c r="CO195" s="1393">
        <v>7.155679867725018E7</v>
      </c>
      <c r="CP195" s="1393">
        <v>1.4075758118045332E7</v>
      </c>
      <c r="CQ195" s="1393">
        <v>0.0</v>
      </c>
      <c r="CR195" s="1393">
        <v>0.0</v>
      </c>
      <c r="CS195" s="1393">
        <v>1.162795023148086E7</v>
      </c>
      <c r="CT195" s="1393">
        <v>2.8041972960234873E7</v>
      </c>
      <c r="CU195" s="1393">
        <v>0.0</v>
      </c>
      <c r="CV195" s="1393">
        <v>0.0</v>
      </c>
      <c r="CW195" s="1393">
        <v>7.139986228614835E7</v>
      </c>
      <c r="CX195" s="1393">
        <v>1.4020986480117436E7</v>
      </c>
      <c r="CY195" s="1393">
        <v>0.0</v>
      </c>
      <c r="CZ195" s="1393">
        <v>0.0</v>
      </c>
      <c r="DA195" s="1393">
        <v>1.1553769357836192E7</v>
      </c>
      <c r="DB195" s="1393">
        <v>2.8129584520761672E7</v>
      </c>
      <c r="DC195" s="1393">
        <v>0.0</v>
      </c>
      <c r="DD195" s="1393">
        <v>0.0</v>
      </c>
      <c r="DE195" s="1393">
        <v>7.153672677143297E7</v>
      </c>
      <c r="DF195" s="1393">
        <v>1.4064792260380836E7</v>
      </c>
      <c r="DG195" s="1393">
        <v>0.0</v>
      </c>
      <c r="DH195" s="1393">
        <v>0.0</v>
      </c>
      <c r="DI195" s="1393">
        <v>1.1610396043190112E7</v>
      </c>
      <c r="DJ195" s="1393">
        <v>2.8041972960671183E7</v>
      </c>
      <c r="DK195" s="1393">
        <v>0.0</v>
      </c>
      <c r="DL195" s="1393">
        <v>0.0</v>
      </c>
      <c r="DM195" s="1393">
        <v>7.139986228571033E7</v>
      </c>
      <c r="DN195" s="1393">
        <v>1.4020986480335591E7</v>
      </c>
      <c r="DO195" s="1393">
        <v>0.0</v>
      </c>
      <c r="DP195" s="1393">
        <v>0.0</v>
      </c>
      <c r="DQ195" s="1393">
        <v>1.1553769358384805E7</v>
      </c>
      <c r="DR195" s="1379">
        <f t="shared" si="59"/>
        <v>875227240.3</v>
      </c>
    </row>
    <row r="196" hidden="1">
      <c r="A196" s="1401">
        <v>21.0</v>
      </c>
      <c r="B196" s="1402" t="s">
        <v>1916</v>
      </c>
      <c r="C196" s="7"/>
      <c r="D196" s="1225"/>
      <c r="E196" s="1225"/>
      <c r="F196" s="1225"/>
      <c r="G196" s="1225"/>
      <c r="H196" s="1225"/>
      <c r="I196" s="1225"/>
      <c r="J196" s="1225"/>
      <c r="K196" s="1225"/>
      <c r="L196" s="1396">
        <f t="shared" ref="L196:X196" si="60">L197+L198</f>
        <v>629366436</v>
      </c>
      <c r="M196" s="1396">
        <f t="shared" si="60"/>
        <v>629366436</v>
      </c>
      <c r="N196" s="1396">
        <f t="shared" si="60"/>
        <v>629366436</v>
      </c>
      <c r="O196" s="1396">
        <f t="shared" si="60"/>
        <v>629366436</v>
      </c>
      <c r="P196" s="1396">
        <f t="shared" si="60"/>
        <v>629366436</v>
      </c>
      <c r="Q196" s="1396">
        <f t="shared" si="60"/>
        <v>629366436</v>
      </c>
      <c r="R196" s="1396">
        <f t="shared" si="60"/>
        <v>629366436</v>
      </c>
      <c r="S196" s="1396">
        <f t="shared" si="60"/>
        <v>629366436</v>
      </c>
      <c r="T196" s="1396">
        <f t="shared" si="60"/>
        <v>629366436</v>
      </c>
      <c r="U196" s="1396">
        <f t="shared" si="60"/>
        <v>629366436</v>
      </c>
      <c r="V196" s="1396">
        <f t="shared" si="60"/>
        <v>629366436</v>
      </c>
      <c r="W196" s="1396">
        <f t="shared" si="60"/>
        <v>629366436</v>
      </c>
      <c r="X196" s="1396">
        <f t="shared" si="60"/>
        <v>7552397232</v>
      </c>
      <c r="Y196" s="1392">
        <f t="shared" si="3"/>
        <v>0</v>
      </c>
    </row>
    <row r="197" hidden="1">
      <c r="A197" s="1401"/>
      <c r="B197" s="1388">
        <v>1.0</v>
      </c>
      <c r="C197" s="1389" t="s">
        <v>1525</v>
      </c>
      <c r="D197" s="185" t="s">
        <v>186</v>
      </c>
      <c r="E197" s="185" t="s">
        <v>784</v>
      </c>
      <c r="F197" s="185" t="s">
        <v>1896</v>
      </c>
      <c r="G197" s="185" t="s">
        <v>86</v>
      </c>
      <c r="H197" s="185" t="s">
        <v>86</v>
      </c>
      <c r="I197" s="185" t="s">
        <v>103</v>
      </c>
      <c r="J197" s="185" t="s">
        <v>1889</v>
      </c>
      <c r="K197" s="185" t="s">
        <v>188</v>
      </c>
      <c r="L197" s="1390">
        <v>3.30427E8</v>
      </c>
      <c r="M197" s="1390">
        <v>3.30427E8</v>
      </c>
      <c r="N197" s="1390">
        <v>3.30427E8</v>
      </c>
      <c r="O197" s="1390">
        <v>3.30427E8</v>
      </c>
      <c r="P197" s="1390">
        <v>3.30427E8</v>
      </c>
      <c r="Q197" s="1390">
        <v>3.30427E8</v>
      </c>
      <c r="R197" s="1390">
        <v>3.30427E8</v>
      </c>
      <c r="S197" s="1390">
        <v>3.30427E8</v>
      </c>
      <c r="T197" s="1390">
        <v>3.30427E8</v>
      </c>
      <c r="U197" s="1390">
        <v>3.30427E8</v>
      </c>
      <c r="V197" s="1390">
        <v>3.30427E8</v>
      </c>
      <c r="W197" s="1390">
        <v>3.30427E8</v>
      </c>
      <c r="X197" s="1391">
        <v>3.965124E9</v>
      </c>
      <c r="Y197" s="1392">
        <f t="shared" si="3"/>
        <v>0</v>
      </c>
      <c r="Z197" s="1393">
        <v>4.083468031545681E7</v>
      </c>
      <c r="AA197" s="1393">
        <v>0.0</v>
      </c>
      <c r="AB197" s="1393">
        <v>0.0</v>
      </c>
      <c r="AC197" s="1393">
        <v>2.2753164916044253E8</v>
      </c>
      <c r="AD197" s="1393">
        <v>0.0</v>
      </c>
      <c r="AE197" s="1393">
        <v>0.0</v>
      </c>
      <c r="AF197" s="1393">
        <v>0.0</v>
      </c>
      <c r="AG197" s="1393">
        <v>1.3263355481009973E7</v>
      </c>
      <c r="AH197" s="1393">
        <v>4.165660944331263E7</v>
      </c>
      <c r="AI197" s="1393">
        <v>0.0</v>
      </c>
      <c r="AJ197" s="1393">
        <v>0.0</v>
      </c>
      <c r="AK197" s="1393">
        <v>2.3152304080916008E8</v>
      </c>
      <c r="AL197" s="1393">
        <v>0.0</v>
      </c>
      <c r="AM197" s="1393">
        <v>0.0</v>
      </c>
      <c r="AN197" s="1393">
        <v>0.0</v>
      </c>
      <c r="AO197" s="1393">
        <v>1.3530323120250238E7</v>
      </c>
      <c r="AP197" s="1393">
        <v>4.577562349502527E7</v>
      </c>
      <c r="AQ197" s="1393">
        <v>0.0</v>
      </c>
      <c r="AR197" s="1393">
        <v>0.0</v>
      </c>
      <c r="AS197" s="1393">
        <v>2.5401020484437162E8</v>
      </c>
      <c r="AT197" s="1393">
        <v>0.0</v>
      </c>
      <c r="AU197" s="1393">
        <v>0.0</v>
      </c>
      <c r="AV197" s="1393">
        <v>0.0</v>
      </c>
      <c r="AW197" s="1393">
        <v>1.486820423446728E7</v>
      </c>
      <c r="AX197" s="1393">
        <v>4.2541313028754145E7</v>
      </c>
      <c r="AY197" s="1393">
        <v>0.0</v>
      </c>
      <c r="AZ197" s="1393">
        <v>0.0</v>
      </c>
      <c r="BA197" s="1393">
        <v>2.3621750819641456E8</v>
      </c>
      <c r="BB197" s="1393">
        <v>0.0</v>
      </c>
      <c r="BC197" s="1393">
        <v>0.0</v>
      </c>
      <c r="BD197" s="1393">
        <v>0.0</v>
      </c>
      <c r="BE197" s="1393">
        <v>1.3817680289655905E7</v>
      </c>
      <c r="BF197" s="1393">
        <v>4.20894190465389E7</v>
      </c>
      <c r="BG197" s="1393">
        <v>0.0</v>
      </c>
      <c r="BH197" s="1393">
        <v>0.0</v>
      </c>
      <c r="BI197" s="1393">
        <v>2.337304061115985E8</v>
      </c>
      <c r="BJ197" s="1393">
        <v>0.0</v>
      </c>
      <c r="BK197" s="1393">
        <v>0.0</v>
      </c>
      <c r="BL197" s="1393">
        <v>0.0</v>
      </c>
      <c r="BM197" s="1393">
        <v>1.3670902343078436E7</v>
      </c>
      <c r="BN197" s="1393">
        <v>4.271986808151263E7</v>
      </c>
      <c r="BO197" s="1393">
        <v>0.0</v>
      </c>
      <c r="BP197" s="1393">
        <v>0.0</v>
      </c>
      <c r="BQ197" s="1393">
        <v>2.371825908650771E8</v>
      </c>
      <c r="BR197" s="1393">
        <v>0.0</v>
      </c>
      <c r="BS197" s="1393">
        <v>0.0</v>
      </c>
      <c r="BT197" s="1393">
        <v>0.0</v>
      </c>
      <c r="BU197" s="1393">
        <v>1.387567606969804E7</v>
      </c>
      <c r="BV197" s="1393">
        <v>4.468390562657448E7</v>
      </c>
      <c r="BW197" s="1393">
        <v>0.0</v>
      </c>
      <c r="BX197" s="1393">
        <v>0.0</v>
      </c>
      <c r="BY197" s="1393">
        <v>2.479770617122202E8</v>
      </c>
      <c r="BZ197" s="1393">
        <v>0.0</v>
      </c>
      <c r="CA197" s="1393">
        <v>0.0</v>
      </c>
      <c r="CB197" s="1393">
        <v>0.0</v>
      </c>
      <c r="CC197" s="1393">
        <v>1.451360755188342E7</v>
      </c>
      <c r="CD197" s="1393">
        <v>4.496078025181995E7</v>
      </c>
      <c r="CE197" s="1393">
        <v>0.0</v>
      </c>
      <c r="CF197" s="1393">
        <v>0.0</v>
      </c>
      <c r="CG197" s="1393">
        <v>2.4949831086104724E8</v>
      </c>
      <c r="CH197" s="1393">
        <v>0.0</v>
      </c>
      <c r="CI197" s="1393">
        <v>0.0</v>
      </c>
      <c r="CJ197" s="1393">
        <v>0.0</v>
      </c>
      <c r="CK197" s="1393">
        <v>1.4603538134171145E7</v>
      </c>
      <c r="CL197" s="1393">
        <v>4.349348912323288E7</v>
      </c>
      <c r="CM197" s="1393">
        <v>0.0</v>
      </c>
      <c r="CN197" s="1393">
        <v>0.0</v>
      </c>
      <c r="CO197" s="1393">
        <v>2.4141845388192344E8</v>
      </c>
      <c r="CP197" s="1393">
        <v>0.0</v>
      </c>
      <c r="CQ197" s="1393">
        <v>0.0</v>
      </c>
      <c r="CR197" s="1393">
        <v>0.0</v>
      </c>
      <c r="CS197" s="1393">
        <v>1.4126952945252297E7</v>
      </c>
      <c r="CT197" s="1393">
        <v>4.3396807016627476E7</v>
      </c>
      <c r="CU197" s="1393">
        <v>0.0</v>
      </c>
      <c r="CV197" s="1393">
        <v>0.0</v>
      </c>
      <c r="CW197" s="1393">
        <v>2.4088707712353826E8</v>
      </c>
      <c r="CX197" s="1393">
        <v>0.0</v>
      </c>
      <c r="CY197" s="1393">
        <v>0.0</v>
      </c>
      <c r="CZ197" s="1393">
        <v>0.0</v>
      </c>
      <c r="DA197" s="1393">
        <v>1.4095550002002735E7</v>
      </c>
      <c r="DB197" s="1393">
        <v>4.2685006843682736E7</v>
      </c>
      <c r="DC197" s="1393">
        <v>0.0</v>
      </c>
      <c r="DD197" s="1393">
        <v>0.0</v>
      </c>
      <c r="DE197" s="1393">
        <v>2.3697394507251832E8</v>
      </c>
      <c r="DF197" s="1393">
        <v>0.0</v>
      </c>
      <c r="DG197" s="1393">
        <v>0.0</v>
      </c>
      <c r="DH197" s="1393">
        <v>0.0</v>
      </c>
      <c r="DI197" s="1393">
        <v>1.3864352925099527E7</v>
      </c>
      <c r="DJ197" s="1393">
        <v>4.3352922052020974E7</v>
      </c>
      <c r="DK197" s="1393">
        <v>0.0</v>
      </c>
      <c r="DL197" s="1393">
        <v>0.0</v>
      </c>
      <c r="DM197" s="1393">
        <v>2.4064488927041394E8</v>
      </c>
      <c r="DN197" s="1393">
        <v>0.0</v>
      </c>
      <c r="DO197" s="1393">
        <v>0.0</v>
      </c>
      <c r="DP197" s="1393">
        <v>0.0</v>
      </c>
      <c r="DQ197" s="1393">
        <v>1.4081295895411205E7</v>
      </c>
      <c r="DR197" s="1379">
        <f t="shared" ref="DR197:DR198" si="61">SUM(Z197:DQ197)</f>
        <v>3564097001</v>
      </c>
    </row>
    <row r="198" hidden="1">
      <c r="A198" s="1401"/>
      <c r="B198" s="1394">
        <f>B197+1</f>
        <v>2</v>
      </c>
      <c r="C198" s="1389" t="s">
        <v>1530</v>
      </c>
      <c r="D198" s="185" t="s">
        <v>186</v>
      </c>
      <c r="E198" s="185" t="s">
        <v>784</v>
      </c>
      <c r="F198" s="185" t="s">
        <v>1896</v>
      </c>
      <c r="G198" s="185" t="s">
        <v>218</v>
      </c>
      <c r="H198" s="185" t="s">
        <v>88</v>
      </c>
      <c r="I198" s="185" t="s">
        <v>88</v>
      </c>
      <c r="J198" s="185" t="s">
        <v>1889</v>
      </c>
      <c r="K198" s="185" t="s">
        <v>188</v>
      </c>
      <c r="L198" s="1390">
        <v>2.98939436E8</v>
      </c>
      <c r="M198" s="1390">
        <v>2.98939436E8</v>
      </c>
      <c r="N198" s="1390">
        <v>2.98939436E8</v>
      </c>
      <c r="O198" s="1390">
        <v>2.98939436E8</v>
      </c>
      <c r="P198" s="1390">
        <v>2.98939436E8</v>
      </c>
      <c r="Q198" s="1390">
        <v>2.98939436E8</v>
      </c>
      <c r="R198" s="1390">
        <v>2.98939436E8</v>
      </c>
      <c r="S198" s="1390">
        <v>2.98939436E8</v>
      </c>
      <c r="T198" s="1390">
        <v>2.98939436E8</v>
      </c>
      <c r="U198" s="1390">
        <v>2.98939436E8</v>
      </c>
      <c r="V198" s="1390">
        <v>2.98939436E8</v>
      </c>
      <c r="W198" s="1390">
        <v>2.98939436E8</v>
      </c>
      <c r="X198" s="1391">
        <v>3.587273232E9</v>
      </c>
      <c r="Y198" s="1392">
        <f t="shared" si="3"/>
        <v>0</v>
      </c>
      <c r="Z198" s="1393">
        <v>5084397.620631695</v>
      </c>
      <c r="AA198" s="1393">
        <v>0.0</v>
      </c>
      <c r="AB198" s="1393">
        <v>0.0</v>
      </c>
      <c r="AC198" s="1393">
        <v>2.174989967459696E8</v>
      </c>
      <c r="AD198" s="1393">
        <v>0.0</v>
      </c>
      <c r="AE198" s="1393">
        <v>0.0</v>
      </c>
      <c r="AF198" s="1393">
        <v>0.0</v>
      </c>
      <c r="AG198" s="1393">
        <v>2.245955326607084E7</v>
      </c>
      <c r="AH198" s="1393">
        <v>5024151.5679406645</v>
      </c>
      <c r="AI198" s="1393">
        <v>0.0</v>
      </c>
      <c r="AJ198" s="1393">
        <v>0.0</v>
      </c>
      <c r="AK198" s="1393">
        <v>2.148764381058594E8</v>
      </c>
      <c r="AL198" s="1393">
        <v>0.0</v>
      </c>
      <c r="AM198" s="1393">
        <v>0.0</v>
      </c>
      <c r="AN198" s="1393">
        <v>0.0</v>
      </c>
      <c r="AO198" s="1393">
        <v>2.219342549038428E7</v>
      </c>
      <c r="AP198" s="1393">
        <v>6304516.918682547</v>
      </c>
      <c r="AQ198" s="1393">
        <v>0.0</v>
      </c>
      <c r="AR198" s="1393">
        <v>0.0</v>
      </c>
      <c r="AS198" s="1393">
        <v>2.6928394317851835E8</v>
      </c>
      <c r="AT198" s="1393">
        <v>0.0</v>
      </c>
      <c r="AU198" s="1393">
        <v>0.0</v>
      </c>
      <c r="AV198" s="1393">
        <v>0.0</v>
      </c>
      <c r="AW198" s="1393">
        <v>2.7849244712376215E7</v>
      </c>
      <c r="AX198" s="1393">
        <v>5243567.640208387</v>
      </c>
      <c r="AY198" s="1393">
        <v>0.0</v>
      </c>
      <c r="AZ198" s="1393">
        <v>0.0</v>
      </c>
      <c r="BA198" s="1393">
        <v>2.2419960608497748E8</v>
      </c>
      <c r="BB198" s="1393">
        <v>0.0</v>
      </c>
      <c r="BC198" s="1393">
        <v>0.0</v>
      </c>
      <c r="BD198" s="1393">
        <v>0.0</v>
      </c>
      <c r="BE198" s="1393">
        <v>2.3162662621353734E7</v>
      </c>
      <c r="BF198" s="1393">
        <v>5010438.788499044</v>
      </c>
      <c r="BG198" s="1393">
        <v>0.0</v>
      </c>
      <c r="BH198" s="1393">
        <v>0.0</v>
      </c>
      <c r="BI198" s="1393">
        <v>2.1426918454626414E8</v>
      </c>
      <c r="BJ198" s="1393">
        <v>0.0</v>
      </c>
      <c r="BK198" s="1393">
        <v>0.0</v>
      </c>
      <c r="BL198" s="1393">
        <v>0.0</v>
      </c>
      <c r="BM198" s="1393">
        <v>2.2132851372607738E7</v>
      </c>
      <c r="BN198" s="1393">
        <v>5238818.760879017</v>
      </c>
      <c r="BO198" s="1393">
        <v>0.0</v>
      </c>
      <c r="BP198" s="1393">
        <v>0.0</v>
      </c>
      <c r="BQ198" s="1393">
        <v>2.2398298248777533E8</v>
      </c>
      <c r="BR198" s="1393">
        <v>0.0</v>
      </c>
      <c r="BS198" s="1393">
        <v>0.0</v>
      </c>
      <c r="BT198" s="1393">
        <v>0.0</v>
      </c>
      <c r="BU198" s="1393">
        <v>2.3141685169114497E7</v>
      </c>
      <c r="BV198" s="1393">
        <v>4803045.118684702</v>
      </c>
      <c r="BW198" s="1393">
        <v>0.0</v>
      </c>
      <c r="BX198" s="1393">
        <v>0.0</v>
      </c>
      <c r="BY198" s="1393">
        <v>2.0520453484280756E8</v>
      </c>
      <c r="BZ198" s="1393">
        <v>0.0</v>
      </c>
      <c r="CA198" s="1393">
        <v>0.0</v>
      </c>
      <c r="CB198" s="1393">
        <v>0.0</v>
      </c>
      <c r="CC198" s="1393">
        <v>2.1216721376137782E7</v>
      </c>
      <c r="CD198" s="1393">
        <v>4698760.416312685</v>
      </c>
      <c r="CE198" s="1393">
        <v>0.0</v>
      </c>
      <c r="CF198" s="1393">
        <v>0.0</v>
      </c>
      <c r="CG198" s="1393">
        <v>2.0073500414458227E8</v>
      </c>
      <c r="CH198" s="1393">
        <v>0.0</v>
      </c>
      <c r="CI198" s="1393">
        <v>0.0</v>
      </c>
      <c r="CJ198" s="1393">
        <v>0.0</v>
      </c>
      <c r="CK198" s="1393">
        <v>2.075605956277834E7</v>
      </c>
      <c r="CL198" s="1393">
        <v>5691851.980859332</v>
      </c>
      <c r="CM198" s="1393">
        <v>0.0</v>
      </c>
      <c r="CN198" s="1393">
        <v>0.0</v>
      </c>
      <c r="CO198" s="1393">
        <v>2.4327417997289282E8</v>
      </c>
      <c r="CP198" s="1393">
        <v>0.0</v>
      </c>
      <c r="CQ198" s="1393">
        <v>0.0</v>
      </c>
      <c r="CR198" s="1393">
        <v>0.0</v>
      </c>
      <c r="CS198" s="1393">
        <v>2.5142890522165403E7</v>
      </c>
      <c r="CT198" s="1393">
        <v>5754228.95645757</v>
      </c>
      <c r="CU198" s="1393">
        <v>0.0</v>
      </c>
      <c r="CV198" s="1393">
        <v>0.0</v>
      </c>
      <c r="CW198" s="1393">
        <v>2.4595219748505765E8</v>
      </c>
      <c r="CX198" s="1393">
        <v>0.0</v>
      </c>
      <c r="CY198" s="1393">
        <v>0.0</v>
      </c>
      <c r="CZ198" s="1393">
        <v>0.0</v>
      </c>
      <c r="DA198" s="1393">
        <v>2.5418431325728867E7</v>
      </c>
      <c r="DB198" s="1393">
        <v>5389318.156485293</v>
      </c>
      <c r="DC198" s="1393">
        <v>0.0</v>
      </c>
      <c r="DD198" s="1393">
        <v>0.0</v>
      </c>
      <c r="DE198" s="1393">
        <v>2.3041386298097444E8</v>
      </c>
      <c r="DF198" s="1393">
        <v>0.0</v>
      </c>
      <c r="DG198" s="1393">
        <v>0.0</v>
      </c>
      <c r="DH198" s="1393">
        <v>0.0</v>
      </c>
      <c r="DI198" s="1393">
        <v>2.3806493361615896E7</v>
      </c>
      <c r="DJ198" s="1393">
        <v>5323373.894482453</v>
      </c>
      <c r="DK198" s="1393">
        <v>0.0</v>
      </c>
      <c r="DL198" s="1393">
        <v>0.0</v>
      </c>
      <c r="DM198" s="1393">
        <v>2.2753998679666007E8</v>
      </c>
      <c r="DN198" s="1393">
        <v>0.0</v>
      </c>
      <c r="DO198" s="1393">
        <v>0.0</v>
      </c>
      <c r="DP198" s="1393">
        <v>0.0</v>
      </c>
      <c r="DQ198" s="1393">
        <v>2.3515194612864517E7</v>
      </c>
      <c r="DR198" s="1379">
        <f t="shared" si="61"/>
        <v>3061592601</v>
      </c>
    </row>
    <row r="199" hidden="1">
      <c r="A199" s="1401">
        <v>22.0</v>
      </c>
      <c r="B199" s="1402" t="s">
        <v>1917</v>
      </c>
      <c r="C199" s="7"/>
      <c r="D199" s="1225"/>
      <c r="E199" s="1225"/>
      <c r="F199" s="1225"/>
      <c r="G199" s="1225"/>
      <c r="H199" s="1225"/>
      <c r="I199" s="1225"/>
      <c r="J199" s="1225"/>
      <c r="K199" s="1225"/>
      <c r="L199" s="1396">
        <f t="shared" ref="L199:X199" si="62">L200+L201+L202</f>
        <v>628438387</v>
      </c>
      <c r="M199" s="1396">
        <f t="shared" si="62"/>
        <v>628438387</v>
      </c>
      <c r="N199" s="1396">
        <f t="shared" si="62"/>
        <v>628438387</v>
      </c>
      <c r="O199" s="1396">
        <f t="shared" si="62"/>
        <v>628438387</v>
      </c>
      <c r="P199" s="1396">
        <f t="shared" si="62"/>
        <v>628438387</v>
      </c>
      <c r="Q199" s="1396">
        <f t="shared" si="62"/>
        <v>628438387</v>
      </c>
      <c r="R199" s="1396">
        <f t="shared" si="62"/>
        <v>628438387</v>
      </c>
      <c r="S199" s="1396">
        <f t="shared" si="62"/>
        <v>628438387</v>
      </c>
      <c r="T199" s="1396">
        <f t="shared" si="62"/>
        <v>628438387</v>
      </c>
      <c r="U199" s="1396">
        <f t="shared" si="62"/>
        <v>628438387</v>
      </c>
      <c r="V199" s="1396">
        <f t="shared" si="62"/>
        <v>628438387</v>
      </c>
      <c r="W199" s="1396">
        <f t="shared" si="62"/>
        <v>628438387</v>
      </c>
      <c r="X199" s="1396">
        <f t="shared" si="62"/>
        <v>7541260644</v>
      </c>
      <c r="Y199" s="1392">
        <f t="shared" si="3"/>
        <v>0</v>
      </c>
    </row>
    <row r="200" hidden="1">
      <c r="A200" s="1401"/>
      <c r="B200" s="1388">
        <v>1.0</v>
      </c>
      <c r="C200" s="1389" t="s">
        <v>1554</v>
      </c>
      <c r="D200" s="185" t="s">
        <v>186</v>
      </c>
      <c r="E200" s="185" t="s">
        <v>1553</v>
      </c>
      <c r="F200" s="185" t="s">
        <v>1896</v>
      </c>
      <c r="G200" s="185" t="s">
        <v>86</v>
      </c>
      <c r="H200" s="185" t="s">
        <v>86</v>
      </c>
      <c r="I200" s="185" t="s">
        <v>103</v>
      </c>
      <c r="J200" s="185" t="s">
        <v>1889</v>
      </c>
      <c r="K200" s="185" t="s">
        <v>188</v>
      </c>
      <c r="L200" s="1390">
        <v>1.977E8</v>
      </c>
      <c r="M200" s="1390">
        <v>1.977E8</v>
      </c>
      <c r="N200" s="1390">
        <v>1.977E8</v>
      </c>
      <c r="O200" s="1390">
        <v>1.977E8</v>
      </c>
      <c r="P200" s="1390">
        <v>1.977E8</v>
      </c>
      <c r="Q200" s="1390">
        <v>1.977E8</v>
      </c>
      <c r="R200" s="1390">
        <v>1.977E8</v>
      </c>
      <c r="S200" s="1390">
        <v>1.977E8</v>
      </c>
      <c r="T200" s="1390">
        <v>1.977E8</v>
      </c>
      <c r="U200" s="1390">
        <v>1.977E8</v>
      </c>
      <c r="V200" s="1390">
        <v>1.977E8</v>
      </c>
      <c r="W200" s="1390">
        <v>1.977E8</v>
      </c>
      <c r="X200" s="1391">
        <v>2.3724E9</v>
      </c>
      <c r="Y200" s="1392">
        <f t="shared" si="3"/>
        <v>0</v>
      </c>
      <c r="Z200" s="1393">
        <v>2.4432072132016484E7</v>
      </c>
      <c r="AA200" s="1393">
        <v>0.0</v>
      </c>
      <c r="AB200" s="1393">
        <v>0.0</v>
      </c>
      <c r="AC200" s="1393">
        <v>1.3613599082102698E8</v>
      </c>
      <c r="AD200" s="1393">
        <v>0.0</v>
      </c>
      <c r="AE200" s="1393">
        <v>0.0</v>
      </c>
      <c r="AF200" s="1393">
        <v>0.0</v>
      </c>
      <c r="AG200" s="1393">
        <v>7935687.3941768445</v>
      </c>
      <c r="AH200" s="1393">
        <v>2.4923846074754506E7</v>
      </c>
      <c r="AI200" s="1393">
        <v>0.0</v>
      </c>
      <c r="AJ200" s="1393">
        <v>0.0</v>
      </c>
      <c r="AK200" s="1393">
        <v>1.3852410719454205E8</v>
      </c>
      <c r="AL200" s="1393">
        <v>0.0</v>
      </c>
      <c r="AM200" s="1393">
        <v>0.0</v>
      </c>
      <c r="AN200" s="1393">
        <v>0.0</v>
      </c>
      <c r="AO200" s="1393">
        <v>8095418.597370894</v>
      </c>
      <c r="AP200" s="1393">
        <v>2.7388321066276353E7</v>
      </c>
      <c r="AQ200" s="1393">
        <v>0.0</v>
      </c>
      <c r="AR200" s="1393">
        <v>0.0</v>
      </c>
      <c r="AS200" s="1393">
        <v>1.5197855350117353E8</v>
      </c>
      <c r="AT200" s="1393">
        <v>0.0</v>
      </c>
      <c r="AU200" s="1393">
        <v>0.0</v>
      </c>
      <c r="AV200" s="1393">
        <v>0.0</v>
      </c>
      <c r="AW200" s="1393">
        <v>8895895.242078222</v>
      </c>
      <c r="AX200" s="1393">
        <v>2.545317902527546E7</v>
      </c>
      <c r="AY200" s="1393">
        <v>0.0</v>
      </c>
      <c r="AZ200" s="1393">
        <v>0.0</v>
      </c>
      <c r="BA200" s="1393">
        <v>1.4133288554031953E8</v>
      </c>
      <c r="BB200" s="1393">
        <v>0.0</v>
      </c>
      <c r="BC200" s="1393">
        <v>0.0</v>
      </c>
      <c r="BD200" s="1393">
        <v>0.0</v>
      </c>
      <c r="BE200" s="1393">
        <v>8267349.197447461</v>
      </c>
      <c r="BF200" s="1393">
        <v>2.51828032984615E7</v>
      </c>
      <c r="BG200" s="1393">
        <v>0.0</v>
      </c>
      <c r="BH200" s="1393">
        <v>0.0</v>
      </c>
      <c r="BI200" s="1393">
        <v>1.3984481076989177E8</v>
      </c>
      <c r="BJ200" s="1393">
        <v>0.0</v>
      </c>
      <c r="BK200" s="1393">
        <v>0.0</v>
      </c>
      <c r="BL200" s="1393">
        <v>0.0</v>
      </c>
      <c r="BM200" s="1393">
        <v>8179529.497367367</v>
      </c>
      <c r="BN200" s="1393">
        <v>2.556001149940848E7</v>
      </c>
      <c r="BO200" s="1393">
        <v>0.0</v>
      </c>
      <c r="BP200" s="1393">
        <v>0.0</v>
      </c>
      <c r="BQ200" s="1393">
        <v>1.4191031064055222E8</v>
      </c>
      <c r="BR200" s="1393">
        <v>0.0</v>
      </c>
      <c r="BS200" s="1393">
        <v>0.0</v>
      </c>
      <c r="BT200" s="1393">
        <v>0.0</v>
      </c>
      <c r="BU200" s="1393">
        <v>8302049.042539812</v>
      </c>
      <c r="BV200" s="1393">
        <v>2.673512800822504E7</v>
      </c>
      <c r="BW200" s="1393">
        <v>0.0</v>
      </c>
      <c r="BX200" s="1393">
        <v>0.0</v>
      </c>
      <c r="BY200" s="1393">
        <v>1.4836882306986392E8</v>
      </c>
      <c r="BZ200" s="1393">
        <v>0.0</v>
      </c>
      <c r="CA200" s="1393">
        <v>0.0</v>
      </c>
      <c r="CB200" s="1393">
        <v>0.0</v>
      </c>
      <c r="CC200" s="1393">
        <v>8683734.116786316</v>
      </c>
      <c r="CD200" s="1393">
        <v>2.690078672682561E7</v>
      </c>
      <c r="CE200" s="1393">
        <v>0.0</v>
      </c>
      <c r="CF200" s="1393">
        <v>0.0</v>
      </c>
      <c r="CG200" s="1393">
        <v>1.4927901187623602E8</v>
      </c>
      <c r="CH200" s="1393">
        <v>0.0</v>
      </c>
      <c r="CI200" s="1393">
        <v>0.0</v>
      </c>
      <c r="CJ200" s="1393">
        <v>0.0</v>
      </c>
      <c r="CK200" s="1393">
        <v>8737541.088124262</v>
      </c>
      <c r="CL200" s="1393">
        <v>2.6022881906330712E7</v>
      </c>
      <c r="CM200" s="1393">
        <v>0.0</v>
      </c>
      <c r="CN200" s="1393">
        <v>0.0</v>
      </c>
      <c r="CO200" s="1393">
        <v>1.4444469832203865E8</v>
      </c>
      <c r="CP200" s="1393">
        <v>0.0</v>
      </c>
      <c r="CQ200" s="1393">
        <v>0.0</v>
      </c>
      <c r="CR200" s="1393">
        <v>0.0</v>
      </c>
      <c r="CS200" s="1393">
        <v>8452392.199415844</v>
      </c>
      <c r="CT200" s="1393">
        <v>2.5965035385084305E7</v>
      </c>
      <c r="CU200" s="1393">
        <v>0.0</v>
      </c>
      <c r="CV200" s="1393">
        <v>0.0</v>
      </c>
      <c r="CW200" s="1393">
        <v>1.4412676672101104E8</v>
      </c>
      <c r="CX200" s="1393">
        <v>0.0</v>
      </c>
      <c r="CY200" s="1393">
        <v>0.0</v>
      </c>
      <c r="CZ200" s="1393">
        <v>0.0</v>
      </c>
      <c r="DA200" s="1393">
        <v>8433603.293302124</v>
      </c>
      <c r="DB200" s="1393">
        <v>2.553915343781252E7</v>
      </c>
      <c r="DC200" s="1393">
        <v>0.0</v>
      </c>
      <c r="DD200" s="1393">
        <v>0.0</v>
      </c>
      <c r="DE200" s="1393">
        <v>1.4178547437357378E8</v>
      </c>
      <c r="DF200" s="1393">
        <v>0.0</v>
      </c>
      <c r="DG200" s="1393">
        <v>0.0</v>
      </c>
      <c r="DH200" s="1393">
        <v>0.0</v>
      </c>
      <c r="DI200" s="1393">
        <v>8295274.215763774</v>
      </c>
      <c r="DJ200" s="1393">
        <v>2.593877827684949E7</v>
      </c>
      <c r="DK200" s="1393">
        <v>0.0</v>
      </c>
      <c r="DL200" s="1393">
        <v>0.0</v>
      </c>
      <c r="DM200" s="1393">
        <v>1.439818616782552E8</v>
      </c>
      <c r="DN200" s="1393">
        <v>0.0</v>
      </c>
      <c r="DO200" s="1393">
        <v>0.0</v>
      </c>
      <c r="DP200" s="1393">
        <v>0.0</v>
      </c>
      <c r="DQ200" s="1393">
        <v>8425074.822949683</v>
      </c>
      <c r="DR200" s="1379">
        <f t="shared" ref="DR200:DR202" si="63">SUM(Z200:DQ200)</f>
        <v>2132458840</v>
      </c>
    </row>
    <row r="201" hidden="1">
      <c r="A201" s="1401"/>
      <c r="B201" s="1394">
        <f>B200+1</f>
        <v>2</v>
      </c>
      <c r="C201" s="1389" t="s">
        <v>1847</v>
      </c>
      <c r="D201" s="185" t="s">
        <v>186</v>
      </c>
      <c r="E201" s="185" t="s">
        <v>1553</v>
      </c>
      <c r="F201" s="185" t="s">
        <v>1896</v>
      </c>
      <c r="G201" s="185" t="s">
        <v>218</v>
      </c>
      <c r="H201" s="185" t="s">
        <v>88</v>
      </c>
      <c r="I201" s="185" t="s">
        <v>88</v>
      </c>
      <c r="J201" s="185" t="s">
        <v>1889</v>
      </c>
      <c r="K201" s="185" t="s">
        <v>188</v>
      </c>
      <c r="L201" s="1390">
        <v>1.68762587E8</v>
      </c>
      <c r="M201" s="1390">
        <v>1.68762587E8</v>
      </c>
      <c r="N201" s="1390">
        <v>1.68762587E8</v>
      </c>
      <c r="O201" s="1390">
        <v>1.68762587E8</v>
      </c>
      <c r="P201" s="1390">
        <v>1.68762587E8</v>
      </c>
      <c r="Q201" s="1390">
        <v>1.68762587E8</v>
      </c>
      <c r="R201" s="1390">
        <v>1.68762587E8</v>
      </c>
      <c r="S201" s="1390">
        <v>1.68762587E8</v>
      </c>
      <c r="T201" s="1390">
        <v>1.68762587E8</v>
      </c>
      <c r="U201" s="1390">
        <v>1.68762587E8</v>
      </c>
      <c r="V201" s="1390">
        <v>1.68762587E8</v>
      </c>
      <c r="W201" s="1390">
        <v>1.68762587E8</v>
      </c>
      <c r="X201" s="1391">
        <v>2.025151044E9</v>
      </c>
      <c r="Y201" s="1392">
        <f t="shared" si="3"/>
        <v>0</v>
      </c>
      <c r="Z201" s="1393">
        <v>2870334.2298218873</v>
      </c>
      <c r="AA201" s="1393">
        <v>0.0</v>
      </c>
      <c r="AB201" s="1393">
        <v>0.0</v>
      </c>
      <c r="AC201" s="1393">
        <v>1.2278638727596453E8</v>
      </c>
      <c r="AD201" s="1393">
        <v>0.0</v>
      </c>
      <c r="AE201" s="1393">
        <v>0.0</v>
      </c>
      <c r="AF201" s="1393">
        <v>0.0</v>
      </c>
      <c r="AG201" s="1393">
        <v>1.267926494665098E7</v>
      </c>
      <c r="AH201" s="1393">
        <v>2836323.060721145</v>
      </c>
      <c r="AI201" s="1393">
        <v>0.0</v>
      </c>
      <c r="AJ201" s="1393">
        <v>0.0</v>
      </c>
      <c r="AK201" s="1393">
        <v>1.2130585400612788E8</v>
      </c>
      <c r="AL201" s="1393">
        <v>0.0</v>
      </c>
      <c r="AM201" s="1393">
        <v>0.0</v>
      </c>
      <c r="AN201" s="1393">
        <v>0.0</v>
      </c>
      <c r="AO201" s="1393">
        <v>1.2529025779485965E7</v>
      </c>
      <c r="AP201" s="1393">
        <v>3559137.5939510884</v>
      </c>
      <c r="AQ201" s="1393">
        <v>0.0</v>
      </c>
      <c r="AR201" s="1393">
        <v>0.0</v>
      </c>
      <c r="AS201" s="1393">
        <v>1.520209427583444E8</v>
      </c>
      <c r="AT201" s="1393">
        <v>0.0</v>
      </c>
      <c r="AU201" s="1393">
        <v>0.0</v>
      </c>
      <c r="AV201" s="1393">
        <v>0.0</v>
      </c>
      <c r="AW201" s="1393">
        <v>1.5721949056118112E7</v>
      </c>
      <c r="AX201" s="1393">
        <v>2960191.709437268</v>
      </c>
      <c r="AY201" s="1393">
        <v>0.0</v>
      </c>
      <c r="AZ201" s="1393">
        <v>0.0</v>
      </c>
      <c r="BA201" s="1393">
        <v>1.2656913398097713E8</v>
      </c>
      <c r="BB201" s="1393">
        <v>0.0</v>
      </c>
      <c r="BC201" s="1393">
        <v>0.0</v>
      </c>
      <c r="BD201" s="1393">
        <v>0.0</v>
      </c>
      <c r="BE201" s="1393">
        <v>1.3076196697540626E7</v>
      </c>
      <c r="BF201" s="1393">
        <v>2828581.679508637</v>
      </c>
      <c r="BG201" s="1393">
        <v>0.0</v>
      </c>
      <c r="BH201" s="1393">
        <v>0.0</v>
      </c>
      <c r="BI201" s="1393">
        <v>1.2096303646738651E8</v>
      </c>
      <c r="BJ201" s="1393">
        <v>0.0</v>
      </c>
      <c r="BK201" s="1393">
        <v>0.0</v>
      </c>
      <c r="BL201" s="1393">
        <v>0.0</v>
      </c>
      <c r="BM201" s="1393">
        <v>1.2494829405270515E7</v>
      </c>
      <c r="BN201" s="1393">
        <v>2957510.78793792</v>
      </c>
      <c r="BO201" s="1393">
        <v>0.0</v>
      </c>
      <c r="BP201" s="1393">
        <v>0.0</v>
      </c>
      <c r="BQ201" s="1393">
        <v>1.2644684178976192E8</v>
      </c>
      <c r="BR201" s="1393">
        <v>0.0</v>
      </c>
      <c r="BS201" s="1393">
        <v>0.0</v>
      </c>
      <c r="BT201" s="1393">
        <v>0.0</v>
      </c>
      <c r="BU201" s="1393">
        <v>1.306435413452541E7</v>
      </c>
      <c r="BV201" s="1393">
        <v>2711500.1304376326</v>
      </c>
      <c r="BW201" s="1393">
        <v>0.0</v>
      </c>
      <c r="BX201" s="1393">
        <v>0.0</v>
      </c>
      <c r="BY201" s="1393">
        <v>1.1584569980992351E8</v>
      </c>
      <c r="BZ201" s="1393">
        <v>0.0</v>
      </c>
      <c r="CA201" s="1393">
        <v>0.0</v>
      </c>
      <c r="CB201" s="1393">
        <v>0.0</v>
      </c>
      <c r="CC201" s="1393">
        <v>1.1977639467732226E7</v>
      </c>
      <c r="CD201" s="1393">
        <v>2652627.482545079</v>
      </c>
      <c r="CE201" s="1393">
        <v>0.0</v>
      </c>
      <c r="CF201" s="1393">
        <v>0.0</v>
      </c>
      <c r="CG201" s="1393">
        <v>1.133224811493102E8</v>
      </c>
      <c r="CH201" s="1393">
        <v>0.0</v>
      </c>
      <c r="CI201" s="1393">
        <v>0.0</v>
      </c>
      <c r="CJ201" s="1393">
        <v>0.0</v>
      </c>
      <c r="CK201" s="1393">
        <v>1.1717578498878822E7</v>
      </c>
      <c r="CL201" s="1393">
        <v>3213265.128094024</v>
      </c>
      <c r="CM201" s="1393">
        <v>0.0</v>
      </c>
      <c r="CN201" s="1393">
        <v>0.0</v>
      </c>
      <c r="CO201" s="1393">
        <v>1.3733745039422965E8</v>
      </c>
      <c r="CP201" s="1393">
        <v>0.0</v>
      </c>
      <c r="CQ201" s="1393">
        <v>0.0</v>
      </c>
      <c r="CR201" s="1393">
        <v>0.0</v>
      </c>
      <c r="CS201" s="1393">
        <v>1.4194110037654633E7</v>
      </c>
      <c r="CT201" s="1393">
        <v>3248479.2835498964</v>
      </c>
      <c r="CU201" s="1393">
        <v>0.0</v>
      </c>
      <c r="CV201" s="1393">
        <v>0.0</v>
      </c>
      <c r="CW201" s="1393">
        <v>1.388492922891352E8</v>
      </c>
      <c r="CX201" s="1393">
        <v>0.0</v>
      </c>
      <c r="CY201" s="1393">
        <v>0.0</v>
      </c>
      <c r="CZ201" s="1393">
        <v>0.0</v>
      </c>
      <c r="DA201" s="1393">
        <v>1.4349663214096127E7</v>
      </c>
      <c r="DB201" s="1393">
        <v>3042473.373283975</v>
      </c>
      <c r="DC201" s="1393">
        <v>0.0</v>
      </c>
      <c r="DD201" s="1393">
        <v>0.0</v>
      </c>
      <c r="DE201" s="1393">
        <v>1.300773163877006E8</v>
      </c>
      <c r="DF201" s="1393">
        <v>0.0</v>
      </c>
      <c r="DG201" s="1393">
        <v>0.0</v>
      </c>
      <c r="DH201" s="1393">
        <v>0.0</v>
      </c>
      <c r="DI201" s="1393">
        <v>1.3439663434384165E7</v>
      </c>
      <c r="DJ201" s="1393">
        <v>3005245.3501020316</v>
      </c>
      <c r="DK201" s="1393">
        <v>0.0</v>
      </c>
      <c r="DL201" s="1393">
        <v>0.0</v>
      </c>
      <c r="DM201" s="1393">
        <v>1.2845490488498211E8</v>
      </c>
      <c r="DN201" s="1393">
        <v>0.0</v>
      </c>
      <c r="DO201" s="1393">
        <v>0.0</v>
      </c>
      <c r="DP201" s="1393">
        <v>0.0</v>
      </c>
      <c r="DQ201" s="1393">
        <v>1.3275214303526951E7</v>
      </c>
      <c r="DR201" s="1379">
        <f t="shared" si="63"/>
        <v>1728384500</v>
      </c>
    </row>
    <row r="202" hidden="1">
      <c r="A202" s="1401"/>
      <c r="B202" s="1388">
        <v>3.0</v>
      </c>
      <c r="C202" s="1389" t="s">
        <v>1848</v>
      </c>
      <c r="D202" s="185" t="s">
        <v>186</v>
      </c>
      <c r="E202" s="185" t="s">
        <v>1553</v>
      </c>
      <c r="F202" s="185" t="s">
        <v>1896</v>
      </c>
      <c r="G202" s="185" t="s">
        <v>218</v>
      </c>
      <c r="H202" s="185" t="s">
        <v>88</v>
      </c>
      <c r="I202" s="185" t="s">
        <v>88</v>
      </c>
      <c r="J202" s="185" t="s">
        <v>1889</v>
      </c>
      <c r="K202" s="185" t="s">
        <v>188</v>
      </c>
      <c r="L202" s="1390">
        <v>2.619758E8</v>
      </c>
      <c r="M202" s="1390">
        <v>2.619758E8</v>
      </c>
      <c r="N202" s="1390">
        <v>2.619758E8</v>
      </c>
      <c r="O202" s="1390">
        <v>2.619758E8</v>
      </c>
      <c r="P202" s="1390">
        <v>2.619758E8</v>
      </c>
      <c r="Q202" s="1390">
        <v>2.619758E8</v>
      </c>
      <c r="R202" s="1390">
        <v>2.619758E8</v>
      </c>
      <c r="S202" s="1390">
        <v>2.619758E8</v>
      </c>
      <c r="T202" s="1390">
        <v>2.619758E8</v>
      </c>
      <c r="U202" s="1390">
        <v>2.619758E8</v>
      </c>
      <c r="V202" s="1390">
        <v>2.619758E8</v>
      </c>
      <c r="W202" s="1390">
        <v>2.619758E8</v>
      </c>
      <c r="X202" s="1391">
        <v>3.1437096E9</v>
      </c>
      <c r="Y202" s="1392">
        <f t="shared" si="3"/>
        <v>0</v>
      </c>
      <c r="Z202" s="1393">
        <v>4713475.719910459</v>
      </c>
      <c r="AA202" s="1393">
        <v>0.0</v>
      </c>
      <c r="AB202" s="1393">
        <v>0.0</v>
      </c>
      <c r="AC202" s="1393">
        <v>2.0660213209512594E8</v>
      </c>
      <c r="AD202" s="1393">
        <v>0.0</v>
      </c>
      <c r="AE202" s="1393">
        <v>0.0</v>
      </c>
      <c r="AF202" s="1393">
        <v>0.0</v>
      </c>
      <c r="AG202" s="1393">
        <v>3.1681122873627022E7</v>
      </c>
      <c r="AH202" s="1393">
        <v>4713475.719910459</v>
      </c>
      <c r="AI202" s="1393">
        <v>0.0</v>
      </c>
      <c r="AJ202" s="1393">
        <v>0.0</v>
      </c>
      <c r="AK202" s="1393">
        <v>2.0660213209512594E8</v>
      </c>
      <c r="AL202" s="1393">
        <v>0.0</v>
      </c>
      <c r="AM202" s="1393">
        <v>0.0</v>
      </c>
      <c r="AN202" s="1393">
        <v>0.0</v>
      </c>
      <c r="AO202" s="1393">
        <v>3.1681122873627022E7</v>
      </c>
      <c r="AP202" s="1393">
        <v>4713475.719910459</v>
      </c>
      <c r="AQ202" s="1393">
        <v>0.0</v>
      </c>
      <c r="AR202" s="1393">
        <v>0.0</v>
      </c>
      <c r="AS202" s="1393">
        <v>2.0660213209512594E8</v>
      </c>
      <c r="AT202" s="1393">
        <v>0.0</v>
      </c>
      <c r="AU202" s="1393">
        <v>0.0</v>
      </c>
      <c r="AV202" s="1393">
        <v>0.0</v>
      </c>
      <c r="AW202" s="1393">
        <v>3.1681122873627022E7</v>
      </c>
      <c r="AX202" s="1393">
        <v>4713475.719910459</v>
      </c>
      <c r="AY202" s="1393">
        <v>0.0</v>
      </c>
      <c r="AZ202" s="1393">
        <v>0.0</v>
      </c>
      <c r="BA202" s="1393">
        <v>2.0660213209512594E8</v>
      </c>
      <c r="BB202" s="1393">
        <v>0.0</v>
      </c>
      <c r="BC202" s="1393">
        <v>0.0</v>
      </c>
      <c r="BD202" s="1393">
        <v>0.0</v>
      </c>
      <c r="BE202" s="1393">
        <v>3.1681122873627022E7</v>
      </c>
      <c r="BF202" s="1393">
        <v>4713475.719910459</v>
      </c>
      <c r="BG202" s="1393">
        <v>0.0</v>
      </c>
      <c r="BH202" s="1393">
        <v>0.0</v>
      </c>
      <c r="BI202" s="1393">
        <v>2.0660213209512594E8</v>
      </c>
      <c r="BJ202" s="1393">
        <v>0.0</v>
      </c>
      <c r="BK202" s="1393">
        <v>0.0</v>
      </c>
      <c r="BL202" s="1393">
        <v>0.0</v>
      </c>
      <c r="BM202" s="1393">
        <v>3.1681122873627022E7</v>
      </c>
      <c r="BN202" s="1393">
        <v>4713475.719910459</v>
      </c>
      <c r="BO202" s="1393">
        <v>0.0</v>
      </c>
      <c r="BP202" s="1393">
        <v>0.0</v>
      </c>
      <c r="BQ202" s="1393">
        <v>2.0660213209512594E8</v>
      </c>
      <c r="BR202" s="1393">
        <v>0.0</v>
      </c>
      <c r="BS202" s="1393">
        <v>0.0</v>
      </c>
      <c r="BT202" s="1393">
        <v>0.0</v>
      </c>
      <c r="BU202" s="1393">
        <v>3.1681122873627022E7</v>
      </c>
      <c r="BV202" s="1393">
        <v>4713475.719910459</v>
      </c>
      <c r="BW202" s="1393">
        <v>0.0</v>
      </c>
      <c r="BX202" s="1393">
        <v>0.0</v>
      </c>
      <c r="BY202" s="1393">
        <v>2.0660213209512594E8</v>
      </c>
      <c r="BZ202" s="1393">
        <v>0.0</v>
      </c>
      <c r="CA202" s="1393">
        <v>0.0</v>
      </c>
      <c r="CB202" s="1393">
        <v>0.0</v>
      </c>
      <c r="CC202" s="1393">
        <v>3.1681122873627022E7</v>
      </c>
      <c r="CD202" s="1393">
        <v>4713475.719910459</v>
      </c>
      <c r="CE202" s="1393">
        <v>0.0</v>
      </c>
      <c r="CF202" s="1393">
        <v>0.0</v>
      </c>
      <c r="CG202" s="1393">
        <v>2.0660213209512594E8</v>
      </c>
      <c r="CH202" s="1393">
        <v>0.0</v>
      </c>
      <c r="CI202" s="1393">
        <v>0.0</v>
      </c>
      <c r="CJ202" s="1393">
        <v>0.0</v>
      </c>
      <c r="CK202" s="1393">
        <v>3.1681122873627022E7</v>
      </c>
      <c r="CL202" s="1393">
        <v>4713475.719910459</v>
      </c>
      <c r="CM202" s="1393">
        <v>0.0</v>
      </c>
      <c r="CN202" s="1393">
        <v>0.0</v>
      </c>
      <c r="CO202" s="1393">
        <v>2.0660213209512594E8</v>
      </c>
      <c r="CP202" s="1393">
        <v>0.0</v>
      </c>
      <c r="CQ202" s="1393">
        <v>0.0</v>
      </c>
      <c r="CR202" s="1393">
        <v>0.0</v>
      </c>
      <c r="CS202" s="1393">
        <v>3.1681122873627022E7</v>
      </c>
      <c r="CT202" s="1393">
        <v>4713475.719910459</v>
      </c>
      <c r="CU202" s="1393">
        <v>0.0</v>
      </c>
      <c r="CV202" s="1393">
        <v>0.0</v>
      </c>
      <c r="CW202" s="1393">
        <v>2.0660213209512594E8</v>
      </c>
      <c r="CX202" s="1393">
        <v>0.0</v>
      </c>
      <c r="CY202" s="1393">
        <v>0.0</v>
      </c>
      <c r="CZ202" s="1393">
        <v>0.0</v>
      </c>
      <c r="DA202" s="1393">
        <v>3.1681122873627022E7</v>
      </c>
      <c r="DB202" s="1393">
        <v>4713475.719910459</v>
      </c>
      <c r="DC202" s="1393">
        <v>0.0</v>
      </c>
      <c r="DD202" s="1393">
        <v>0.0</v>
      </c>
      <c r="DE202" s="1393">
        <v>2.0660213209512594E8</v>
      </c>
      <c r="DF202" s="1393">
        <v>0.0</v>
      </c>
      <c r="DG202" s="1393">
        <v>0.0</v>
      </c>
      <c r="DH202" s="1393">
        <v>0.0</v>
      </c>
      <c r="DI202" s="1393">
        <v>3.1681122873627022E7</v>
      </c>
      <c r="DJ202" s="1393">
        <v>4713475.719910459</v>
      </c>
      <c r="DK202" s="1393">
        <v>0.0</v>
      </c>
      <c r="DL202" s="1393">
        <v>0.0</v>
      </c>
      <c r="DM202" s="1393">
        <v>2.0660213209512594E8</v>
      </c>
      <c r="DN202" s="1393">
        <v>0.0</v>
      </c>
      <c r="DO202" s="1393">
        <v>0.0</v>
      </c>
      <c r="DP202" s="1393">
        <v>0.0</v>
      </c>
      <c r="DQ202" s="1393">
        <v>3.1681122873627022E7</v>
      </c>
      <c r="DR202" s="1379">
        <f t="shared" si="63"/>
        <v>2915960768</v>
      </c>
    </row>
    <row r="203" hidden="1">
      <c r="A203" s="1401">
        <v>23.0</v>
      </c>
      <c r="B203" s="1402" t="s">
        <v>1918</v>
      </c>
      <c r="C203" s="7"/>
      <c r="D203" s="1225"/>
      <c r="E203" s="1225"/>
      <c r="F203" s="1225"/>
      <c r="G203" s="1225"/>
      <c r="H203" s="1225"/>
      <c r="I203" s="1225"/>
      <c r="J203" s="1225"/>
      <c r="K203" s="1225"/>
      <c r="L203" s="1396">
        <f t="shared" ref="L203:X203" si="64">L204+L205+L206</f>
        <v>0</v>
      </c>
      <c r="M203" s="1396">
        <f t="shared" si="64"/>
        <v>0</v>
      </c>
      <c r="N203" s="1396">
        <f t="shared" si="64"/>
        <v>0</v>
      </c>
      <c r="O203" s="1396">
        <f t="shared" si="64"/>
        <v>169028540</v>
      </c>
      <c r="P203" s="1396">
        <f t="shared" si="64"/>
        <v>169028540</v>
      </c>
      <c r="Q203" s="1396">
        <f t="shared" si="64"/>
        <v>169028540</v>
      </c>
      <c r="R203" s="1396">
        <f t="shared" si="64"/>
        <v>169028540</v>
      </c>
      <c r="S203" s="1396">
        <f t="shared" si="64"/>
        <v>169028540</v>
      </c>
      <c r="T203" s="1396">
        <f t="shared" si="64"/>
        <v>243228540</v>
      </c>
      <c r="U203" s="1396">
        <f t="shared" si="64"/>
        <v>184028540</v>
      </c>
      <c r="V203" s="1396">
        <f t="shared" si="64"/>
        <v>223028540</v>
      </c>
      <c r="W203" s="1396">
        <f t="shared" si="64"/>
        <v>184028540</v>
      </c>
      <c r="X203" s="1396">
        <f t="shared" si="64"/>
        <v>1679456860</v>
      </c>
      <c r="Y203" s="1392">
        <f t="shared" si="3"/>
        <v>0</v>
      </c>
    </row>
    <row r="204" hidden="1">
      <c r="A204" s="1401"/>
      <c r="B204" s="1407">
        <v>1.0</v>
      </c>
      <c r="C204" s="1404" t="s">
        <v>1577</v>
      </c>
      <c r="D204" s="185" t="s">
        <v>186</v>
      </c>
      <c r="E204" s="185" t="s">
        <v>1576</v>
      </c>
      <c r="F204" s="185" t="s">
        <v>1910</v>
      </c>
      <c r="G204" s="185" t="s">
        <v>84</v>
      </c>
      <c r="H204" s="185" t="s">
        <v>84</v>
      </c>
      <c r="I204" s="185" t="s">
        <v>103</v>
      </c>
      <c r="J204" s="185" t="s">
        <v>1911</v>
      </c>
      <c r="K204" s="185" t="s">
        <v>188</v>
      </c>
      <c r="L204" s="1390"/>
      <c r="M204" s="503"/>
      <c r="N204" s="503"/>
      <c r="O204" s="503">
        <v>8.140854E7</v>
      </c>
      <c r="P204" s="503">
        <v>8.140854E7</v>
      </c>
      <c r="Q204" s="503">
        <v>8.140854E7</v>
      </c>
      <c r="R204" s="503">
        <v>8.140854E7</v>
      </c>
      <c r="S204" s="503">
        <v>8.140854E7</v>
      </c>
      <c r="T204" s="503">
        <v>8.140854E7</v>
      </c>
      <c r="U204" s="503">
        <v>8.140854E7</v>
      </c>
      <c r="V204" s="503">
        <v>8.140854E7</v>
      </c>
      <c r="W204" s="503">
        <v>8.140854E7</v>
      </c>
      <c r="X204" s="1405">
        <v>7.3267686E8</v>
      </c>
      <c r="Y204" s="1392">
        <f t="shared" si="3"/>
        <v>0</v>
      </c>
      <c r="Z204" s="1393">
        <v>0.0</v>
      </c>
      <c r="AA204" s="1393">
        <v>0.0</v>
      </c>
      <c r="AB204" s="1393">
        <v>0.0</v>
      </c>
      <c r="AC204" s="1393">
        <v>0.0</v>
      </c>
      <c r="AD204" s="1393">
        <v>0.0</v>
      </c>
      <c r="AE204" s="1393">
        <v>0.0</v>
      </c>
      <c r="AF204" s="1393">
        <v>0.0</v>
      </c>
      <c r="AG204" s="1393">
        <v>0.0</v>
      </c>
      <c r="AH204" s="1393">
        <v>0.0</v>
      </c>
      <c r="AI204" s="1393">
        <v>0.0</v>
      </c>
      <c r="AJ204" s="1393">
        <v>0.0</v>
      </c>
      <c r="AK204" s="1393">
        <v>0.0</v>
      </c>
      <c r="AL204" s="1393">
        <v>0.0</v>
      </c>
      <c r="AM204" s="1393">
        <v>0.0</v>
      </c>
      <c r="AN204" s="1393">
        <v>0.0</v>
      </c>
      <c r="AO204" s="1393">
        <v>0.0</v>
      </c>
      <c r="AP204" s="1393">
        <v>0.0</v>
      </c>
      <c r="AQ204" s="1393">
        <v>0.0</v>
      </c>
      <c r="AR204" s="1393">
        <v>0.0</v>
      </c>
      <c r="AS204" s="1393">
        <v>0.0</v>
      </c>
      <c r="AT204" s="1393">
        <v>0.0</v>
      </c>
      <c r="AU204" s="1393">
        <v>0.0</v>
      </c>
      <c r="AV204" s="1393">
        <v>0.0</v>
      </c>
      <c r="AW204" s="1393">
        <v>0.0</v>
      </c>
      <c r="AX204" s="1393">
        <v>1.4568255330659281E7</v>
      </c>
      <c r="AY204" s="1393">
        <v>0.0</v>
      </c>
      <c r="AZ204" s="1393">
        <v>0.0</v>
      </c>
      <c r="BA204" s="1393">
        <v>3.742919759565971E7</v>
      </c>
      <c r="BB204" s="1393">
        <v>7284127.665329641</v>
      </c>
      <c r="BC204" s="1393">
        <v>0.0</v>
      </c>
      <c r="BD204" s="1393">
        <v>0.0</v>
      </c>
      <c r="BE204" s="1393">
        <v>5922399.331420892</v>
      </c>
      <c r="BF204" s="1393">
        <v>1.4618550259637218E7</v>
      </c>
      <c r="BG204" s="1393">
        <v>0.0</v>
      </c>
      <c r="BH204" s="1393">
        <v>0.0</v>
      </c>
      <c r="BI204" s="1393">
        <v>3.744445831073199E7</v>
      </c>
      <c r="BJ204" s="1393">
        <v>7309275.129818609</v>
      </c>
      <c r="BK204" s="1393">
        <v>0.0</v>
      </c>
      <c r="BL204" s="1393">
        <v>0.0</v>
      </c>
      <c r="BM204" s="1393">
        <v>5969982.564869281</v>
      </c>
      <c r="BN204" s="1393">
        <v>1.4736249773384873E7</v>
      </c>
      <c r="BO204" s="1393">
        <v>0.0</v>
      </c>
      <c r="BP204" s="1393">
        <v>0.0</v>
      </c>
      <c r="BQ204" s="1393">
        <v>3.758294610232286E7</v>
      </c>
      <c r="BR204" s="1393">
        <v>7368124.886692436</v>
      </c>
      <c r="BS204" s="1393">
        <v>0.0</v>
      </c>
      <c r="BT204" s="1393">
        <v>0.0</v>
      </c>
      <c r="BU204" s="1393">
        <v>6056862.417017108</v>
      </c>
      <c r="BV204" s="1393">
        <v>1.471236935892322E7</v>
      </c>
      <c r="BW204" s="1393">
        <v>0.0</v>
      </c>
      <c r="BX204" s="1393">
        <v>0.0</v>
      </c>
      <c r="BY204" s="1393">
        <v>3.7530965515684776E7</v>
      </c>
      <c r="BZ204" s="1393">
        <v>7356184.67946161</v>
      </c>
      <c r="CA204" s="1393">
        <v>0.0</v>
      </c>
      <c r="CB204" s="1393">
        <v>0.0</v>
      </c>
      <c r="CC204" s="1393">
        <v>6044922.209786282</v>
      </c>
      <c r="CD204" s="1393">
        <v>1.4712369359160988E7</v>
      </c>
      <c r="CE204" s="1393">
        <v>0.0</v>
      </c>
      <c r="CF204" s="1393">
        <v>0.0</v>
      </c>
      <c r="CG204" s="1393">
        <v>3.753096551545741E7</v>
      </c>
      <c r="CH204" s="1393">
        <v>7356184.679580494</v>
      </c>
      <c r="CI204" s="1393">
        <v>0.0</v>
      </c>
      <c r="CJ204" s="1393">
        <v>0.0</v>
      </c>
      <c r="CK204" s="1393">
        <v>6044922.210082554</v>
      </c>
      <c r="CL204" s="1393">
        <v>1.4813512569917202E7</v>
      </c>
      <c r="CM204" s="1393">
        <v>0.0</v>
      </c>
      <c r="CN204" s="1393">
        <v>0.0</v>
      </c>
      <c r="CO204" s="1393">
        <v>3.765365701011637E7</v>
      </c>
      <c r="CP204" s="1393">
        <v>7406756.284958601</v>
      </c>
      <c r="CQ204" s="1393">
        <v>0.0</v>
      </c>
      <c r="CR204" s="1393">
        <v>0.0</v>
      </c>
      <c r="CS204" s="1393">
        <v>6118703.712860242</v>
      </c>
      <c r="CT204" s="1393">
        <v>1.4755870179353552E7</v>
      </c>
      <c r="CU204" s="1393">
        <v>0.0</v>
      </c>
      <c r="CV204" s="1393">
        <v>0.0</v>
      </c>
      <c r="CW204" s="1393">
        <v>3.7571076051322974E7</v>
      </c>
      <c r="CX204" s="1393">
        <v>7377935.089676776</v>
      </c>
      <c r="CY204" s="1393">
        <v>0.0</v>
      </c>
      <c r="CZ204" s="1393">
        <v>0.0</v>
      </c>
      <c r="DA204" s="1393">
        <v>6079669.250383442</v>
      </c>
      <c r="DB204" s="1393">
        <v>1.48019719573981E7</v>
      </c>
      <c r="DC204" s="1393">
        <v>0.0</v>
      </c>
      <c r="DD204" s="1393">
        <v>0.0</v>
      </c>
      <c r="DE204" s="1393">
        <v>3.764309504156619E7</v>
      </c>
      <c r="DF204" s="1393">
        <v>7400985.97869905</v>
      </c>
      <c r="DG204" s="1393">
        <v>0.0</v>
      </c>
      <c r="DH204" s="1393">
        <v>0.0</v>
      </c>
      <c r="DI204" s="1393">
        <v>6109466.583793415</v>
      </c>
      <c r="DJ204" s="1393">
        <v>1.475587017958314E7</v>
      </c>
      <c r="DK204" s="1393">
        <v>0.0</v>
      </c>
      <c r="DL204" s="1393">
        <v>0.0</v>
      </c>
      <c r="DM204" s="1393">
        <v>3.757107605109249E7</v>
      </c>
      <c r="DN204" s="1393">
        <v>7377935.08979157</v>
      </c>
      <c r="DO204" s="1393">
        <v>0.0</v>
      </c>
      <c r="DP204" s="1393">
        <v>0.0</v>
      </c>
      <c r="DQ204" s="1393">
        <v>6079669.250672125</v>
      </c>
      <c r="DR204" s="1379">
        <f t="shared" ref="DR204:DR206" si="65">SUM(Z204:DQ204)</f>
        <v>591096563.2</v>
      </c>
    </row>
    <row r="205" hidden="1">
      <c r="A205" s="1401"/>
      <c r="B205" s="1403">
        <f>B204+1</f>
        <v>2</v>
      </c>
      <c r="C205" s="1404" t="s">
        <v>1850</v>
      </c>
      <c r="D205" s="185" t="s">
        <v>186</v>
      </c>
      <c r="E205" s="185" t="s">
        <v>1576</v>
      </c>
      <c r="F205" s="185" t="s">
        <v>1910</v>
      </c>
      <c r="G205" s="185" t="s">
        <v>84</v>
      </c>
      <c r="H205" s="185" t="s">
        <v>84</v>
      </c>
      <c r="I205" s="185" t="s">
        <v>103</v>
      </c>
      <c r="J205" s="185" t="s">
        <v>1911</v>
      </c>
      <c r="K205" s="185" t="s">
        <v>188</v>
      </c>
      <c r="L205" s="1390"/>
      <c r="M205" s="503"/>
      <c r="N205" s="503"/>
      <c r="O205" s="503"/>
      <c r="P205" s="503"/>
      <c r="Q205" s="503"/>
      <c r="R205" s="503"/>
      <c r="S205" s="503"/>
      <c r="T205" s="503">
        <v>7.42E7</v>
      </c>
      <c r="U205" s="503">
        <v>1.5E7</v>
      </c>
      <c r="V205" s="503">
        <v>5.4E7</v>
      </c>
      <c r="W205" s="503">
        <v>1.5E7</v>
      </c>
      <c r="X205" s="1405">
        <v>1.582E8</v>
      </c>
      <c r="Y205" s="1392">
        <f t="shared" si="3"/>
        <v>0</v>
      </c>
      <c r="Z205" s="1393">
        <v>0.0</v>
      </c>
      <c r="AA205" s="1393">
        <v>0.0</v>
      </c>
      <c r="AB205" s="1393">
        <v>0.0</v>
      </c>
      <c r="AC205" s="1393">
        <v>0.0</v>
      </c>
      <c r="AD205" s="1393">
        <v>0.0</v>
      </c>
      <c r="AE205" s="1393">
        <v>0.0</v>
      </c>
      <c r="AF205" s="1393">
        <v>0.0</v>
      </c>
      <c r="AG205" s="1393">
        <v>0.0</v>
      </c>
      <c r="AH205" s="1393">
        <v>0.0</v>
      </c>
      <c r="AI205" s="1393">
        <v>0.0</v>
      </c>
      <c r="AJ205" s="1393">
        <v>0.0</v>
      </c>
      <c r="AK205" s="1393">
        <v>0.0</v>
      </c>
      <c r="AL205" s="1393">
        <v>0.0</v>
      </c>
      <c r="AM205" s="1393">
        <v>0.0</v>
      </c>
      <c r="AN205" s="1393">
        <v>0.0</v>
      </c>
      <c r="AO205" s="1393">
        <v>0.0</v>
      </c>
      <c r="AP205" s="1393">
        <v>0.0</v>
      </c>
      <c r="AQ205" s="1393">
        <v>0.0</v>
      </c>
      <c r="AR205" s="1393">
        <v>0.0</v>
      </c>
      <c r="AS205" s="1393">
        <v>0.0</v>
      </c>
      <c r="AT205" s="1393">
        <v>0.0</v>
      </c>
      <c r="AU205" s="1393">
        <v>0.0</v>
      </c>
      <c r="AV205" s="1393">
        <v>0.0</v>
      </c>
      <c r="AW205" s="1393">
        <v>0.0</v>
      </c>
      <c r="AX205" s="1393">
        <v>0.0</v>
      </c>
      <c r="AY205" s="1393">
        <v>0.0</v>
      </c>
      <c r="AZ205" s="1393">
        <v>0.0</v>
      </c>
      <c r="BA205" s="1393">
        <v>0.0</v>
      </c>
      <c r="BB205" s="1393">
        <v>0.0</v>
      </c>
      <c r="BC205" s="1393">
        <v>0.0</v>
      </c>
      <c r="BD205" s="1393">
        <v>0.0</v>
      </c>
      <c r="BE205" s="1393">
        <v>0.0</v>
      </c>
      <c r="BF205" s="1393">
        <v>0.0</v>
      </c>
      <c r="BG205" s="1393">
        <v>0.0</v>
      </c>
      <c r="BH205" s="1393">
        <v>0.0</v>
      </c>
      <c r="BI205" s="1393">
        <v>0.0</v>
      </c>
      <c r="BJ205" s="1393">
        <v>0.0</v>
      </c>
      <c r="BK205" s="1393">
        <v>0.0</v>
      </c>
      <c r="BL205" s="1393">
        <v>0.0</v>
      </c>
      <c r="BM205" s="1393">
        <v>0.0</v>
      </c>
      <c r="BN205" s="1393">
        <v>0.0</v>
      </c>
      <c r="BO205" s="1393">
        <v>0.0</v>
      </c>
      <c r="BP205" s="1393">
        <v>0.0</v>
      </c>
      <c r="BQ205" s="1393">
        <v>0.0</v>
      </c>
      <c r="BR205" s="1393">
        <v>0.0</v>
      </c>
      <c r="BS205" s="1393">
        <v>0.0</v>
      </c>
      <c r="BT205" s="1393">
        <v>0.0</v>
      </c>
      <c r="BU205" s="1393">
        <v>0.0</v>
      </c>
      <c r="BV205" s="1393">
        <v>0.0</v>
      </c>
      <c r="BW205" s="1393">
        <v>0.0</v>
      </c>
      <c r="BX205" s="1393">
        <v>0.0</v>
      </c>
      <c r="BY205" s="1393">
        <v>0.0</v>
      </c>
      <c r="BZ205" s="1393">
        <v>0.0</v>
      </c>
      <c r="CA205" s="1393">
        <v>0.0</v>
      </c>
      <c r="CB205" s="1393">
        <v>0.0</v>
      </c>
      <c r="CC205" s="1393">
        <v>0.0</v>
      </c>
      <c r="CD205" s="1393">
        <v>0.0</v>
      </c>
      <c r="CE205" s="1393">
        <v>0.0</v>
      </c>
      <c r="CF205" s="1393">
        <v>0.0</v>
      </c>
      <c r="CG205" s="1393">
        <v>0.0</v>
      </c>
      <c r="CH205" s="1393">
        <v>0.0</v>
      </c>
      <c r="CI205" s="1393">
        <v>0.0</v>
      </c>
      <c r="CJ205" s="1393">
        <v>0.0</v>
      </c>
      <c r="CK205" s="1393">
        <v>0.0</v>
      </c>
      <c r="CL205" s="1393">
        <v>1.3501809916844798E7</v>
      </c>
      <c r="CM205" s="1393">
        <v>0.0</v>
      </c>
      <c r="CN205" s="1393">
        <v>0.0</v>
      </c>
      <c r="CO205" s="1393">
        <v>3.431951181228203E7</v>
      </c>
      <c r="CP205" s="1393">
        <v>6750904.958422399</v>
      </c>
      <c r="CQ205" s="1393">
        <v>0.0</v>
      </c>
      <c r="CR205" s="1393">
        <v>0.0</v>
      </c>
      <c r="CS205" s="1393">
        <v>5576906.49524276</v>
      </c>
      <c r="CT205" s="1393">
        <v>2718855.4504269855</v>
      </c>
      <c r="CU205" s="1393">
        <v>0.0</v>
      </c>
      <c r="CV205" s="1393">
        <v>0.0</v>
      </c>
      <c r="CW205" s="1393">
        <v>6922690.675570949</v>
      </c>
      <c r="CX205" s="1393">
        <v>1359427.7252134928</v>
      </c>
      <c r="CY205" s="1393">
        <v>0.0</v>
      </c>
      <c r="CZ205" s="1393">
        <v>0.0</v>
      </c>
      <c r="DA205" s="1393">
        <v>1120214.6452417846</v>
      </c>
      <c r="DB205" s="1393">
        <v>9818459.902357878</v>
      </c>
      <c r="DC205" s="1393">
        <v>0.0</v>
      </c>
      <c r="DD205" s="1393">
        <v>0.0</v>
      </c>
      <c r="DE205" s="1393">
        <v>2.4969458145847775E7</v>
      </c>
      <c r="DF205" s="1393">
        <v>4909229.951178939</v>
      </c>
      <c r="DG205" s="1393">
        <v>0.0</v>
      </c>
      <c r="DH205" s="1393">
        <v>0.0</v>
      </c>
      <c r="DI205" s="1393">
        <v>4052537.92200234</v>
      </c>
      <c r="DJ205" s="1393">
        <v>2718855.4504692885</v>
      </c>
      <c r="DK205" s="1393">
        <v>0.0</v>
      </c>
      <c r="DL205" s="1393">
        <v>0.0</v>
      </c>
      <c r="DM205" s="1393">
        <v>6922690.675528482</v>
      </c>
      <c r="DN205" s="1393">
        <v>1359427.7252346443</v>
      </c>
      <c r="DO205" s="1393">
        <v>0.0</v>
      </c>
      <c r="DP205" s="1393">
        <v>0.0</v>
      </c>
      <c r="DQ205" s="1393">
        <v>1120214.6452949762</v>
      </c>
      <c r="DR205" s="1379">
        <f t="shared" si="65"/>
        <v>128141196.1</v>
      </c>
    </row>
    <row r="206" hidden="1">
      <c r="A206" s="1401"/>
      <c r="B206" s="1407">
        <v>3.0</v>
      </c>
      <c r="C206" s="1404" t="s">
        <v>1583</v>
      </c>
      <c r="D206" s="185" t="s">
        <v>186</v>
      </c>
      <c r="E206" s="185" t="s">
        <v>1576</v>
      </c>
      <c r="F206" s="185" t="s">
        <v>1910</v>
      </c>
      <c r="G206" s="185" t="s">
        <v>86</v>
      </c>
      <c r="H206" s="185" t="s">
        <v>86</v>
      </c>
      <c r="I206" s="185" t="s">
        <v>103</v>
      </c>
      <c r="J206" s="185" t="s">
        <v>1911</v>
      </c>
      <c r="K206" s="185" t="s">
        <v>188</v>
      </c>
      <c r="L206" s="1390"/>
      <c r="M206" s="503"/>
      <c r="N206" s="503"/>
      <c r="O206" s="503">
        <v>8.762E7</v>
      </c>
      <c r="P206" s="503">
        <v>8.762E7</v>
      </c>
      <c r="Q206" s="503">
        <v>8.762E7</v>
      </c>
      <c r="R206" s="503">
        <v>8.762E7</v>
      </c>
      <c r="S206" s="503">
        <v>8.762E7</v>
      </c>
      <c r="T206" s="503">
        <v>8.762E7</v>
      </c>
      <c r="U206" s="503">
        <v>8.762E7</v>
      </c>
      <c r="V206" s="503">
        <v>8.762E7</v>
      </c>
      <c r="W206" s="503">
        <v>8.762E7</v>
      </c>
      <c r="X206" s="1405">
        <v>7.8858E8</v>
      </c>
      <c r="Y206" s="1392">
        <f t="shared" si="3"/>
        <v>0</v>
      </c>
      <c r="Z206" s="1393">
        <v>0.0</v>
      </c>
      <c r="AA206" s="1393">
        <v>0.0</v>
      </c>
      <c r="AB206" s="1393">
        <v>0.0</v>
      </c>
      <c r="AC206" s="1393">
        <v>0.0</v>
      </c>
      <c r="AD206" s="1393">
        <v>0.0</v>
      </c>
      <c r="AE206" s="1393">
        <v>0.0</v>
      </c>
      <c r="AF206" s="1393">
        <v>0.0</v>
      </c>
      <c r="AG206" s="1393">
        <v>0.0</v>
      </c>
      <c r="AH206" s="1393">
        <v>0.0</v>
      </c>
      <c r="AI206" s="1393">
        <v>0.0</v>
      </c>
      <c r="AJ206" s="1393">
        <v>0.0</v>
      </c>
      <c r="AK206" s="1393">
        <v>0.0</v>
      </c>
      <c r="AL206" s="1393">
        <v>0.0</v>
      </c>
      <c r="AM206" s="1393">
        <v>0.0</v>
      </c>
      <c r="AN206" s="1393">
        <v>0.0</v>
      </c>
      <c r="AO206" s="1393">
        <v>0.0</v>
      </c>
      <c r="AP206" s="1393">
        <v>0.0</v>
      </c>
      <c r="AQ206" s="1393">
        <v>0.0</v>
      </c>
      <c r="AR206" s="1393">
        <v>0.0</v>
      </c>
      <c r="AS206" s="1393">
        <v>0.0</v>
      </c>
      <c r="AT206" s="1393">
        <v>0.0</v>
      </c>
      <c r="AU206" s="1393">
        <v>0.0</v>
      </c>
      <c r="AV206" s="1393">
        <v>0.0</v>
      </c>
      <c r="AW206" s="1393">
        <v>0.0</v>
      </c>
      <c r="AX206" s="1393">
        <v>1.1280766546255112E7</v>
      </c>
      <c r="AY206" s="1393">
        <v>0.0</v>
      </c>
      <c r="AZ206" s="1393">
        <v>0.0</v>
      </c>
      <c r="BA206" s="1393">
        <v>6.2638277344677776E7</v>
      </c>
      <c r="BB206" s="1393">
        <v>0.0</v>
      </c>
      <c r="BC206" s="1393">
        <v>0.0</v>
      </c>
      <c r="BD206" s="1393">
        <v>0.0</v>
      </c>
      <c r="BE206" s="1393">
        <v>3664062.401013387</v>
      </c>
      <c r="BF206" s="1393">
        <v>1.1160936899399074E7</v>
      </c>
      <c r="BG206" s="1393">
        <v>0.0</v>
      </c>
      <c r="BH206" s="1393">
        <v>0.0</v>
      </c>
      <c r="BI206" s="1393">
        <v>6.1978767423661694E7</v>
      </c>
      <c r="BJ206" s="1393">
        <v>0.0</v>
      </c>
      <c r="BK206" s="1393">
        <v>0.0</v>
      </c>
      <c r="BL206" s="1393">
        <v>0.0</v>
      </c>
      <c r="BM206" s="1393">
        <v>3625140.994230292</v>
      </c>
      <c r="BN206" s="1393">
        <v>1.1328114352949778E7</v>
      </c>
      <c r="BO206" s="1393">
        <v>0.0</v>
      </c>
      <c r="BP206" s="1393">
        <v>0.0</v>
      </c>
      <c r="BQ206" s="1393">
        <v>6.2894190279844135E7</v>
      </c>
      <c r="BR206" s="1393">
        <v>0.0</v>
      </c>
      <c r="BS206" s="1393">
        <v>0.0</v>
      </c>
      <c r="BT206" s="1393">
        <v>0.0</v>
      </c>
      <c r="BU206" s="1393">
        <v>3679441.260027002</v>
      </c>
      <c r="BV206" s="1393">
        <v>1.1848922185537064E7</v>
      </c>
      <c r="BW206" s="1393">
        <v>0.0</v>
      </c>
      <c r="BX206" s="1393">
        <v>0.0</v>
      </c>
      <c r="BY206" s="1393">
        <v>6.575658208083702E7</v>
      </c>
      <c r="BZ206" s="1393">
        <v>0.0</v>
      </c>
      <c r="CA206" s="1393">
        <v>0.0</v>
      </c>
      <c r="CB206" s="1393">
        <v>0.0</v>
      </c>
      <c r="CC206" s="1393">
        <v>3848602.849331396</v>
      </c>
      <c r="CD206" s="1393">
        <v>1.1922341593345774E7</v>
      </c>
      <c r="CE206" s="1393">
        <v>0.0</v>
      </c>
      <c r="CF206" s="1393">
        <v>0.0</v>
      </c>
      <c r="CG206" s="1393">
        <v>6.615997481333231E7</v>
      </c>
      <c r="CH206" s="1393">
        <v>0.0</v>
      </c>
      <c r="CI206" s="1393">
        <v>0.0</v>
      </c>
      <c r="CJ206" s="1393">
        <v>0.0</v>
      </c>
      <c r="CK206" s="1393">
        <v>3872449.924842933</v>
      </c>
      <c r="CL206" s="1393">
        <v>1.1533257018880611E7</v>
      </c>
      <c r="CM206" s="1393">
        <v>0.0</v>
      </c>
      <c r="CN206" s="1393">
        <v>0.0</v>
      </c>
      <c r="CO206" s="1393">
        <v>6.401742269588784E7</v>
      </c>
      <c r="CP206" s="1393">
        <v>0.0</v>
      </c>
      <c r="CQ206" s="1393">
        <v>0.0</v>
      </c>
      <c r="CR206" s="1393">
        <v>0.0</v>
      </c>
      <c r="CS206" s="1393">
        <v>3746072.8604593645</v>
      </c>
      <c r="CT206" s="1393">
        <v>1.150761962792659E7</v>
      </c>
      <c r="CU206" s="1393">
        <v>0.0</v>
      </c>
      <c r="CV206" s="1393">
        <v>0.0</v>
      </c>
      <c r="CW206" s="1393">
        <v>6.387651643952953E7</v>
      </c>
      <c r="CX206" s="1393">
        <v>0.0</v>
      </c>
      <c r="CY206" s="1393">
        <v>0.0</v>
      </c>
      <c r="CZ206" s="1393">
        <v>0.0</v>
      </c>
      <c r="DA206" s="1393">
        <v>3737745.6780937384</v>
      </c>
      <c r="DB206" s="1393">
        <v>1.131887012757275E7</v>
      </c>
      <c r="DC206" s="1393">
        <v>0.0</v>
      </c>
      <c r="DD206" s="1393">
        <v>0.0</v>
      </c>
      <c r="DE206" s="1393">
        <v>6.2838863250442766E7</v>
      </c>
      <c r="DF206" s="1393">
        <v>0.0</v>
      </c>
      <c r="DG206" s="1393">
        <v>0.0</v>
      </c>
      <c r="DH206" s="1393">
        <v>0.0</v>
      </c>
      <c r="DI206" s="1393">
        <v>3676438.6787315216</v>
      </c>
      <c r="DJ206" s="1393">
        <v>1.149598256255717E7</v>
      </c>
      <c r="DK206" s="1393">
        <v>0.0</v>
      </c>
      <c r="DL206" s="1393">
        <v>0.0</v>
      </c>
      <c r="DM206" s="1393">
        <v>6.381229499367083E7</v>
      </c>
      <c r="DN206" s="1393">
        <v>0.0</v>
      </c>
      <c r="DO206" s="1393">
        <v>0.0</v>
      </c>
      <c r="DP206" s="1393">
        <v>0.0</v>
      </c>
      <c r="DQ206" s="1393">
        <v>3733965.8876421414</v>
      </c>
      <c r="DR206" s="1379">
        <f t="shared" si="65"/>
        <v>710953620.8</v>
      </c>
    </row>
    <row r="207" hidden="1">
      <c r="A207" s="1401">
        <v>24.0</v>
      </c>
      <c r="B207" s="1402" t="s">
        <v>58</v>
      </c>
      <c r="C207" s="7"/>
      <c r="D207" s="1225"/>
      <c r="E207" s="1225"/>
      <c r="F207" s="1225"/>
      <c r="G207" s="1225"/>
      <c r="H207" s="1225"/>
      <c r="I207" s="1225"/>
      <c r="J207" s="1225"/>
      <c r="K207" s="1225"/>
      <c r="L207" s="1408"/>
      <c r="M207" s="1408"/>
      <c r="N207" s="1408"/>
      <c r="O207" s="1408"/>
      <c r="P207" s="1408"/>
      <c r="Q207" s="1408"/>
      <c r="R207" s="1408"/>
      <c r="S207" s="1408"/>
      <c r="T207" s="1408"/>
      <c r="U207" s="1408"/>
      <c r="V207" s="1408"/>
      <c r="W207" s="1408"/>
      <c r="X207" s="1408"/>
      <c r="Y207" s="1392">
        <f t="shared" si="3"/>
        <v>0</v>
      </c>
    </row>
    <row r="208" hidden="1">
      <c r="A208" s="25" t="s">
        <v>59</v>
      </c>
      <c r="B208" s="1399" t="s">
        <v>60</v>
      </c>
      <c r="C208" s="7"/>
      <c r="D208" s="1225"/>
      <c r="E208" s="1225"/>
      <c r="F208" s="1225"/>
      <c r="G208" s="1225"/>
      <c r="H208" s="1225"/>
      <c r="I208" s="1225"/>
      <c r="J208" s="1225"/>
      <c r="K208" s="1225"/>
      <c r="L208" s="1400">
        <f t="shared" ref="L208:X208" si="66">L209+L212+L213+L215+L216+L219</f>
        <v>1040259976</v>
      </c>
      <c r="M208" s="1400">
        <f t="shared" si="66"/>
        <v>1040259976</v>
      </c>
      <c r="N208" s="1400">
        <f t="shared" si="66"/>
        <v>1040259976</v>
      </c>
      <c r="O208" s="1400">
        <f t="shared" si="66"/>
        <v>1070824582</v>
      </c>
      <c r="P208" s="1400">
        <f t="shared" si="66"/>
        <v>1162654170</v>
      </c>
      <c r="Q208" s="1400">
        <f t="shared" si="66"/>
        <v>1221104255</v>
      </c>
      <c r="R208" s="1400">
        <f t="shared" si="66"/>
        <v>1221471655</v>
      </c>
      <c r="S208" s="1400">
        <f t="shared" si="66"/>
        <v>1221918255</v>
      </c>
      <c r="T208" s="1400">
        <f t="shared" si="66"/>
        <v>1284950319</v>
      </c>
      <c r="U208" s="1400">
        <f t="shared" si="66"/>
        <v>1284950319</v>
      </c>
      <c r="V208" s="1400">
        <f t="shared" si="66"/>
        <v>1285719219</v>
      </c>
      <c r="W208" s="1400">
        <f t="shared" si="66"/>
        <v>1285719219</v>
      </c>
      <c r="X208" s="1400">
        <f t="shared" si="66"/>
        <v>14160091921</v>
      </c>
      <c r="Y208" s="1392">
        <f t="shared" si="3"/>
        <v>0</v>
      </c>
    </row>
    <row r="209" hidden="1">
      <c r="A209" s="1401">
        <v>25.0</v>
      </c>
      <c r="B209" s="1402" t="s">
        <v>61</v>
      </c>
      <c r="C209" s="7"/>
      <c r="D209" s="1225"/>
      <c r="E209" s="1225"/>
      <c r="F209" s="1225"/>
      <c r="G209" s="1225"/>
      <c r="H209" s="1225"/>
      <c r="I209" s="1225"/>
      <c r="J209" s="1225"/>
      <c r="K209" s="1225"/>
      <c r="L209" s="1396">
        <f t="shared" ref="L209:X209" si="67">L210+L211</f>
        <v>0</v>
      </c>
      <c r="M209" s="1396">
        <f t="shared" si="67"/>
        <v>0</v>
      </c>
      <c r="N209" s="1396">
        <f t="shared" si="67"/>
        <v>0</v>
      </c>
      <c r="O209" s="1396">
        <f t="shared" si="67"/>
        <v>0</v>
      </c>
      <c r="P209" s="1396">
        <f t="shared" si="67"/>
        <v>91829588</v>
      </c>
      <c r="Q209" s="1396">
        <f t="shared" si="67"/>
        <v>91829588</v>
      </c>
      <c r="R209" s="1396">
        <f t="shared" si="67"/>
        <v>91829588</v>
      </c>
      <c r="S209" s="1396">
        <f t="shared" si="67"/>
        <v>91829588</v>
      </c>
      <c r="T209" s="1396">
        <f t="shared" si="67"/>
        <v>150829588</v>
      </c>
      <c r="U209" s="1396">
        <f t="shared" si="67"/>
        <v>150829588</v>
      </c>
      <c r="V209" s="1396">
        <f t="shared" si="67"/>
        <v>150829588</v>
      </c>
      <c r="W209" s="1396">
        <f t="shared" si="67"/>
        <v>150829588</v>
      </c>
      <c r="X209" s="1396">
        <f t="shared" si="67"/>
        <v>970636704</v>
      </c>
      <c r="Y209" s="1392">
        <f t="shared" si="3"/>
        <v>0</v>
      </c>
    </row>
    <row r="210" hidden="1">
      <c r="A210" s="1401"/>
      <c r="B210" s="1407">
        <v>1.0</v>
      </c>
      <c r="C210" s="1404" t="s">
        <v>1592</v>
      </c>
      <c r="D210" s="185" t="s">
        <v>186</v>
      </c>
      <c r="E210" s="185" t="s">
        <v>1591</v>
      </c>
      <c r="F210" s="185" t="s">
        <v>1910</v>
      </c>
      <c r="G210" s="185" t="s">
        <v>86</v>
      </c>
      <c r="H210" s="185" t="s">
        <v>86</v>
      </c>
      <c r="I210" s="185" t="s">
        <v>103</v>
      </c>
      <c r="J210" s="185" t="s">
        <v>1911</v>
      </c>
      <c r="K210" s="185" t="s">
        <v>188</v>
      </c>
      <c r="L210" s="1390"/>
      <c r="M210" s="503"/>
      <c r="N210" s="503"/>
      <c r="O210" s="503"/>
      <c r="P210" s="503"/>
      <c r="Q210" s="503"/>
      <c r="R210" s="503"/>
      <c r="S210" s="503"/>
      <c r="T210" s="503">
        <v>5.9E7</v>
      </c>
      <c r="U210" s="503">
        <v>5.9E7</v>
      </c>
      <c r="V210" s="503">
        <v>5.9E7</v>
      </c>
      <c r="W210" s="503">
        <v>5.9E7</v>
      </c>
      <c r="X210" s="1405">
        <v>2.36E8</v>
      </c>
      <c r="Y210" s="1392">
        <f t="shared" si="3"/>
        <v>0</v>
      </c>
      <c r="Z210" s="1393">
        <v>0.0</v>
      </c>
      <c r="AA210" s="1393">
        <v>0.0</v>
      </c>
      <c r="AB210" s="1393">
        <v>0.0</v>
      </c>
      <c r="AC210" s="1393">
        <v>0.0</v>
      </c>
      <c r="AD210" s="1393">
        <v>0.0</v>
      </c>
      <c r="AE210" s="1393">
        <v>0.0</v>
      </c>
      <c r="AF210" s="1393">
        <v>0.0</v>
      </c>
      <c r="AG210" s="1393">
        <v>0.0</v>
      </c>
      <c r="AH210" s="1393">
        <v>0.0</v>
      </c>
      <c r="AI210" s="1393">
        <v>0.0</v>
      </c>
      <c r="AJ210" s="1393">
        <v>0.0</v>
      </c>
      <c r="AK210" s="1393">
        <v>0.0</v>
      </c>
      <c r="AL210" s="1393">
        <v>0.0</v>
      </c>
      <c r="AM210" s="1393">
        <v>0.0</v>
      </c>
      <c r="AN210" s="1393">
        <v>0.0</v>
      </c>
      <c r="AO210" s="1393">
        <v>0.0</v>
      </c>
      <c r="AP210" s="1393">
        <v>0.0</v>
      </c>
      <c r="AQ210" s="1393">
        <v>0.0</v>
      </c>
      <c r="AR210" s="1393">
        <v>0.0</v>
      </c>
      <c r="AS210" s="1393">
        <v>0.0</v>
      </c>
      <c r="AT210" s="1393">
        <v>0.0</v>
      </c>
      <c r="AU210" s="1393">
        <v>0.0</v>
      </c>
      <c r="AV210" s="1393">
        <v>0.0</v>
      </c>
      <c r="AW210" s="1393">
        <v>0.0</v>
      </c>
      <c r="AX210" s="1393">
        <v>0.0</v>
      </c>
      <c r="AY210" s="1393">
        <v>0.0</v>
      </c>
      <c r="AZ210" s="1393">
        <v>0.0</v>
      </c>
      <c r="BA210" s="1393">
        <v>0.0</v>
      </c>
      <c r="BB210" s="1393">
        <v>0.0</v>
      </c>
      <c r="BC210" s="1393">
        <v>0.0</v>
      </c>
      <c r="BD210" s="1393">
        <v>0.0</v>
      </c>
      <c r="BE210" s="1393">
        <v>0.0</v>
      </c>
      <c r="BF210" s="1393">
        <v>0.0</v>
      </c>
      <c r="BG210" s="1393">
        <v>0.0</v>
      </c>
      <c r="BH210" s="1393">
        <v>0.0</v>
      </c>
      <c r="BI210" s="1393">
        <v>0.0</v>
      </c>
      <c r="BJ210" s="1393">
        <v>0.0</v>
      </c>
      <c r="BK210" s="1393">
        <v>0.0</v>
      </c>
      <c r="BL210" s="1393">
        <v>0.0</v>
      </c>
      <c r="BM210" s="1393">
        <v>0.0</v>
      </c>
      <c r="BN210" s="1393">
        <v>0.0</v>
      </c>
      <c r="BO210" s="1393">
        <v>0.0</v>
      </c>
      <c r="BP210" s="1393">
        <v>0.0</v>
      </c>
      <c r="BQ210" s="1393">
        <v>0.0</v>
      </c>
      <c r="BR210" s="1393">
        <v>0.0</v>
      </c>
      <c r="BS210" s="1393">
        <v>0.0</v>
      </c>
      <c r="BT210" s="1393">
        <v>0.0</v>
      </c>
      <c r="BU210" s="1393">
        <v>0.0</v>
      </c>
      <c r="BV210" s="1393">
        <v>0.0</v>
      </c>
      <c r="BW210" s="1393">
        <v>0.0</v>
      </c>
      <c r="BX210" s="1393">
        <v>0.0</v>
      </c>
      <c r="BY210" s="1393">
        <v>0.0</v>
      </c>
      <c r="BZ210" s="1393">
        <v>0.0</v>
      </c>
      <c r="CA210" s="1393">
        <v>0.0</v>
      </c>
      <c r="CB210" s="1393">
        <v>0.0</v>
      </c>
      <c r="CC210" s="1393">
        <v>0.0</v>
      </c>
      <c r="CD210" s="1393">
        <v>0.0</v>
      </c>
      <c r="CE210" s="1393">
        <v>0.0</v>
      </c>
      <c r="CF210" s="1393">
        <v>0.0</v>
      </c>
      <c r="CG210" s="1393">
        <v>0.0</v>
      </c>
      <c r="CH210" s="1393">
        <v>0.0</v>
      </c>
      <c r="CI210" s="1393">
        <v>0.0</v>
      </c>
      <c r="CJ210" s="1393">
        <v>0.0</v>
      </c>
      <c r="CK210" s="1393">
        <v>0.0</v>
      </c>
      <c r="CL210" s="1393">
        <v>1.0735940499917023E7</v>
      </c>
      <c r="CM210" s="1393">
        <v>0.0</v>
      </c>
      <c r="CN210" s="1393">
        <v>0.0</v>
      </c>
      <c r="CO210" s="1393">
        <v>2.728909968901132E7</v>
      </c>
      <c r="CP210" s="1393">
        <v>5367970.249958511</v>
      </c>
      <c r="CQ210" s="1393">
        <v>0.0</v>
      </c>
      <c r="CR210" s="1393">
        <v>0.0</v>
      </c>
      <c r="CS210" s="1393">
        <v>4434467.428831844</v>
      </c>
      <c r="CT210" s="1393">
        <v>1.0694164771679478E7</v>
      </c>
      <c r="CU210" s="1393">
        <v>0.0</v>
      </c>
      <c r="CV210" s="1393">
        <v>0.0</v>
      </c>
      <c r="CW210" s="1393">
        <v>2.7229249990579065E7</v>
      </c>
      <c r="CX210" s="1393">
        <v>5347082.385839739</v>
      </c>
      <c r="CY210" s="1393">
        <v>0.0</v>
      </c>
      <c r="CZ210" s="1393">
        <v>0.0</v>
      </c>
      <c r="DA210" s="1393">
        <v>4406177.604617686</v>
      </c>
      <c r="DB210" s="1393">
        <v>1.0727576559983607E7</v>
      </c>
      <c r="DC210" s="1393">
        <v>0.0</v>
      </c>
      <c r="DD210" s="1393">
        <v>0.0</v>
      </c>
      <c r="DE210" s="1393">
        <v>2.728144501120405E7</v>
      </c>
      <c r="DF210" s="1393">
        <v>5363788.279991804</v>
      </c>
      <c r="DG210" s="1393">
        <v>0.0</v>
      </c>
      <c r="DH210" s="1393">
        <v>0.0</v>
      </c>
      <c r="DI210" s="1393">
        <v>4427772.914780335</v>
      </c>
      <c r="DJ210" s="1393">
        <v>1.0694164771845868E7</v>
      </c>
      <c r="DK210" s="1393">
        <v>0.0</v>
      </c>
      <c r="DL210" s="1393">
        <v>0.0</v>
      </c>
      <c r="DM210" s="1393">
        <v>2.7229249990412023E7</v>
      </c>
      <c r="DN210" s="1393">
        <v>5347082.385922934</v>
      </c>
      <c r="DO210" s="1393">
        <v>0.0</v>
      </c>
      <c r="DP210" s="1393">
        <v>0.0</v>
      </c>
      <c r="DQ210" s="1393">
        <v>4406177.604826907</v>
      </c>
      <c r="DR210" s="1379">
        <f t="shared" ref="DR210:DR211" si="68">SUM(Z210:DQ210)</f>
        <v>190981410.1</v>
      </c>
    </row>
    <row r="211" hidden="1">
      <c r="A211" s="1401"/>
      <c r="B211" s="1403">
        <f>B210+1</f>
        <v>2</v>
      </c>
      <c r="C211" s="1404" t="s">
        <v>1595</v>
      </c>
      <c r="D211" s="185" t="s">
        <v>186</v>
      </c>
      <c r="E211" s="185" t="s">
        <v>1591</v>
      </c>
      <c r="F211" s="185" t="s">
        <v>1910</v>
      </c>
      <c r="G211" s="185" t="s">
        <v>306</v>
      </c>
      <c r="H211" s="185" t="s">
        <v>92</v>
      </c>
      <c r="I211" s="185" t="s">
        <v>305</v>
      </c>
      <c r="J211" s="185" t="s">
        <v>1911</v>
      </c>
      <c r="K211" s="185" t="s">
        <v>188</v>
      </c>
      <c r="L211" s="1390"/>
      <c r="M211" s="503"/>
      <c r="N211" s="503"/>
      <c r="O211" s="503"/>
      <c r="P211" s="503">
        <v>9.1829588E7</v>
      </c>
      <c r="Q211" s="503">
        <v>9.1829588E7</v>
      </c>
      <c r="R211" s="503">
        <v>9.1829588E7</v>
      </c>
      <c r="S211" s="503">
        <v>9.1829588E7</v>
      </c>
      <c r="T211" s="503">
        <v>9.1829588E7</v>
      </c>
      <c r="U211" s="503">
        <v>9.1829588E7</v>
      </c>
      <c r="V211" s="503">
        <v>9.1829588E7</v>
      </c>
      <c r="W211" s="503">
        <v>9.1829588E7</v>
      </c>
      <c r="X211" s="1405">
        <v>7.34636704E8</v>
      </c>
      <c r="Y211" s="1392">
        <f t="shared" si="3"/>
        <v>0</v>
      </c>
      <c r="Z211" s="1393">
        <v>0.0</v>
      </c>
      <c r="AA211" s="1393">
        <v>0.0</v>
      </c>
      <c r="AB211" s="1393">
        <v>0.0</v>
      </c>
      <c r="AC211" s="1393">
        <v>0.0</v>
      </c>
      <c r="AD211" s="1393">
        <v>0.0</v>
      </c>
      <c r="AE211" s="1393">
        <v>0.0</v>
      </c>
      <c r="AF211" s="1393">
        <v>0.0</v>
      </c>
      <c r="AG211" s="1393">
        <v>0.0</v>
      </c>
      <c r="AH211" s="1393">
        <v>0.0</v>
      </c>
      <c r="AI211" s="1393">
        <v>0.0</v>
      </c>
      <c r="AJ211" s="1393">
        <v>0.0</v>
      </c>
      <c r="AK211" s="1393">
        <v>0.0</v>
      </c>
      <c r="AL211" s="1393">
        <v>0.0</v>
      </c>
      <c r="AM211" s="1393">
        <v>0.0</v>
      </c>
      <c r="AN211" s="1393">
        <v>0.0</v>
      </c>
      <c r="AO211" s="1393">
        <v>0.0</v>
      </c>
      <c r="AP211" s="1393">
        <v>0.0</v>
      </c>
      <c r="AQ211" s="1393">
        <v>0.0</v>
      </c>
      <c r="AR211" s="1393">
        <v>0.0</v>
      </c>
      <c r="AS211" s="1393">
        <v>0.0</v>
      </c>
      <c r="AT211" s="1393">
        <v>0.0</v>
      </c>
      <c r="AU211" s="1393">
        <v>0.0</v>
      </c>
      <c r="AV211" s="1393">
        <v>0.0</v>
      </c>
      <c r="AW211" s="1393">
        <v>0.0</v>
      </c>
      <c r="AX211" s="1393">
        <v>0.0</v>
      </c>
      <c r="AY211" s="1393">
        <v>0.0</v>
      </c>
      <c r="AZ211" s="1393">
        <v>0.0</v>
      </c>
      <c r="BA211" s="1393">
        <v>0.0</v>
      </c>
      <c r="BB211" s="1393">
        <v>0.0</v>
      </c>
      <c r="BC211" s="1393">
        <v>0.0</v>
      </c>
      <c r="BD211" s="1393">
        <v>0.0</v>
      </c>
      <c r="BE211" s="1393">
        <v>0.0</v>
      </c>
      <c r="BF211" s="1393">
        <v>5.789075700123173E7</v>
      </c>
      <c r="BG211" s="1393">
        <v>0.0</v>
      </c>
      <c r="BH211" s="1393">
        <v>0.0</v>
      </c>
      <c r="BI211" s="1393">
        <v>1.2762627936900126E7</v>
      </c>
      <c r="BJ211" s="1393">
        <v>0.0</v>
      </c>
      <c r="BK211" s="1393">
        <v>0.0</v>
      </c>
      <c r="BL211" s="1393">
        <v>0.0</v>
      </c>
      <c r="BM211" s="1393">
        <v>4246095.190184096</v>
      </c>
      <c r="BN211" s="1393">
        <v>6.520035920010171E7</v>
      </c>
      <c r="BO211" s="1393">
        <v>0.0</v>
      </c>
      <c r="BP211" s="1393">
        <v>0.0</v>
      </c>
      <c r="BQ211" s="1393">
        <v>1.0007774109704385E7</v>
      </c>
      <c r="BR211" s="1393">
        <v>0.0</v>
      </c>
      <c r="BS211" s="1393">
        <v>0.0</v>
      </c>
      <c r="BT211" s="1393">
        <v>0.0</v>
      </c>
      <c r="BU211" s="1393">
        <v>3351992.186215719</v>
      </c>
      <c r="BV211" s="1393">
        <v>6.333608261650043E7</v>
      </c>
      <c r="BW211" s="1393">
        <v>0.0</v>
      </c>
      <c r="BX211" s="1393">
        <v>0.0</v>
      </c>
      <c r="BY211" s="1393">
        <v>1.37363109656721E7</v>
      </c>
      <c r="BZ211" s="1393">
        <v>0.0</v>
      </c>
      <c r="CA211" s="1393">
        <v>0.0</v>
      </c>
      <c r="CB211" s="1393">
        <v>0.0</v>
      </c>
      <c r="CC211" s="1393">
        <v>4688928.129112752</v>
      </c>
      <c r="CD211" s="1393">
        <v>6.395272977431578E7</v>
      </c>
      <c r="CE211" s="1393">
        <v>0.0</v>
      </c>
      <c r="CF211" s="1393">
        <v>0.0</v>
      </c>
      <c r="CG211" s="1393">
        <v>1.383679369265447E7</v>
      </c>
      <c r="CH211" s="1393">
        <v>0.0</v>
      </c>
      <c r="CI211" s="1393">
        <v>0.0</v>
      </c>
      <c r="CJ211" s="1393">
        <v>0.0</v>
      </c>
      <c r="CK211" s="1393">
        <v>4740949.197923451</v>
      </c>
      <c r="CL211" s="1393">
        <v>6.0849248843153074E7</v>
      </c>
      <c r="CM211" s="1393">
        <v>0.0</v>
      </c>
      <c r="CN211" s="1393">
        <v>0.0</v>
      </c>
      <c r="CO211" s="1393">
        <v>1.327035091784423E7</v>
      </c>
      <c r="CP211" s="1393">
        <v>0.0</v>
      </c>
      <c r="CQ211" s="1393">
        <v>0.0</v>
      </c>
      <c r="CR211" s="1393">
        <v>0.0</v>
      </c>
      <c r="CS211" s="1393">
        <v>4490767.075949846</v>
      </c>
      <c r="CT211" s="1393">
        <v>6.0644934150499314E7</v>
      </c>
      <c r="CU211" s="1393">
        <v>0.0</v>
      </c>
      <c r="CV211" s="1393">
        <v>0.0</v>
      </c>
      <c r="CW211" s="1393">
        <v>1.32337236307035E7</v>
      </c>
      <c r="CX211" s="1393">
        <v>0.0</v>
      </c>
      <c r="CY211" s="1393">
        <v>0.0</v>
      </c>
      <c r="CZ211" s="1393">
        <v>0.0</v>
      </c>
      <c r="DA211" s="1393">
        <v>4474169.418979233</v>
      </c>
      <c r="DB211" s="1393">
        <v>5.913648609647063E7</v>
      </c>
      <c r="DC211" s="1393">
        <v>0.0</v>
      </c>
      <c r="DD211" s="1393">
        <v>0.0</v>
      </c>
      <c r="DE211" s="1393">
        <v>1.2963305682321219E7</v>
      </c>
      <c r="DF211" s="1393">
        <v>0.0</v>
      </c>
      <c r="DG211" s="1393">
        <v>0.0</v>
      </c>
      <c r="DH211" s="1393">
        <v>0.0</v>
      </c>
      <c r="DI211" s="1393">
        <v>4351629.512359968</v>
      </c>
      <c r="DJ211" s="1393">
        <v>6.6218478357597575E7</v>
      </c>
      <c r="DK211" s="1393">
        <v>0.0</v>
      </c>
      <c r="DL211" s="1393">
        <v>0.0</v>
      </c>
      <c r="DM211" s="1393">
        <v>1.020126308505343E7</v>
      </c>
      <c r="DN211" s="1393">
        <v>0.0</v>
      </c>
      <c r="DO211" s="1393">
        <v>0.0</v>
      </c>
      <c r="DP211" s="1393">
        <v>0.0</v>
      </c>
      <c r="DQ211" s="1393">
        <v>3447395.0098850513</v>
      </c>
      <c r="DR211" s="1379">
        <f t="shared" si="68"/>
        <v>631033151.8</v>
      </c>
    </row>
    <row r="212" hidden="1">
      <c r="A212" s="1401">
        <v>26.0</v>
      </c>
      <c r="B212" s="1402" t="s">
        <v>62</v>
      </c>
      <c r="C212" s="7"/>
      <c r="D212" s="1225"/>
      <c r="E212" s="1225"/>
      <c r="F212" s="1225"/>
      <c r="G212" s="1225"/>
      <c r="H212" s="1225"/>
      <c r="I212" s="1225"/>
      <c r="J212" s="1225"/>
      <c r="K212" s="1225"/>
      <c r="L212" s="1408"/>
      <c r="M212" s="1408"/>
      <c r="N212" s="1408"/>
      <c r="O212" s="1408"/>
      <c r="P212" s="1408"/>
      <c r="Q212" s="1408"/>
      <c r="R212" s="1408"/>
      <c r="S212" s="1408"/>
      <c r="T212" s="1408"/>
      <c r="U212" s="1408"/>
      <c r="V212" s="1408"/>
      <c r="W212" s="1408"/>
      <c r="X212" s="1408"/>
      <c r="Y212" s="1392">
        <f t="shared" si="3"/>
        <v>0</v>
      </c>
    </row>
    <row r="213" hidden="1">
      <c r="A213" s="1401">
        <v>27.0</v>
      </c>
      <c r="B213" s="1402" t="s">
        <v>63</v>
      </c>
      <c r="C213" s="7"/>
      <c r="D213" s="1225"/>
      <c r="E213" s="1225"/>
      <c r="F213" s="1225"/>
      <c r="G213" s="1225"/>
      <c r="H213" s="1225"/>
      <c r="I213" s="1225"/>
      <c r="J213" s="1225"/>
      <c r="K213" s="1225"/>
      <c r="L213" s="1396">
        <f t="shared" ref="L213:X213" si="69">L214</f>
        <v>142243008</v>
      </c>
      <c r="M213" s="1396">
        <f t="shared" si="69"/>
        <v>142243008</v>
      </c>
      <c r="N213" s="1396">
        <f t="shared" si="69"/>
        <v>142243008</v>
      </c>
      <c r="O213" s="1396">
        <f t="shared" si="69"/>
        <v>142243008</v>
      </c>
      <c r="P213" s="1396">
        <f t="shared" si="69"/>
        <v>142243008</v>
      </c>
      <c r="Q213" s="1396">
        <f t="shared" si="69"/>
        <v>142243008</v>
      </c>
      <c r="R213" s="1396">
        <f t="shared" si="69"/>
        <v>142243008</v>
      </c>
      <c r="S213" s="1396">
        <f t="shared" si="69"/>
        <v>142243008</v>
      </c>
      <c r="T213" s="1396">
        <f t="shared" si="69"/>
        <v>142243008</v>
      </c>
      <c r="U213" s="1396">
        <f t="shared" si="69"/>
        <v>142243008</v>
      </c>
      <c r="V213" s="1396">
        <f t="shared" si="69"/>
        <v>142243008</v>
      </c>
      <c r="W213" s="1396">
        <f t="shared" si="69"/>
        <v>142243008</v>
      </c>
      <c r="X213" s="1396">
        <f t="shared" si="69"/>
        <v>1706916096</v>
      </c>
      <c r="Y213" s="1392">
        <f t="shared" si="3"/>
        <v>0</v>
      </c>
    </row>
    <row r="214" hidden="1">
      <c r="A214" s="1401"/>
      <c r="B214" s="1388">
        <v>1.0</v>
      </c>
      <c r="C214" s="1389" t="s">
        <v>1919</v>
      </c>
      <c r="D214" s="185" t="s">
        <v>186</v>
      </c>
      <c r="E214" s="185" t="s">
        <v>1602</v>
      </c>
      <c r="F214" s="185" t="s">
        <v>1910</v>
      </c>
      <c r="G214" s="185" t="s">
        <v>218</v>
      </c>
      <c r="H214" s="185" t="s">
        <v>88</v>
      </c>
      <c r="I214" s="185" t="s">
        <v>88</v>
      </c>
      <c r="J214" s="185" t="s">
        <v>253</v>
      </c>
      <c r="K214" s="185" t="s">
        <v>254</v>
      </c>
      <c r="L214" s="1390">
        <v>1.42243008E8</v>
      </c>
      <c r="M214" s="1390">
        <v>1.42243008E8</v>
      </c>
      <c r="N214" s="1390">
        <v>1.42243008E8</v>
      </c>
      <c r="O214" s="1390">
        <v>1.42243008E8</v>
      </c>
      <c r="P214" s="1390">
        <v>1.42243008E8</v>
      </c>
      <c r="Q214" s="1390">
        <v>1.42243008E8</v>
      </c>
      <c r="R214" s="1390">
        <v>1.42243008E8</v>
      </c>
      <c r="S214" s="1390">
        <v>1.42243008E8</v>
      </c>
      <c r="T214" s="1390">
        <v>1.42243008E8</v>
      </c>
      <c r="U214" s="1390">
        <v>1.42243008E8</v>
      </c>
      <c r="V214" s="1390">
        <v>1.42243008E8</v>
      </c>
      <c r="W214" s="1390">
        <v>1.42243008E8</v>
      </c>
      <c r="X214" s="1391">
        <v>1.706916096E9</v>
      </c>
      <c r="Y214" s="1392">
        <f t="shared" si="3"/>
        <v>0</v>
      </c>
      <c r="Z214" s="1393">
        <v>2559240.0692545995</v>
      </c>
      <c r="AA214" s="1393">
        <v>0.0</v>
      </c>
      <c r="AB214" s="1393">
        <v>0.0</v>
      </c>
      <c r="AC214" s="1393">
        <v>1.1217718861216973E8</v>
      </c>
      <c r="AD214" s="1393">
        <v>0.0</v>
      </c>
      <c r="AE214" s="1393">
        <v>0.0</v>
      </c>
      <c r="AF214" s="1393">
        <v>0.0</v>
      </c>
      <c r="AG214" s="1393">
        <v>1.720165837593515E7</v>
      </c>
      <c r="AH214" s="1393">
        <v>2559240.0692545995</v>
      </c>
      <c r="AI214" s="1393">
        <v>0.0</v>
      </c>
      <c r="AJ214" s="1393">
        <v>0.0</v>
      </c>
      <c r="AK214" s="1393">
        <v>1.1217718861216973E8</v>
      </c>
      <c r="AL214" s="1393">
        <v>0.0</v>
      </c>
      <c r="AM214" s="1393">
        <v>0.0</v>
      </c>
      <c r="AN214" s="1393">
        <v>0.0</v>
      </c>
      <c r="AO214" s="1393">
        <v>1.720165837593515E7</v>
      </c>
      <c r="AP214" s="1393">
        <v>2559240.0692545995</v>
      </c>
      <c r="AQ214" s="1393">
        <v>0.0</v>
      </c>
      <c r="AR214" s="1393">
        <v>0.0</v>
      </c>
      <c r="AS214" s="1393">
        <v>1.1217718861216973E8</v>
      </c>
      <c r="AT214" s="1393">
        <v>0.0</v>
      </c>
      <c r="AU214" s="1393">
        <v>0.0</v>
      </c>
      <c r="AV214" s="1393">
        <v>0.0</v>
      </c>
      <c r="AW214" s="1393">
        <v>1.720165837593515E7</v>
      </c>
      <c r="AX214" s="1393">
        <v>2559240.0692545995</v>
      </c>
      <c r="AY214" s="1393">
        <v>0.0</v>
      </c>
      <c r="AZ214" s="1393">
        <v>0.0</v>
      </c>
      <c r="BA214" s="1393">
        <v>1.1217718861216973E8</v>
      </c>
      <c r="BB214" s="1393">
        <v>0.0</v>
      </c>
      <c r="BC214" s="1393">
        <v>0.0</v>
      </c>
      <c r="BD214" s="1393">
        <v>0.0</v>
      </c>
      <c r="BE214" s="1393">
        <v>1.720165837593515E7</v>
      </c>
      <c r="BF214" s="1393">
        <v>2559240.0692545995</v>
      </c>
      <c r="BG214" s="1393">
        <v>0.0</v>
      </c>
      <c r="BH214" s="1393">
        <v>0.0</v>
      </c>
      <c r="BI214" s="1393">
        <v>1.1217718861216973E8</v>
      </c>
      <c r="BJ214" s="1393">
        <v>0.0</v>
      </c>
      <c r="BK214" s="1393">
        <v>0.0</v>
      </c>
      <c r="BL214" s="1393">
        <v>0.0</v>
      </c>
      <c r="BM214" s="1393">
        <v>1.720165837593515E7</v>
      </c>
      <c r="BN214" s="1393">
        <v>2559240.0692545995</v>
      </c>
      <c r="BO214" s="1393">
        <v>0.0</v>
      </c>
      <c r="BP214" s="1393">
        <v>0.0</v>
      </c>
      <c r="BQ214" s="1393">
        <v>1.1217718861216973E8</v>
      </c>
      <c r="BR214" s="1393">
        <v>0.0</v>
      </c>
      <c r="BS214" s="1393">
        <v>0.0</v>
      </c>
      <c r="BT214" s="1393">
        <v>0.0</v>
      </c>
      <c r="BU214" s="1393">
        <v>1.720165837593515E7</v>
      </c>
      <c r="BV214" s="1393">
        <v>2559240.0692545995</v>
      </c>
      <c r="BW214" s="1393">
        <v>0.0</v>
      </c>
      <c r="BX214" s="1393">
        <v>0.0</v>
      </c>
      <c r="BY214" s="1393">
        <v>1.1217718861216973E8</v>
      </c>
      <c r="BZ214" s="1393">
        <v>0.0</v>
      </c>
      <c r="CA214" s="1393">
        <v>0.0</v>
      </c>
      <c r="CB214" s="1393">
        <v>0.0</v>
      </c>
      <c r="CC214" s="1393">
        <v>1.720165837593515E7</v>
      </c>
      <c r="CD214" s="1393">
        <v>2559240.0692545995</v>
      </c>
      <c r="CE214" s="1393">
        <v>0.0</v>
      </c>
      <c r="CF214" s="1393">
        <v>0.0</v>
      </c>
      <c r="CG214" s="1393">
        <v>1.1217718861216973E8</v>
      </c>
      <c r="CH214" s="1393">
        <v>0.0</v>
      </c>
      <c r="CI214" s="1393">
        <v>0.0</v>
      </c>
      <c r="CJ214" s="1393">
        <v>0.0</v>
      </c>
      <c r="CK214" s="1393">
        <v>1.720165837593515E7</v>
      </c>
      <c r="CL214" s="1393">
        <v>2559240.0692545995</v>
      </c>
      <c r="CM214" s="1393">
        <v>0.0</v>
      </c>
      <c r="CN214" s="1393">
        <v>0.0</v>
      </c>
      <c r="CO214" s="1393">
        <v>1.1217718861216973E8</v>
      </c>
      <c r="CP214" s="1393">
        <v>0.0</v>
      </c>
      <c r="CQ214" s="1393">
        <v>0.0</v>
      </c>
      <c r="CR214" s="1393">
        <v>0.0</v>
      </c>
      <c r="CS214" s="1393">
        <v>1.720165837593515E7</v>
      </c>
      <c r="CT214" s="1393">
        <v>2559240.0692545995</v>
      </c>
      <c r="CU214" s="1393">
        <v>0.0</v>
      </c>
      <c r="CV214" s="1393">
        <v>0.0</v>
      </c>
      <c r="CW214" s="1393">
        <v>1.1217718861216973E8</v>
      </c>
      <c r="CX214" s="1393">
        <v>0.0</v>
      </c>
      <c r="CY214" s="1393">
        <v>0.0</v>
      </c>
      <c r="CZ214" s="1393">
        <v>0.0</v>
      </c>
      <c r="DA214" s="1393">
        <v>1.720165837593515E7</v>
      </c>
      <c r="DB214" s="1393">
        <v>2559240.0692545995</v>
      </c>
      <c r="DC214" s="1393">
        <v>0.0</v>
      </c>
      <c r="DD214" s="1393">
        <v>0.0</v>
      </c>
      <c r="DE214" s="1393">
        <v>1.1217718861216973E8</v>
      </c>
      <c r="DF214" s="1393">
        <v>0.0</v>
      </c>
      <c r="DG214" s="1393">
        <v>0.0</v>
      </c>
      <c r="DH214" s="1393">
        <v>0.0</v>
      </c>
      <c r="DI214" s="1393">
        <v>1.720165837593515E7</v>
      </c>
      <c r="DJ214" s="1393">
        <v>2559240.0692545995</v>
      </c>
      <c r="DK214" s="1393">
        <v>0.0</v>
      </c>
      <c r="DL214" s="1393">
        <v>0.0</v>
      </c>
      <c r="DM214" s="1393">
        <v>1.1217718861216973E8</v>
      </c>
      <c r="DN214" s="1393">
        <v>0.0</v>
      </c>
      <c r="DO214" s="1393">
        <v>0.0</v>
      </c>
      <c r="DP214" s="1393">
        <v>0.0</v>
      </c>
      <c r="DQ214" s="1393">
        <v>1.720165837593515E7</v>
      </c>
      <c r="DR214" s="1379">
        <f>SUM(Z214:DQ214)</f>
        <v>1583257045</v>
      </c>
    </row>
    <row r="215" hidden="1">
      <c r="A215" s="1401">
        <v>28.0</v>
      </c>
      <c r="B215" s="1402" t="s">
        <v>64</v>
      </c>
      <c r="C215" s="7"/>
      <c r="D215" s="1225"/>
      <c r="E215" s="1225"/>
      <c r="F215" s="1225"/>
      <c r="G215" s="1225"/>
      <c r="H215" s="1225"/>
      <c r="I215" s="1225"/>
      <c r="J215" s="1225"/>
      <c r="K215" s="1225"/>
      <c r="L215" s="1408"/>
      <c r="M215" s="1408"/>
      <c r="N215" s="1408"/>
      <c r="O215" s="1408"/>
      <c r="P215" s="1408"/>
      <c r="Q215" s="1408"/>
      <c r="R215" s="1408"/>
      <c r="S215" s="1408"/>
      <c r="T215" s="1408"/>
      <c r="U215" s="1408"/>
      <c r="V215" s="1408"/>
      <c r="W215" s="1408"/>
      <c r="X215" s="1408"/>
      <c r="Y215" s="1392">
        <f t="shared" si="3"/>
        <v>0</v>
      </c>
    </row>
    <row r="216" hidden="1">
      <c r="A216" s="1401">
        <v>29.0</v>
      </c>
      <c r="B216" s="1402" t="s">
        <v>65</v>
      </c>
      <c r="C216" s="7"/>
      <c r="D216" s="1225"/>
      <c r="E216" s="1225"/>
      <c r="F216" s="1225"/>
      <c r="G216" s="1225"/>
      <c r="H216" s="1225"/>
      <c r="I216" s="1225"/>
      <c r="J216" s="1225"/>
      <c r="K216" s="1225"/>
      <c r="L216" s="1396">
        <f t="shared" ref="L216:X216" si="70">L217+L218</f>
        <v>898016968</v>
      </c>
      <c r="M216" s="1396">
        <f t="shared" si="70"/>
        <v>898016968</v>
      </c>
      <c r="N216" s="1396">
        <f t="shared" si="70"/>
        <v>898016968</v>
      </c>
      <c r="O216" s="1396">
        <f t="shared" si="70"/>
        <v>898016968</v>
      </c>
      <c r="P216" s="1396">
        <f t="shared" si="70"/>
        <v>898016968</v>
      </c>
      <c r="Q216" s="1396">
        <f t="shared" si="70"/>
        <v>898016968</v>
      </c>
      <c r="R216" s="1396">
        <f t="shared" si="70"/>
        <v>898016968</v>
      </c>
      <c r="S216" s="1396">
        <f t="shared" si="70"/>
        <v>898016968</v>
      </c>
      <c r="T216" s="1396">
        <f t="shared" si="70"/>
        <v>898016968</v>
      </c>
      <c r="U216" s="1396">
        <f t="shared" si="70"/>
        <v>898016968</v>
      </c>
      <c r="V216" s="1396">
        <f t="shared" si="70"/>
        <v>898016968</v>
      </c>
      <c r="W216" s="1396">
        <f t="shared" si="70"/>
        <v>898016968</v>
      </c>
      <c r="X216" s="1396">
        <f t="shared" si="70"/>
        <v>10776203616</v>
      </c>
      <c r="Y216" s="1392">
        <f t="shared" si="3"/>
        <v>0</v>
      </c>
    </row>
    <row r="217" hidden="1">
      <c r="A217" s="1401"/>
      <c r="B217" s="1388">
        <v>1.0</v>
      </c>
      <c r="C217" s="1389" t="s">
        <v>1920</v>
      </c>
      <c r="D217" s="185" t="s">
        <v>186</v>
      </c>
      <c r="E217" s="185" t="s">
        <v>1613</v>
      </c>
      <c r="F217" s="185" t="s">
        <v>1910</v>
      </c>
      <c r="G217" s="185" t="s">
        <v>218</v>
      </c>
      <c r="H217" s="185" t="s">
        <v>88</v>
      </c>
      <c r="I217" s="185" t="s">
        <v>88</v>
      </c>
      <c r="J217" s="185" t="s">
        <v>253</v>
      </c>
      <c r="K217" s="185" t="s">
        <v>254</v>
      </c>
      <c r="L217" s="1390">
        <v>6.84538922E8</v>
      </c>
      <c r="M217" s="1390">
        <v>6.84538922E8</v>
      </c>
      <c r="N217" s="1390">
        <v>6.84538922E8</v>
      </c>
      <c r="O217" s="1390">
        <v>6.84538922E8</v>
      </c>
      <c r="P217" s="1390">
        <v>6.84538922E8</v>
      </c>
      <c r="Q217" s="1390">
        <v>6.84538922E8</v>
      </c>
      <c r="R217" s="1390">
        <v>6.84538922E8</v>
      </c>
      <c r="S217" s="1390">
        <v>6.84538922E8</v>
      </c>
      <c r="T217" s="1390">
        <v>6.84538922E8</v>
      </c>
      <c r="U217" s="1390">
        <v>6.84538922E8</v>
      </c>
      <c r="V217" s="1390">
        <v>6.84538922E8</v>
      </c>
      <c r="W217" s="1390">
        <v>6.84538922E8</v>
      </c>
      <c r="X217" s="1391">
        <v>8.214467064E9</v>
      </c>
      <c r="Y217" s="1392">
        <f t="shared" si="3"/>
        <v>0</v>
      </c>
      <c r="Z217" s="1393">
        <v>1.231624290556868E7</v>
      </c>
      <c r="AA217" s="1393">
        <v>0.0</v>
      </c>
      <c r="AB217" s="1393">
        <v>0.0</v>
      </c>
      <c r="AC217" s="1393">
        <v>5.398483401417196E8</v>
      </c>
      <c r="AD217" s="1393">
        <v>0.0</v>
      </c>
      <c r="AE217" s="1393">
        <v>0.0</v>
      </c>
      <c r="AF217" s="1393">
        <v>0.0</v>
      </c>
      <c r="AG217" s="1393">
        <v>8.278230928071287E7</v>
      </c>
      <c r="AH217" s="1393">
        <v>1.231624290556868E7</v>
      </c>
      <c r="AI217" s="1393">
        <v>0.0</v>
      </c>
      <c r="AJ217" s="1393">
        <v>0.0</v>
      </c>
      <c r="AK217" s="1393">
        <v>5.398483401417196E8</v>
      </c>
      <c r="AL217" s="1393">
        <v>0.0</v>
      </c>
      <c r="AM217" s="1393">
        <v>0.0</v>
      </c>
      <c r="AN217" s="1393">
        <v>0.0</v>
      </c>
      <c r="AO217" s="1393">
        <v>8.278230928071287E7</v>
      </c>
      <c r="AP217" s="1393">
        <v>1.231624290556868E7</v>
      </c>
      <c r="AQ217" s="1393">
        <v>0.0</v>
      </c>
      <c r="AR217" s="1393">
        <v>0.0</v>
      </c>
      <c r="AS217" s="1393">
        <v>5.398483401417196E8</v>
      </c>
      <c r="AT217" s="1393">
        <v>0.0</v>
      </c>
      <c r="AU217" s="1393">
        <v>0.0</v>
      </c>
      <c r="AV217" s="1393">
        <v>0.0</v>
      </c>
      <c r="AW217" s="1393">
        <v>8.278230928071287E7</v>
      </c>
      <c r="AX217" s="1393">
        <v>1.231624290556868E7</v>
      </c>
      <c r="AY217" s="1393">
        <v>0.0</v>
      </c>
      <c r="AZ217" s="1393">
        <v>0.0</v>
      </c>
      <c r="BA217" s="1393">
        <v>5.398483401417196E8</v>
      </c>
      <c r="BB217" s="1393">
        <v>0.0</v>
      </c>
      <c r="BC217" s="1393">
        <v>0.0</v>
      </c>
      <c r="BD217" s="1393">
        <v>0.0</v>
      </c>
      <c r="BE217" s="1393">
        <v>8.278230928071287E7</v>
      </c>
      <c r="BF217" s="1393">
        <v>1.231624290556868E7</v>
      </c>
      <c r="BG217" s="1393">
        <v>0.0</v>
      </c>
      <c r="BH217" s="1393">
        <v>0.0</v>
      </c>
      <c r="BI217" s="1393">
        <v>5.398483401417196E8</v>
      </c>
      <c r="BJ217" s="1393">
        <v>0.0</v>
      </c>
      <c r="BK217" s="1393">
        <v>0.0</v>
      </c>
      <c r="BL217" s="1393">
        <v>0.0</v>
      </c>
      <c r="BM217" s="1393">
        <v>8.278230928071287E7</v>
      </c>
      <c r="BN217" s="1393">
        <v>1.231624290556868E7</v>
      </c>
      <c r="BO217" s="1393">
        <v>0.0</v>
      </c>
      <c r="BP217" s="1393">
        <v>0.0</v>
      </c>
      <c r="BQ217" s="1393">
        <v>5.398483401417196E8</v>
      </c>
      <c r="BR217" s="1393">
        <v>0.0</v>
      </c>
      <c r="BS217" s="1393">
        <v>0.0</v>
      </c>
      <c r="BT217" s="1393">
        <v>0.0</v>
      </c>
      <c r="BU217" s="1393">
        <v>8.278230928071287E7</v>
      </c>
      <c r="BV217" s="1393">
        <v>1.231624290556868E7</v>
      </c>
      <c r="BW217" s="1393">
        <v>0.0</v>
      </c>
      <c r="BX217" s="1393">
        <v>0.0</v>
      </c>
      <c r="BY217" s="1393">
        <v>5.398483401417196E8</v>
      </c>
      <c r="BZ217" s="1393">
        <v>0.0</v>
      </c>
      <c r="CA217" s="1393">
        <v>0.0</v>
      </c>
      <c r="CB217" s="1393">
        <v>0.0</v>
      </c>
      <c r="CC217" s="1393">
        <v>8.278230928071287E7</v>
      </c>
      <c r="CD217" s="1393">
        <v>1.231624290556868E7</v>
      </c>
      <c r="CE217" s="1393">
        <v>0.0</v>
      </c>
      <c r="CF217" s="1393">
        <v>0.0</v>
      </c>
      <c r="CG217" s="1393">
        <v>5.398483401417196E8</v>
      </c>
      <c r="CH217" s="1393">
        <v>0.0</v>
      </c>
      <c r="CI217" s="1393">
        <v>0.0</v>
      </c>
      <c r="CJ217" s="1393">
        <v>0.0</v>
      </c>
      <c r="CK217" s="1393">
        <v>8.278230928071287E7</v>
      </c>
      <c r="CL217" s="1393">
        <v>1.231624290556868E7</v>
      </c>
      <c r="CM217" s="1393">
        <v>0.0</v>
      </c>
      <c r="CN217" s="1393">
        <v>0.0</v>
      </c>
      <c r="CO217" s="1393">
        <v>5.398483401417196E8</v>
      </c>
      <c r="CP217" s="1393">
        <v>0.0</v>
      </c>
      <c r="CQ217" s="1393">
        <v>0.0</v>
      </c>
      <c r="CR217" s="1393">
        <v>0.0</v>
      </c>
      <c r="CS217" s="1393">
        <v>8.278230928071287E7</v>
      </c>
      <c r="CT217" s="1393">
        <v>1.231624290556868E7</v>
      </c>
      <c r="CU217" s="1393">
        <v>0.0</v>
      </c>
      <c r="CV217" s="1393">
        <v>0.0</v>
      </c>
      <c r="CW217" s="1393">
        <v>5.398483401417196E8</v>
      </c>
      <c r="CX217" s="1393">
        <v>0.0</v>
      </c>
      <c r="CY217" s="1393">
        <v>0.0</v>
      </c>
      <c r="CZ217" s="1393">
        <v>0.0</v>
      </c>
      <c r="DA217" s="1393">
        <v>8.278230928071287E7</v>
      </c>
      <c r="DB217" s="1393">
        <v>1.231624290556868E7</v>
      </c>
      <c r="DC217" s="1393">
        <v>0.0</v>
      </c>
      <c r="DD217" s="1393">
        <v>0.0</v>
      </c>
      <c r="DE217" s="1393">
        <v>5.398483401417196E8</v>
      </c>
      <c r="DF217" s="1393">
        <v>0.0</v>
      </c>
      <c r="DG217" s="1393">
        <v>0.0</v>
      </c>
      <c r="DH217" s="1393">
        <v>0.0</v>
      </c>
      <c r="DI217" s="1393">
        <v>8.278230928071287E7</v>
      </c>
      <c r="DJ217" s="1393">
        <v>1.231624290556868E7</v>
      </c>
      <c r="DK217" s="1393">
        <v>0.0</v>
      </c>
      <c r="DL217" s="1393">
        <v>0.0</v>
      </c>
      <c r="DM217" s="1393">
        <v>5.398483401417196E8</v>
      </c>
      <c r="DN217" s="1393">
        <v>0.0</v>
      </c>
      <c r="DO217" s="1393">
        <v>0.0</v>
      </c>
      <c r="DP217" s="1393">
        <v>0.0</v>
      </c>
      <c r="DQ217" s="1393">
        <v>8.278230928071287E7</v>
      </c>
      <c r="DR217" s="1379">
        <f t="shared" ref="DR217:DR218" si="71">SUM(Z217:DQ217)</f>
        <v>7619362708</v>
      </c>
    </row>
    <row r="218" hidden="1">
      <c r="A218" s="1401"/>
      <c r="B218" s="1394">
        <f>B217+1</f>
        <v>2</v>
      </c>
      <c r="C218" s="1389" t="s">
        <v>1921</v>
      </c>
      <c r="D218" s="185" t="s">
        <v>186</v>
      </c>
      <c r="E218" s="1318" t="s">
        <v>1624</v>
      </c>
      <c r="F218" s="185" t="s">
        <v>1896</v>
      </c>
      <c r="G218" s="185" t="s">
        <v>218</v>
      </c>
      <c r="H218" s="185" t="s">
        <v>88</v>
      </c>
      <c r="I218" s="185" t="s">
        <v>88</v>
      </c>
      <c r="J218" s="185" t="s">
        <v>253</v>
      </c>
      <c r="K218" s="185" t="s">
        <v>254</v>
      </c>
      <c r="L218" s="1390">
        <v>2.13478046E8</v>
      </c>
      <c r="M218" s="1390">
        <v>2.13478046E8</v>
      </c>
      <c r="N218" s="1390">
        <v>2.13478046E8</v>
      </c>
      <c r="O218" s="1390">
        <v>2.13478046E8</v>
      </c>
      <c r="P218" s="1390">
        <v>2.13478046E8</v>
      </c>
      <c r="Q218" s="1390">
        <v>2.13478046E8</v>
      </c>
      <c r="R218" s="1390">
        <v>2.13478046E8</v>
      </c>
      <c r="S218" s="1390">
        <v>2.13478046E8</v>
      </c>
      <c r="T218" s="1390">
        <v>2.13478046E8</v>
      </c>
      <c r="U218" s="1390">
        <v>2.13478046E8</v>
      </c>
      <c r="V218" s="1390">
        <v>2.13478046E8</v>
      </c>
      <c r="W218" s="1390">
        <v>2.13478046E8</v>
      </c>
      <c r="X218" s="1391">
        <v>2.561736552E9</v>
      </c>
      <c r="Y218" s="1392">
        <f t="shared" si="3"/>
        <v>0</v>
      </c>
      <c r="Z218" s="1393">
        <v>3840902.810698271</v>
      </c>
      <c r="AA218" s="1393">
        <v>0.0</v>
      </c>
      <c r="AB218" s="1393">
        <v>0.0</v>
      </c>
      <c r="AC218" s="1393">
        <v>1.683553193046891E8</v>
      </c>
      <c r="AD218" s="1393">
        <v>0.0</v>
      </c>
      <c r="AE218" s="1393">
        <v>0.0</v>
      </c>
      <c r="AF218" s="1393">
        <v>0.0</v>
      </c>
      <c r="AG218" s="1393">
        <v>2.581621739927047E7</v>
      </c>
      <c r="AH218" s="1393">
        <v>3840902.810698271</v>
      </c>
      <c r="AI218" s="1393">
        <v>0.0</v>
      </c>
      <c r="AJ218" s="1393">
        <v>0.0</v>
      </c>
      <c r="AK218" s="1393">
        <v>1.683553193046891E8</v>
      </c>
      <c r="AL218" s="1393">
        <v>0.0</v>
      </c>
      <c r="AM218" s="1393">
        <v>0.0</v>
      </c>
      <c r="AN218" s="1393">
        <v>0.0</v>
      </c>
      <c r="AO218" s="1393">
        <v>2.581621739927047E7</v>
      </c>
      <c r="AP218" s="1393">
        <v>3840902.810698271</v>
      </c>
      <c r="AQ218" s="1393">
        <v>0.0</v>
      </c>
      <c r="AR218" s="1393">
        <v>0.0</v>
      </c>
      <c r="AS218" s="1393">
        <v>1.683553193046891E8</v>
      </c>
      <c r="AT218" s="1393">
        <v>0.0</v>
      </c>
      <c r="AU218" s="1393">
        <v>0.0</v>
      </c>
      <c r="AV218" s="1393">
        <v>0.0</v>
      </c>
      <c r="AW218" s="1393">
        <v>2.581621739927047E7</v>
      </c>
      <c r="AX218" s="1393">
        <v>3840902.810698271</v>
      </c>
      <c r="AY218" s="1393">
        <v>0.0</v>
      </c>
      <c r="AZ218" s="1393">
        <v>0.0</v>
      </c>
      <c r="BA218" s="1393">
        <v>1.683553193046891E8</v>
      </c>
      <c r="BB218" s="1393">
        <v>0.0</v>
      </c>
      <c r="BC218" s="1393">
        <v>0.0</v>
      </c>
      <c r="BD218" s="1393">
        <v>0.0</v>
      </c>
      <c r="BE218" s="1393">
        <v>2.581621739927047E7</v>
      </c>
      <c r="BF218" s="1393">
        <v>3840902.810698271</v>
      </c>
      <c r="BG218" s="1393">
        <v>0.0</v>
      </c>
      <c r="BH218" s="1393">
        <v>0.0</v>
      </c>
      <c r="BI218" s="1393">
        <v>1.683553193046891E8</v>
      </c>
      <c r="BJ218" s="1393">
        <v>0.0</v>
      </c>
      <c r="BK218" s="1393">
        <v>0.0</v>
      </c>
      <c r="BL218" s="1393">
        <v>0.0</v>
      </c>
      <c r="BM218" s="1393">
        <v>2.581621739927047E7</v>
      </c>
      <c r="BN218" s="1393">
        <v>3840902.810698271</v>
      </c>
      <c r="BO218" s="1393">
        <v>0.0</v>
      </c>
      <c r="BP218" s="1393">
        <v>0.0</v>
      </c>
      <c r="BQ218" s="1393">
        <v>1.683553193046891E8</v>
      </c>
      <c r="BR218" s="1393">
        <v>0.0</v>
      </c>
      <c r="BS218" s="1393">
        <v>0.0</v>
      </c>
      <c r="BT218" s="1393">
        <v>0.0</v>
      </c>
      <c r="BU218" s="1393">
        <v>2.581621739927047E7</v>
      </c>
      <c r="BV218" s="1393">
        <v>3840902.810698271</v>
      </c>
      <c r="BW218" s="1393">
        <v>0.0</v>
      </c>
      <c r="BX218" s="1393">
        <v>0.0</v>
      </c>
      <c r="BY218" s="1393">
        <v>1.683553193046891E8</v>
      </c>
      <c r="BZ218" s="1393">
        <v>0.0</v>
      </c>
      <c r="CA218" s="1393">
        <v>0.0</v>
      </c>
      <c r="CB218" s="1393">
        <v>0.0</v>
      </c>
      <c r="CC218" s="1393">
        <v>2.581621739927047E7</v>
      </c>
      <c r="CD218" s="1393">
        <v>3840902.810698271</v>
      </c>
      <c r="CE218" s="1393">
        <v>0.0</v>
      </c>
      <c r="CF218" s="1393">
        <v>0.0</v>
      </c>
      <c r="CG218" s="1393">
        <v>1.683553193046891E8</v>
      </c>
      <c r="CH218" s="1393">
        <v>0.0</v>
      </c>
      <c r="CI218" s="1393">
        <v>0.0</v>
      </c>
      <c r="CJ218" s="1393">
        <v>0.0</v>
      </c>
      <c r="CK218" s="1393">
        <v>2.581621739927047E7</v>
      </c>
      <c r="CL218" s="1393">
        <v>3840902.810698271</v>
      </c>
      <c r="CM218" s="1393">
        <v>0.0</v>
      </c>
      <c r="CN218" s="1393">
        <v>0.0</v>
      </c>
      <c r="CO218" s="1393">
        <v>1.683553193046891E8</v>
      </c>
      <c r="CP218" s="1393">
        <v>0.0</v>
      </c>
      <c r="CQ218" s="1393">
        <v>0.0</v>
      </c>
      <c r="CR218" s="1393">
        <v>0.0</v>
      </c>
      <c r="CS218" s="1393">
        <v>2.581621739927047E7</v>
      </c>
      <c r="CT218" s="1393">
        <v>3840902.810698271</v>
      </c>
      <c r="CU218" s="1393">
        <v>0.0</v>
      </c>
      <c r="CV218" s="1393">
        <v>0.0</v>
      </c>
      <c r="CW218" s="1393">
        <v>1.683553193046891E8</v>
      </c>
      <c r="CX218" s="1393">
        <v>0.0</v>
      </c>
      <c r="CY218" s="1393">
        <v>0.0</v>
      </c>
      <c r="CZ218" s="1393">
        <v>0.0</v>
      </c>
      <c r="DA218" s="1393">
        <v>2.581621739927047E7</v>
      </c>
      <c r="DB218" s="1393">
        <v>3840902.810698271</v>
      </c>
      <c r="DC218" s="1393">
        <v>0.0</v>
      </c>
      <c r="DD218" s="1393">
        <v>0.0</v>
      </c>
      <c r="DE218" s="1393">
        <v>1.683553193046891E8</v>
      </c>
      <c r="DF218" s="1393">
        <v>0.0</v>
      </c>
      <c r="DG218" s="1393">
        <v>0.0</v>
      </c>
      <c r="DH218" s="1393">
        <v>0.0</v>
      </c>
      <c r="DI218" s="1393">
        <v>2.581621739927047E7</v>
      </c>
      <c r="DJ218" s="1393">
        <v>3840902.810698271</v>
      </c>
      <c r="DK218" s="1393">
        <v>0.0</v>
      </c>
      <c r="DL218" s="1393">
        <v>0.0</v>
      </c>
      <c r="DM218" s="1393">
        <v>1.683553193046891E8</v>
      </c>
      <c r="DN218" s="1393">
        <v>0.0</v>
      </c>
      <c r="DO218" s="1393">
        <v>0.0</v>
      </c>
      <c r="DP218" s="1393">
        <v>0.0</v>
      </c>
      <c r="DQ218" s="1393">
        <v>2.581621739927047E7</v>
      </c>
      <c r="DR218" s="1379">
        <f t="shared" si="71"/>
        <v>2376149274</v>
      </c>
    </row>
    <row r="219" hidden="1">
      <c r="A219" s="1401">
        <v>30.0</v>
      </c>
      <c r="B219" s="1402" t="s">
        <v>66</v>
      </c>
      <c r="C219" s="7"/>
      <c r="D219" s="1225"/>
      <c r="E219" s="1225"/>
      <c r="F219" s="1225"/>
      <c r="G219" s="1225"/>
      <c r="H219" s="1225"/>
      <c r="I219" s="1225"/>
      <c r="J219" s="1225"/>
      <c r="K219" s="1225"/>
      <c r="L219" s="1396">
        <f t="shared" ref="L219:X219" si="72">L220+L221+L222+L223+L224+L225+L226</f>
        <v>0</v>
      </c>
      <c r="M219" s="1396">
        <f t="shared" si="72"/>
        <v>0</v>
      </c>
      <c r="N219" s="1396">
        <f t="shared" si="72"/>
        <v>0</v>
      </c>
      <c r="O219" s="1396">
        <f t="shared" si="72"/>
        <v>30564606</v>
      </c>
      <c r="P219" s="1396">
        <f t="shared" si="72"/>
        <v>30564606</v>
      </c>
      <c r="Q219" s="1396">
        <f t="shared" si="72"/>
        <v>89014691</v>
      </c>
      <c r="R219" s="1396">
        <f t="shared" si="72"/>
        <v>89382091</v>
      </c>
      <c r="S219" s="1396">
        <f t="shared" si="72"/>
        <v>89828691</v>
      </c>
      <c r="T219" s="1396">
        <f t="shared" si="72"/>
        <v>93860755</v>
      </c>
      <c r="U219" s="1396">
        <f t="shared" si="72"/>
        <v>93860755</v>
      </c>
      <c r="V219" s="1396">
        <f t="shared" si="72"/>
        <v>94629655</v>
      </c>
      <c r="W219" s="1396">
        <f t="shared" si="72"/>
        <v>94629655</v>
      </c>
      <c r="X219" s="1396">
        <f t="shared" si="72"/>
        <v>706335505</v>
      </c>
      <c r="Y219" s="1392">
        <f t="shared" si="3"/>
        <v>0</v>
      </c>
    </row>
    <row r="220" hidden="1">
      <c r="A220" s="25"/>
      <c r="B220" s="1407">
        <v>1.0</v>
      </c>
      <c r="C220" s="1404" t="s">
        <v>1645</v>
      </c>
      <c r="D220" s="185" t="s">
        <v>186</v>
      </c>
      <c r="E220" s="185" t="s">
        <v>1644</v>
      </c>
      <c r="F220" s="185" t="s">
        <v>1910</v>
      </c>
      <c r="G220" s="185" t="s">
        <v>218</v>
      </c>
      <c r="H220" s="185" t="s">
        <v>88</v>
      </c>
      <c r="I220" s="185" t="s">
        <v>88</v>
      </c>
      <c r="J220" s="185" t="s">
        <v>253</v>
      </c>
      <c r="K220" s="185" t="s">
        <v>254</v>
      </c>
      <c r="L220" s="1390"/>
      <c r="M220" s="503"/>
      <c r="N220" s="503"/>
      <c r="O220" s="503">
        <v>3.0564606E7</v>
      </c>
      <c r="P220" s="503">
        <v>3.0564606E7</v>
      </c>
      <c r="Q220" s="503">
        <v>3.0564606E7</v>
      </c>
      <c r="R220" s="503">
        <v>3.0564606E7</v>
      </c>
      <c r="S220" s="503">
        <v>3.0564606E7</v>
      </c>
      <c r="T220" s="503">
        <v>3.0564606E7</v>
      </c>
      <c r="U220" s="503">
        <v>3.0564606E7</v>
      </c>
      <c r="V220" s="503">
        <v>3.0564606E7</v>
      </c>
      <c r="W220" s="503">
        <v>3.0564606E7</v>
      </c>
      <c r="X220" s="1405">
        <v>2.75081454E8</v>
      </c>
      <c r="Y220" s="1392">
        <f t="shared" si="3"/>
        <v>0</v>
      </c>
      <c r="Z220" s="1393">
        <v>0.0</v>
      </c>
      <c r="AA220" s="1393">
        <v>0.0</v>
      </c>
      <c r="AB220" s="1393">
        <v>0.0</v>
      </c>
      <c r="AC220" s="1393">
        <v>0.0</v>
      </c>
      <c r="AD220" s="1393">
        <v>0.0</v>
      </c>
      <c r="AE220" s="1393">
        <v>0.0</v>
      </c>
      <c r="AF220" s="1393">
        <v>0.0</v>
      </c>
      <c r="AG220" s="1393">
        <v>0.0</v>
      </c>
      <c r="AH220" s="1393">
        <v>0.0</v>
      </c>
      <c r="AI220" s="1393">
        <v>0.0</v>
      </c>
      <c r="AJ220" s="1393">
        <v>0.0</v>
      </c>
      <c r="AK220" s="1393">
        <v>0.0</v>
      </c>
      <c r="AL220" s="1393">
        <v>0.0</v>
      </c>
      <c r="AM220" s="1393">
        <v>0.0</v>
      </c>
      <c r="AN220" s="1393">
        <v>0.0</v>
      </c>
      <c r="AO220" s="1393">
        <v>0.0</v>
      </c>
      <c r="AP220" s="1393">
        <v>0.0</v>
      </c>
      <c r="AQ220" s="1393">
        <v>0.0</v>
      </c>
      <c r="AR220" s="1393">
        <v>0.0</v>
      </c>
      <c r="AS220" s="1393">
        <v>0.0</v>
      </c>
      <c r="AT220" s="1393">
        <v>0.0</v>
      </c>
      <c r="AU220" s="1393">
        <v>0.0</v>
      </c>
      <c r="AV220" s="1393">
        <v>0.0</v>
      </c>
      <c r="AW220" s="1393">
        <v>0.0</v>
      </c>
      <c r="AX220" s="1393">
        <v>536120.5637563294</v>
      </c>
      <c r="AY220" s="1393">
        <v>0.0</v>
      </c>
      <c r="AZ220" s="1393">
        <v>0.0</v>
      </c>
      <c r="BA220" s="1393">
        <v>2.2922946256386656E7</v>
      </c>
      <c r="BB220" s="1393">
        <v>0.0</v>
      </c>
      <c r="BC220" s="1393">
        <v>0.0</v>
      </c>
      <c r="BD220" s="1393">
        <v>0.0</v>
      </c>
      <c r="BE220" s="1393">
        <v>2368231.058456282</v>
      </c>
      <c r="BF220" s="1393">
        <v>512284.66042061656</v>
      </c>
      <c r="BG220" s="1393">
        <v>0.0</v>
      </c>
      <c r="BH220" s="1393">
        <v>0.0</v>
      </c>
      <c r="BI220" s="1393">
        <v>2.190762547500709E7</v>
      </c>
      <c r="BJ220" s="1393">
        <v>0.0</v>
      </c>
      <c r="BK220" s="1393">
        <v>0.0</v>
      </c>
      <c r="BL220" s="1393">
        <v>0.0</v>
      </c>
      <c r="BM220" s="1393">
        <v>2262939.5803781296</v>
      </c>
      <c r="BN220" s="1393">
        <v>535635.021843272</v>
      </c>
      <c r="BO220" s="1393">
        <v>0.0</v>
      </c>
      <c r="BP220" s="1393">
        <v>0.0</v>
      </c>
      <c r="BQ220" s="1393">
        <v>2.2900797907586046E7</v>
      </c>
      <c r="BR220" s="1393">
        <v>0.0</v>
      </c>
      <c r="BS220" s="1393">
        <v>0.0</v>
      </c>
      <c r="BT220" s="1393">
        <v>0.0</v>
      </c>
      <c r="BU220" s="1393">
        <v>2366086.2508954084</v>
      </c>
      <c r="BV220" s="1393">
        <v>491080.0114469378</v>
      </c>
      <c r="BW220" s="1393">
        <v>0.0</v>
      </c>
      <c r="BX220" s="1393">
        <v>0.0</v>
      </c>
      <c r="BY220" s="1393">
        <v>2.0980824212445777E7</v>
      </c>
      <c r="BZ220" s="1393">
        <v>0.0</v>
      </c>
      <c r="CA220" s="1393">
        <v>0.0</v>
      </c>
      <c r="CB220" s="1393">
        <v>0.0</v>
      </c>
      <c r="CC220" s="1393">
        <v>2169271.2682893705</v>
      </c>
      <c r="CD220" s="1393">
        <v>480417.5813491305</v>
      </c>
      <c r="CE220" s="1393">
        <v>0.0</v>
      </c>
      <c r="CF220" s="1393">
        <v>0.0</v>
      </c>
      <c r="CG220" s="1393">
        <v>2.052384387347116E7</v>
      </c>
      <c r="CH220" s="1393">
        <v>0.0</v>
      </c>
      <c r="CI220" s="1393">
        <v>0.0</v>
      </c>
      <c r="CJ220" s="1393">
        <v>0.0</v>
      </c>
      <c r="CK220" s="1393">
        <v>2122171.6048492584</v>
      </c>
      <c r="CL220" s="1393">
        <v>581954.711406109</v>
      </c>
      <c r="CM220" s="1393">
        <v>0.0</v>
      </c>
      <c r="CN220" s="1393">
        <v>0.0</v>
      </c>
      <c r="CO220" s="1393">
        <v>2.4873196926900472E7</v>
      </c>
      <c r="CP220" s="1393">
        <v>0.0</v>
      </c>
      <c r="CQ220" s="1393">
        <v>0.0</v>
      </c>
      <c r="CR220" s="1393">
        <v>0.0</v>
      </c>
      <c r="CS220" s="1393">
        <v>2570696.435351272</v>
      </c>
      <c r="CT220" s="1393">
        <v>588332.3499945214</v>
      </c>
      <c r="CU220" s="1393">
        <v>0.0</v>
      </c>
      <c r="CV220" s="1393">
        <v>0.0</v>
      </c>
      <c r="CW220" s="1393">
        <v>2.5147006736725688E7</v>
      </c>
      <c r="CX220" s="1393">
        <v>0.0</v>
      </c>
      <c r="CY220" s="1393">
        <v>0.0</v>
      </c>
      <c r="CZ220" s="1393">
        <v>0.0</v>
      </c>
      <c r="DA220" s="1393">
        <v>2598868.68391951</v>
      </c>
      <c r="DB220" s="1393">
        <v>551022.6026572798</v>
      </c>
      <c r="DC220" s="1393">
        <v>0.0</v>
      </c>
      <c r="DD220" s="1393">
        <v>0.0</v>
      </c>
      <c r="DE220" s="1393">
        <v>2.355831346036081E7</v>
      </c>
      <c r="DF220" s="1393">
        <v>0.0</v>
      </c>
      <c r="DG220" s="1393">
        <v>0.0</v>
      </c>
      <c r="DH220" s="1393">
        <v>0.0</v>
      </c>
      <c r="DI220" s="1393">
        <v>2434058.54903468</v>
      </c>
      <c r="DJ220" s="1393">
        <v>544280.2323195048</v>
      </c>
      <c r="DK220" s="1393">
        <v>0.0</v>
      </c>
      <c r="DL220" s="1393">
        <v>0.0</v>
      </c>
      <c r="DM220" s="1393">
        <v>2.3264478379778296E7</v>
      </c>
      <c r="DN220" s="1393">
        <v>0.0</v>
      </c>
      <c r="DO220" s="1393">
        <v>0.0</v>
      </c>
      <c r="DP220" s="1393">
        <v>0.0</v>
      </c>
      <c r="DQ220" s="1393">
        <v>2404275.153431167</v>
      </c>
      <c r="DR220" s="1379">
        <f t="shared" ref="DR220:DR226" si="73">SUM(Z220:DQ220)</f>
        <v>232196759.5</v>
      </c>
    </row>
    <row r="221" hidden="1">
      <c r="A221" s="25"/>
      <c r="B221" s="1403">
        <f t="shared" ref="B221:B226" si="74">B220+1</f>
        <v>2</v>
      </c>
      <c r="C221" s="1404" t="s">
        <v>1648</v>
      </c>
      <c r="D221" s="185" t="s">
        <v>186</v>
      </c>
      <c r="E221" s="185" t="s">
        <v>1644</v>
      </c>
      <c r="F221" s="185" t="s">
        <v>1910</v>
      </c>
      <c r="G221" s="185" t="s">
        <v>86</v>
      </c>
      <c r="H221" s="185" t="s">
        <v>86</v>
      </c>
      <c r="I221" s="185" t="s">
        <v>103</v>
      </c>
      <c r="J221" s="185" t="s">
        <v>253</v>
      </c>
      <c r="K221" s="185" t="s">
        <v>254</v>
      </c>
      <c r="L221" s="1390"/>
      <c r="M221" s="503"/>
      <c r="N221" s="503"/>
      <c r="O221" s="503"/>
      <c r="P221" s="503"/>
      <c r="Q221" s="503">
        <v>5.8450085E7</v>
      </c>
      <c r="R221" s="503">
        <v>5.8450085E7</v>
      </c>
      <c r="S221" s="503">
        <v>5.8450085E7</v>
      </c>
      <c r="T221" s="503">
        <v>5.8450085E7</v>
      </c>
      <c r="U221" s="503">
        <v>5.8450085E7</v>
      </c>
      <c r="V221" s="503">
        <v>5.8450085E7</v>
      </c>
      <c r="W221" s="503">
        <v>5.8450085E7</v>
      </c>
      <c r="X221" s="1405">
        <v>4.09150595E8</v>
      </c>
      <c r="Y221" s="1392">
        <f t="shared" si="3"/>
        <v>0</v>
      </c>
      <c r="Z221" s="1393">
        <v>0.0</v>
      </c>
      <c r="AA221" s="1393">
        <v>0.0</v>
      </c>
      <c r="AB221" s="1393">
        <v>0.0</v>
      </c>
      <c r="AC221" s="1393">
        <v>0.0</v>
      </c>
      <c r="AD221" s="1393">
        <v>0.0</v>
      </c>
      <c r="AE221" s="1393">
        <v>0.0</v>
      </c>
      <c r="AF221" s="1393">
        <v>0.0</v>
      </c>
      <c r="AG221" s="1393">
        <v>0.0</v>
      </c>
      <c r="AH221" s="1393">
        <v>0.0</v>
      </c>
      <c r="AI221" s="1393">
        <v>0.0</v>
      </c>
      <c r="AJ221" s="1393">
        <v>0.0</v>
      </c>
      <c r="AK221" s="1393">
        <v>0.0</v>
      </c>
      <c r="AL221" s="1393">
        <v>0.0</v>
      </c>
      <c r="AM221" s="1393">
        <v>0.0</v>
      </c>
      <c r="AN221" s="1393">
        <v>0.0</v>
      </c>
      <c r="AO221" s="1393">
        <v>0.0</v>
      </c>
      <c r="AP221" s="1393">
        <v>0.0</v>
      </c>
      <c r="AQ221" s="1393">
        <v>0.0</v>
      </c>
      <c r="AR221" s="1393">
        <v>0.0</v>
      </c>
      <c r="AS221" s="1393">
        <v>0.0</v>
      </c>
      <c r="AT221" s="1393">
        <v>0.0</v>
      </c>
      <c r="AU221" s="1393">
        <v>0.0</v>
      </c>
      <c r="AV221" s="1393">
        <v>0.0</v>
      </c>
      <c r="AW221" s="1393">
        <v>0.0</v>
      </c>
      <c r="AX221" s="1393">
        <v>0.0</v>
      </c>
      <c r="AY221" s="1393">
        <v>0.0</v>
      </c>
      <c r="AZ221" s="1393">
        <v>0.0</v>
      </c>
      <c r="BA221" s="1393">
        <v>0.0</v>
      </c>
      <c r="BB221" s="1393">
        <v>0.0</v>
      </c>
      <c r="BC221" s="1393">
        <v>0.0</v>
      </c>
      <c r="BD221" s="1393">
        <v>0.0</v>
      </c>
      <c r="BE221" s="1393">
        <v>0.0</v>
      </c>
      <c r="BF221" s="1393">
        <v>0.0</v>
      </c>
      <c r="BG221" s="1393">
        <v>0.0</v>
      </c>
      <c r="BH221" s="1393">
        <v>0.0</v>
      </c>
      <c r="BI221" s="1393">
        <v>0.0</v>
      </c>
      <c r="BJ221" s="1393">
        <v>0.0</v>
      </c>
      <c r="BK221" s="1393">
        <v>0.0</v>
      </c>
      <c r="BL221" s="1393">
        <v>0.0</v>
      </c>
      <c r="BM221" s="1393">
        <v>0.0</v>
      </c>
      <c r="BN221" s="1393">
        <v>7556827.742748625</v>
      </c>
      <c r="BO221" s="1393">
        <v>0.0</v>
      </c>
      <c r="BP221" s="1393">
        <v>0.0</v>
      </c>
      <c r="BQ221" s="1393">
        <v>4.1955840765385345E7</v>
      </c>
      <c r="BR221" s="1393">
        <v>0.0</v>
      </c>
      <c r="BS221" s="1393">
        <v>0.0</v>
      </c>
      <c r="BT221" s="1393">
        <v>0.0</v>
      </c>
      <c r="BU221" s="1393">
        <v>2454504.158880226</v>
      </c>
      <c r="BV221" s="1393">
        <v>7904251.414095267</v>
      </c>
      <c r="BW221" s="1393">
        <v>0.0</v>
      </c>
      <c r="BX221" s="1393">
        <v>0.0</v>
      </c>
      <c r="BY221" s="1393">
        <v>4.38653025785711E7</v>
      </c>
      <c r="BZ221" s="1393">
        <v>0.0</v>
      </c>
      <c r="CA221" s="1393">
        <v>0.0</v>
      </c>
      <c r="CB221" s="1393">
        <v>0.0</v>
      </c>
      <c r="CC221" s="1393">
        <v>2567349.5055314116</v>
      </c>
      <c r="CD221" s="1393">
        <v>7953228.481283907</v>
      </c>
      <c r="CE221" s="1393">
        <v>0.0</v>
      </c>
      <c r="CF221" s="1393">
        <v>0.0</v>
      </c>
      <c r="CG221" s="1393">
        <v>4.413440026748611E7</v>
      </c>
      <c r="CH221" s="1393">
        <v>0.0</v>
      </c>
      <c r="CI221" s="1393">
        <v>0.0</v>
      </c>
      <c r="CJ221" s="1393">
        <v>0.0</v>
      </c>
      <c r="CK221" s="1393">
        <v>2583257.5583806555</v>
      </c>
      <c r="CL221" s="1393">
        <v>7693675.565857321</v>
      </c>
      <c r="CM221" s="1393">
        <v>0.0</v>
      </c>
      <c r="CN221" s="1393">
        <v>0.0</v>
      </c>
      <c r="CO221" s="1393">
        <v>4.2705133508965686E7</v>
      </c>
      <c r="CP221" s="1393">
        <v>0.0</v>
      </c>
      <c r="CQ221" s="1393">
        <v>0.0</v>
      </c>
      <c r="CR221" s="1393">
        <v>0.0</v>
      </c>
      <c r="CS221" s="1393">
        <v>2498953.174047512</v>
      </c>
      <c r="CT221" s="1393">
        <v>7676573.218443023</v>
      </c>
      <c r="CU221" s="1393">
        <v>0.0</v>
      </c>
      <c r="CV221" s="1393">
        <v>0.0</v>
      </c>
      <c r="CW221" s="1393">
        <v>4.261113690246973E7</v>
      </c>
      <c r="CX221" s="1393">
        <v>0.0</v>
      </c>
      <c r="CY221" s="1393">
        <v>0.0</v>
      </c>
      <c r="CZ221" s="1393">
        <v>0.0</v>
      </c>
      <c r="DA221" s="1393">
        <v>2493398.226351993</v>
      </c>
      <c r="DB221" s="1393">
        <v>7550661.04839749</v>
      </c>
      <c r="DC221" s="1393">
        <v>0.0</v>
      </c>
      <c r="DD221" s="1393">
        <v>0.0</v>
      </c>
      <c r="DE221" s="1393">
        <v>4.191893287253773E7</v>
      </c>
      <c r="DF221" s="1393">
        <v>0.0</v>
      </c>
      <c r="DG221" s="1393">
        <v>0.0</v>
      </c>
      <c r="DH221" s="1393">
        <v>0.0</v>
      </c>
      <c r="DI221" s="1393">
        <v>2452501.178602433</v>
      </c>
      <c r="DJ221" s="1393">
        <v>7668810.293768368</v>
      </c>
      <c r="DK221" s="1393">
        <v>0.0</v>
      </c>
      <c r="DL221" s="1393">
        <v>0.0</v>
      </c>
      <c r="DM221" s="1393">
        <v>4.2568295667942636E7</v>
      </c>
      <c r="DN221" s="1393">
        <v>0.0</v>
      </c>
      <c r="DO221" s="1393">
        <v>0.0</v>
      </c>
      <c r="DP221" s="1393">
        <v>0.0</v>
      </c>
      <c r="DQ221" s="1393">
        <v>2490876.780641219</v>
      </c>
      <c r="DR221" s="1379">
        <f t="shared" si="73"/>
        <v>371303910.9</v>
      </c>
    </row>
    <row r="222" hidden="1">
      <c r="A222" s="25"/>
      <c r="B222" s="1403">
        <f t="shared" si="74"/>
        <v>3</v>
      </c>
      <c r="C222" s="1404" t="s">
        <v>1856</v>
      </c>
      <c r="D222" s="185" t="s">
        <v>186</v>
      </c>
      <c r="E222" s="185" t="s">
        <v>1644</v>
      </c>
      <c r="F222" s="185" t="s">
        <v>1910</v>
      </c>
      <c r="G222" s="185" t="s">
        <v>86</v>
      </c>
      <c r="H222" s="185" t="s">
        <v>86</v>
      </c>
      <c r="I222" s="185" t="s">
        <v>103</v>
      </c>
      <c r="J222" s="185" t="s">
        <v>253</v>
      </c>
      <c r="K222" s="185" t="s">
        <v>254</v>
      </c>
      <c r="L222" s="1390"/>
      <c r="M222" s="503"/>
      <c r="N222" s="503"/>
      <c r="O222" s="503"/>
      <c r="P222" s="503"/>
      <c r="Q222" s="503"/>
      <c r="R222" s="503"/>
      <c r="S222" s="503"/>
      <c r="T222" s="503">
        <v>3244464.0</v>
      </c>
      <c r="U222" s="503">
        <v>3244464.0</v>
      </c>
      <c r="V222" s="503">
        <v>3244464.0</v>
      </c>
      <c r="W222" s="503">
        <v>3244464.0</v>
      </c>
      <c r="X222" s="1405">
        <v>1.2977856E7</v>
      </c>
      <c r="Y222" s="1392">
        <f t="shared" si="3"/>
        <v>0</v>
      </c>
      <c r="Z222" s="1393">
        <v>0.0</v>
      </c>
      <c r="AA222" s="1393">
        <v>0.0</v>
      </c>
      <c r="AB222" s="1393">
        <v>0.0</v>
      </c>
      <c r="AC222" s="1393">
        <v>0.0</v>
      </c>
      <c r="AD222" s="1393">
        <v>0.0</v>
      </c>
      <c r="AE222" s="1393">
        <v>0.0</v>
      </c>
      <c r="AF222" s="1393">
        <v>0.0</v>
      </c>
      <c r="AG222" s="1393">
        <v>0.0</v>
      </c>
      <c r="AH222" s="1393">
        <v>0.0</v>
      </c>
      <c r="AI222" s="1393">
        <v>0.0</v>
      </c>
      <c r="AJ222" s="1393">
        <v>0.0</v>
      </c>
      <c r="AK222" s="1393">
        <v>0.0</v>
      </c>
      <c r="AL222" s="1393">
        <v>0.0</v>
      </c>
      <c r="AM222" s="1393">
        <v>0.0</v>
      </c>
      <c r="AN222" s="1393">
        <v>0.0</v>
      </c>
      <c r="AO222" s="1393">
        <v>0.0</v>
      </c>
      <c r="AP222" s="1393">
        <v>0.0</v>
      </c>
      <c r="AQ222" s="1393">
        <v>0.0</v>
      </c>
      <c r="AR222" s="1393">
        <v>0.0</v>
      </c>
      <c r="AS222" s="1393">
        <v>0.0</v>
      </c>
      <c r="AT222" s="1393">
        <v>0.0</v>
      </c>
      <c r="AU222" s="1393">
        <v>0.0</v>
      </c>
      <c r="AV222" s="1393">
        <v>0.0</v>
      </c>
      <c r="AW222" s="1393">
        <v>0.0</v>
      </c>
      <c r="AX222" s="1393">
        <v>0.0</v>
      </c>
      <c r="AY222" s="1393">
        <v>0.0</v>
      </c>
      <c r="AZ222" s="1393">
        <v>0.0</v>
      </c>
      <c r="BA222" s="1393">
        <v>0.0</v>
      </c>
      <c r="BB222" s="1393">
        <v>0.0</v>
      </c>
      <c r="BC222" s="1393">
        <v>0.0</v>
      </c>
      <c r="BD222" s="1393">
        <v>0.0</v>
      </c>
      <c r="BE222" s="1393">
        <v>0.0</v>
      </c>
      <c r="BF222" s="1393">
        <v>0.0</v>
      </c>
      <c r="BG222" s="1393">
        <v>0.0</v>
      </c>
      <c r="BH222" s="1393">
        <v>0.0</v>
      </c>
      <c r="BI222" s="1393">
        <v>0.0</v>
      </c>
      <c r="BJ222" s="1393">
        <v>0.0</v>
      </c>
      <c r="BK222" s="1393">
        <v>0.0</v>
      </c>
      <c r="BL222" s="1393">
        <v>0.0</v>
      </c>
      <c r="BM222" s="1393">
        <v>0.0</v>
      </c>
      <c r="BN222" s="1393">
        <v>0.0</v>
      </c>
      <c r="BO222" s="1393">
        <v>0.0</v>
      </c>
      <c r="BP222" s="1393">
        <v>0.0</v>
      </c>
      <c r="BQ222" s="1393">
        <v>0.0</v>
      </c>
      <c r="BR222" s="1393">
        <v>0.0</v>
      </c>
      <c r="BS222" s="1393">
        <v>0.0</v>
      </c>
      <c r="BT222" s="1393">
        <v>0.0</v>
      </c>
      <c r="BU222" s="1393">
        <v>0.0</v>
      </c>
      <c r="BV222" s="1393">
        <v>0.0</v>
      </c>
      <c r="BW222" s="1393">
        <v>0.0</v>
      </c>
      <c r="BX222" s="1393">
        <v>0.0</v>
      </c>
      <c r="BY222" s="1393">
        <v>0.0</v>
      </c>
      <c r="BZ222" s="1393">
        <v>0.0</v>
      </c>
      <c r="CA222" s="1393">
        <v>0.0</v>
      </c>
      <c r="CB222" s="1393">
        <v>0.0</v>
      </c>
      <c r="CC222" s="1393">
        <v>0.0</v>
      </c>
      <c r="CD222" s="1393">
        <v>0.0</v>
      </c>
      <c r="CE222" s="1393">
        <v>0.0</v>
      </c>
      <c r="CF222" s="1393">
        <v>0.0</v>
      </c>
      <c r="CG222" s="1393">
        <v>0.0</v>
      </c>
      <c r="CH222" s="1393">
        <v>0.0</v>
      </c>
      <c r="CI222" s="1393">
        <v>0.0</v>
      </c>
      <c r="CJ222" s="1393">
        <v>0.0</v>
      </c>
      <c r="CK222" s="1393">
        <v>0.0</v>
      </c>
      <c r="CL222" s="1393">
        <v>427062.73910643085</v>
      </c>
      <c r="CM222" s="1393">
        <v>0.0</v>
      </c>
      <c r="CN222" s="1393">
        <v>0.0</v>
      </c>
      <c r="CO222" s="1393">
        <v>2370488.7389818653</v>
      </c>
      <c r="CP222" s="1393">
        <v>0.0</v>
      </c>
      <c r="CQ222" s="1393">
        <v>0.0</v>
      </c>
      <c r="CR222" s="1393">
        <v>0.0</v>
      </c>
      <c r="CS222" s="1393">
        <v>138712.6059933512</v>
      </c>
      <c r="CT222" s="1393">
        <v>426113.4171250995</v>
      </c>
      <c r="CU222" s="1393">
        <v>0.0</v>
      </c>
      <c r="CV222" s="1393">
        <v>0.0</v>
      </c>
      <c r="CW222" s="1393">
        <v>2365271.14852159</v>
      </c>
      <c r="CX222" s="1393">
        <v>0.0</v>
      </c>
      <c r="CY222" s="1393">
        <v>0.0</v>
      </c>
      <c r="CZ222" s="1393">
        <v>0.0</v>
      </c>
      <c r="DA222" s="1393">
        <v>138404.26037127053</v>
      </c>
      <c r="DB222" s="1393">
        <v>419124.24845452176</v>
      </c>
      <c r="DC222" s="1393">
        <v>0.0</v>
      </c>
      <c r="DD222" s="1393">
        <v>0.0</v>
      </c>
      <c r="DE222" s="1393">
        <v>2326848.0896711317</v>
      </c>
      <c r="DF222" s="1393">
        <v>0.0</v>
      </c>
      <c r="DG222" s="1393">
        <v>0.0</v>
      </c>
      <c r="DH222" s="1393">
        <v>0.0</v>
      </c>
      <c r="DI222" s="1393">
        <v>136134.1353726545</v>
      </c>
      <c r="DJ222" s="1393">
        <v>425682.51048669807</v>
      </c>
      <c r="DK222" s="1393">
        <v>0.0</v>
      </c>
      <c r="DL222" s="1393">
        <v>0.0</v>
      </c>
      <c r="DM222" s="1393">
        <v>2362893.10504845</v>
      </c>
      <c r="DN222" s="1393">
        <v>0.0</v>
      </c>
      <c r="DO222" s="1393">
        <v>0.0</v>
      </c>
      <c r="DP222" s="1393">
        <v>0.0</v>
      </c>
      <c r="DQ222" s="1393">
        <v>138264.2992431291</v>
      </c>
      <c r="DR222" s="1379">
        <f t="shared" si="73"/>
        <v>11674999.3</v>
      </c>
    </row>
    <row r="223" hidden="1">
      <c r="A223" s="25"/>
      <c r="B223" s="1403">
        <f t="shared" si="74"/>
        <v>4</v>
      </c>
      <c r="C223" s="1404" t="s">
        <v>1654</v>
      </c>
      <c r="D223" s="185" t="s">
        <v>186</v>
      </c>
      <c r="E223" s="185" t="s">
        <v>1644</v>
      </c>
      <c r="F223" s="185" t="s">
        <v>1910</v>
      </c>
      <c r="G223" s="185" t="s">
        <v>86</v>
      </c>
      <c r="H223" s="185" t="s">
        <v>86</v>
      </c>
      <c r="I223" s="185" t="s">
        <v>103</v>
      </c>
      <c r="J223" s="185" t="s">
        <v>253</v>
      </c>
      <c r="K223" s="185" t="s">
        <v>254</v>
      </c>
      <c r="L223" s="1390"/>
      <c r="M223" s="503"/>
      <c r="N223" s="503"/>
      <c r="O223" s="503"/>
      <c r="P223" s="503"/>
      <c r="Q223" s="503"/>
      <c r="R223" s="503">
        <v>367400.0</v>
      </c>
      <c r="S223" s="503">
        <v>367400.0</v>
      </c>
      <c r="T223" s="503">
        <v>367400.0</v>
      </c>
      <c r="U223" s="503">
        <v>367400.0</v>
      </c>
      <c r="V223" s="503">
        <v>367400.0</v>
      </c>
      <c r="W223" s="503">
        <v>367400.0</v>
      </c>
      <c r="X223" s="1405">
        <v>2204400.0</v>
      </c>
      <c r="Y223" s="1392">
        <f t="shared" si="3"/>
        <v>0</v>
      </c>
      <c r="Z223" s="1393">
        <v>0.0</v>
      </c>
      <c r="AA223" s="1393">
        <v>0.0</v>
      </c>
      <c r="AB223" s="1393">
        <v>0.0</v>
      </c>
      <c r="AC223" s="1393">
        <v>0.0</v>
      </c>
      <c r="AD223" s="1393">
        <v>0.0</v>
      </c>
      <c r="AE223" s="1393">
        <v>0.0</v>
      </c>
      <c r="AF223" s="1393">
        <v>0.0</v>
      </c>
      <c r="AG223" s="1393">
        <v>0.0</v>
      </c>
      <c r="AH223" s="1393">
        <v>0.0</v>
      </c>
      <c r="AI223" s="1393">
        <v>0.0</v>
      </c>
      <c r="AJ223" s="1393">
        <v>0.0</v>
      </c>
      <c r="AK223" s="1393">
        <v>0.0</v>
      </c>
      <c r="AL223" s="1393">
        <v>0.0</v>
      </c>
      <c r="AM223" s="1393">
        <v>0.0</v>
      </c>
      <c r="AN223" s="1393">
        <v>0.0</v>
      </c>
      <c r="AO223" s="1393">
        <v>0.0</v>
      </c>
      <c r="AP223" s="1393">
        <v>0.0</v>
      </c>
      <c r="AQ223" s="1393">
        <v>0.0</v>
      </c>
      <c r="AR223" s="1393">
        <v>0.0</v>
      </c>
      <c r="AS223" s="1393">
        <v>0.0</v>
      </c>
      <c r="AT223" s="1393">
        <v>0.0</v>
      </c>
      <c r="AU223" s="1393">
        <v>0.0</v>
      </c>
      <c r="AV223" s="1393">
        <v>0.0</v>
      </c>
      <c r="AW223" s="1393">
        <v>0.0</v>
      </c>
      <c r="AX223" s="1393">
        <v>0.0</v>
      </c>
      <c r="AY223" s="1393">
        <v>0.0</v>
      </c>
      <c r="AZ223" s="1393">
        <v>0.0</v>
      </c>
      <c r="BA223" s="1393">
        <v>0.0</v>
      </c>
      <c r="BB223" s="1393">
        <v>0.0</v>
      </c>
      <c r="BC223" s="1393">
        <v>0.0</v>
      </c>
      <c r="BD223" s="1393">
        <v>0.0</v>
      </c>
      <c r="BE223" s="1393">
        <v>0.0</v>
      </c>
      <c r="BF223" s="1393">
        <v>0.0</v>
      </c>
      <c r="BG223" s="1393">
        <v>0.0</v>
      </c>
      <c r="BH223" s="1393">
        <v>0.0</v>
      </c>
      <c r="BI223" s="1393">
        <v>0.0</v>
      </c>
      <c r="BJ223" s="1393">
        <v>0.0</v>
      </c>
      <c r="BK223" s="1393">
        <v>0.0</v>
      </c>
      <c r="BL223" s="1393">
        <v>0.0</v>
      </c>
      <c r="BM223" s="1393">
        <v>0.0</v>
      </c>
      <c r="BN223" s="1393">
        <v>0.0</v>
      </c>
      <c r="BO223" s="1393">
        <v>0.0</v>
      </c>
      <c r="BP223" s="1393">
        <v>0.0</v>
      </c>
      <c r="BQ223" s="1393">
        <v>0.0</v>
      </c>
      <c r="BR223" s="1393">
        <v>0.0</v>
      </c>
      <c r="BS223" s="1393">
        <v>0.0</v>
      </c>
      <c r="BT223" s="1393">
        <v>0.0</v>
      </c>
      <c r="BU223" s="1393">
        <v>0.0</v>
      </c>
      <c r="BV223" s="1393">
        <v>49683.7937795745</v>
      </c>
      <c r="BW223" s="1393">
        <v>0.0</v>
      </c>
      <c r="BX223" s="1393">
        <v>0.0</v>
      </c>
      <c r="BY223" s="1393">
        <v>275724.3580974608</v>
      </c>
      <c r="BZ223" s="1393">
        <v>0.0</v>
      </c>
      <c r="CA223" s="1393">
        <v>0.0</v>
      </c>
      <c r="CB223" s="1393">
        <v>0.0</v>
      </c>
      <c r="CC223" s="1393">
        <v>16137.601995484534</v>
      </c>
      <c r="CD223" s="1393">
        <v>49991.64918278062</v>
      </c>
      <c r="CE223" s="1393">
        <v>0.0</v>
      </c>
      <c r="CF223" s="1393">
        <v>0.0</v>
      </c>
      <c r="CG223" s="1393">
        <v>277415.8268251346</v>
      </c>
      <c r="CH223" s="1393">
        <v>0.0</v>
      </c>
      <c r="CI223" s="1393">
        <v>0.0</v>
      </c>
      <c r="CJ223" s="1393">
        <v>0.0</v>
      </c>
      <c r="CK223" s="1393">
        <v>16237.595325123186</v>
      </c>
      <c r="CL223" s="1393">
        <v>48360.176086929205</v>
      </c>
      <c r="CM223" s="1393">
        <v>0.0</v>
      </c>
      <c r="CN223" s="1393">
        <v>0.0</v>
      </c>
      <c r="CO223" s="1393">
        <v>268431.87740777445</v>
      </c>
      <c r="CP223" s="1393">
        <v>0.0</v>
      </c>
      <c r="CQ223" s="1393">
        <v>0.0</v>
      </c>
      <c r="CR223" s="1393">
        <v>0.0</v>
      </c>
      <c r="CS223" s="1393">
        <v>15707.682822788978</v>
      </c>
      <c r="CT223" s="1393">
        <v>48252.67577379856</v>
      </c>
      <c r="CU223" s="1393">
        <v>0.0</v>
      </c>
      <c r="CV223" s="1393">
        <v>0.0</v>
      </c>
      <c r="CW223" s="1393">
        <v>267841.04245472664</v>
      </c>
      <c r="CX223" s="1393">
        <v>0.0</v>
      </c>
      <c r="CY223" s="1393">
        <v>0.0</v>
      </c>
      <c r="CZ223" s="1393">
        <v>0.0</v>
      </c>
      <c r="DA223" s="1393">
        <v>15672.76605948002</v>
      </c>
      <c r="DB223" s="1393">
        <v>47461.22899874719</v>
      </c>
      <c r="DC223" s="1393">
        <v>0.0</v>
      </c>
      <c r="DD223" s="1393">
        <v>0.0</v>
      </c>
      <c r="DE223" s="1393">
        <v>263490.052022514</v>
      </c>
      <c r="DF223" s="1393">
        <v>0.0</v>
      </c>
      <c r="DG223" s="1393">
        <v>0.0</v>
      </c>
      <c r="DH223" s="1393">
        <v>0.0</v>
      </c>
      <c r="DI223" s="1393">
        <v>15415.699276032426</v>
      </c>
      <c r="DJ223" s="1393">
        <v>48203.880318232186</v>
      </c>
      <c r="DK223" s="1393">
        <v>0.0</v>
      </c>
      <c r="DL223" s="1393">
        <v>0.0</v>
      </c>
      <c r="DM223" s="1393">
        <v>267571.755086449</v>
      </c>
      <c r="DN223" s="1393">
        <v>0.0</v>
      </c>
      <c r="DO223" s="1393">
        <v>0.0</v>
      </c>
      <c r="DP223" s="1393">
        <v>0.0</v>
      </c>
      <c r="DQ223" s="1393">
        <v>15656.916995203406</v>
      </c>
      <c r="DR223" s="1379">
        <f t="shared" si="73"/>
        <v>2007256.579</v>
      </c>
    </row>
    <row r="224" hidden="1">
      <c r="A224" s="25"/>
      <c r="B224" s="1403">
        <f t="shared" si="74"/>
        <v>5</v>
      </c>
      <c r="C224" s="1404" t="s">
        <v>1857</v>
      </c>
      <c r="D224" s="185" t="s">
        <v>186</v>
      </c>
      <c r="E224" s="185" t="s">
        <v>1644</v>
      </c>
      <c r="F224" s="185" t="s">
        <v>1910</v>
      </c>
      <c r="G224" s="185" t="s">
        <v>86</v>
      </c>
      <c r="H224" s="185" t="s">
        <v>86</v>
      </c>
      <c r="I224" s="185" t="s">
        <v>103</v>
      </c>
      <c r="J224" s="185" t="s">
        <v>253</v>
      </c>
      <c r="K224" s="185" t="s">
        <v>254</v>
      </c>
      <c r="L224" s="1390"/>
      <c r="M224" s="503"/>
      <c r="N224" s="503"/>
      <c r="O224" s="503"/>
      <c r="P224" s="503"/>
      <c r="Q224" s="503"/>
      <c r="R224" s="503"/>
      <c r="S224" s="503">
        <v>446600.0</v>
      </c>
      <c r="T224" s="503">
        <v>446600.0</v>
      </c>
      <c r="U224" s="503">
        <v>446600.0</v>
      </c>
      <c r="V224" s="503">
        <v>446600.0</v>
      </c>
      <c r="W224" s="503">
        <v>446600.0</v>
      </c>
      <c r="X224" s="1405">
        <v>2233000.0</v>
      </c>
      <c r="Y224" s="1392">
        <f t="shared" si="3"/>
        <v>0</v>
      </c>
      <c r="Z224" s="1393">
        <v>0.0</v>
      </c>
      <c r="AA224" s="1393">
        <v>0.0</v>
      </c>
      <c r="AB224" s="1393">
        <v>0.0</v>
      </c>
      <c r="AC224" s="1393">
        <v>0.0</v>
      </c>
      <c r="AD224" s="1393">
        <v>0.0</v>
      </c>
      <c r="AE224" s="1393">
        <v>0.0</v>
      </c>
      <c r="AF224" s="1393">
        <v>0.0</v>
      </c>
      <c r="AG224" s="1393">
        <v>0.0</v>
      </c>
      <c r="AH224" s="1393">
        <v>0.0</v>
      </c>
      <c r="AI224" s="1393">
        <v>0.0</v>
      </c>
      <c r="AJ224" s="1393">
        <v>0.0</v>
      </c>
      <c r="AK224" s="1393">
        <v>0.0</v>
      </c>
      <c r="AL224" s="1393">
        <v>0.0</v>
      </c>
      <c r="AM224" s="1393">
        <v>0.0</v>
      </c>
      <c r="AN224" s="1393">
        <v>0.0</v>
      </c>
      <c r="AO224" s="1393">
        <v>0.0</v>
      </c>
      <c r="AP224" s="1393">
        <v>0.0</v>
      </c>
      <c r="AQ224" s="1393">
        <v>0.0</v>
      </c>
      <c r="AR224" s="1393">
        <v>0.0</v>
      </c>
      <c r="AS224" s="1393">
        <v>0.0</v>
      </c>
      <c r="AT224" s="1393">
        <v>0.0</v>
      </c>
      <c r="AU224" s="1393">
        <v>0.0</v>
      </c>
      <c r="AV224" s="1393">
        <v>0.0</v>
      </c>
      <c r="AW224" s="1393">
        <v>0.0</v>
      </c>
      <c r="AX224" s="1393">
        <v>0.0</v>
      </c>
      <c r="AY224" s="1393">
        <v>0.0</v>
      </c>
      <c r="AZ224" s="1393">
        <v>0.0</v>
      </c>
      <c r="BA224" s="1393">
        <v>0.0</v>
      </c>
      <c r="BB224" s="1393">
        <v>0.0</v>
      </c>
      <c r="BC224" s="1393">
        <v>0.0</v>
      </c>
      <c r="BD224" s="1393">
        <v>0.0</v>
      </c>
      <c r="BE224" s="1393">
        <v>0.0</v>
      </c>
      <c r="BF224" s="1393">
        <v>0.0</v>
      </c>
      <c r="BG224" s="1393">
        <v>0.0</v>
      </c>
      <c r="BH224" s="1393">
        <v>0.0</v>
      </c>
      <c r="BI224" s="1393">
        <v>0.0</v>
      </c>
      <c r="BJ224" s="1393">
        <v>0.0</v>
      </c>
      <c r="BK224" s="1393">
        <v>0.0</v>
      </c>
      <c r="BL224" s="1393">
        <v>0.0</v>
      </c>
      <c r="BM224" s="1393">
        <v>0.0</v>
      </c>
      <c r="BN224" s="1393">
        <v>0.0</v>
      </c>
      <c r="BO224" s="1393">
        <v>0.0</v>
      </c>
      <c r="BP224" s="1393">
        <v>0.0</v>
      </c>
      <c r="BQ224" s="1393">
        <v>0.0</v>
      </c>
      <c r="BR224" s="1393">
        <v>0.0</v>
      </c>
      <c r="BS224" s="1393">
        <v>0.0</v>
      </c>
      <c r="BT224" s="1393">
        <v>0.0</v>
      </c>
      <c r="BU224" s="1393">
        <v>0.0</v>
      </c>
      <c r="BV224" s="1393">
        <v>0.0</v>
      </c>
      <c r="BW224" s="1393">
        <v>0.0</v>
      </c>
      <c r="BX224" s="1393">
        <v>0.0</v>
      </c>
      <c r="BY224" s="1393">
        <v>0.0</v>
      </c>
      <c r="BZ224" s="1393">
        <v>0.0</v>
      </c>
      <c r="CA224" s="1393">
        <v>0.0</v>
      </c>
      <c r="CB224" s="1393">
        <v>0.0</v>
      </c>
      <c r="CC224" s="1393">
        <v>0.0</v>
      </c>
      <c r="CD224" s="1393">
        <v>60768.29212038602</v>
      </c>
      <c r="CE224" s="1393">
        <v>0.0</v>
      </c>
      <c r="CF224" s="1393">
        <v>0.0</v>
      </c>
      <c r="CG224" s="1393">
        <v>337218.04099103186</v>
      </c>
      <c r="CH224" s="1393">
        <v>0.0</v>
      </c>
      <c r="CI224" s="1393">
        <v>0.0</v>
      </c>
      <c r="CJ224" s="1393">
        <v>0.0</v>
      </c>
      <c r="CK224" s="1393">
        <v>19737.91527544914</v>
      </c>
      <c r="CL224" s="1393">
        <v>58785.12422542892</v>
      </c>
      <c r="CM224" s="1393">
        <v>0.0</v>
      </c>
      <c r="CN224" s="1393">
        <v>0.0</v>
      </c>
      <c r="CO224" s="1393">
        <v>326297.4318190312</v>
      </c>
      <c r="CP224" s="1393">
        <v>0.0</v>
      </c>
      <c r="CQ224" s="1393">
        <v>0.0</v>
      </c>
      <c r="CR224" s="1393">
        <v>0.0</v>
      </c>
      <c r="CS224" s="1393">
        <v>19093.770137881216</v>
      </c>
      <c r="CT224" s="1393">
        <v>58654.45019210244</v>
      </c>
      <c r="CU224" s="1393">
        <v>0.0</v>
      </c>
      <c r="CV224" s="1393">
        <v>0.0</v>
      </c>
      <c r="CW224" s="1393">
        <v>325579.23124736233</v>
      </c>
      <c r="CX224" s="1393">
        <v>0.0</v>
      </c>
      <c r="CY224" s="1393">
        <v>0.0</v>
      </c>
      <c r="CZ224" s="1393">
        <v>0.0</v>
      </c>
      <c r="DA224" s="1393">
        <v>19051.3264076314</v>
      </c>
      <c r="DB224" s="1393">
        <v>57692.39213620167</v>
      </c>
      <c r="DC224" s="1393">
        <v>0.0</v>
      </c>
      <c r="DD224" s="1393">
        <v>0.0</v>
      </c>
      <c r="DE224" s="1393">
        <v>320290.3027579062</v>
      </c>
      <c r="DF224" s="1393">
        <v>0.0</v>
      </c>
      <c r="DG224" s="1393">
        <v>0.0</v>
      </c>
      <c r="DH224" s="1393">
        <v>0.0</v>
      </c>
      <c r="DI224" s="1393">
        <v>18738.8440301472</v>
      </c>
      <c r="DJ224" s="1393">
        <v>58595.13595569541</v>
      </c>
      <c r="DK224" s="1393">
        <v>0.0</v>
      </c>
      <c r="DL224" s="1393">
        <v>0.0</v>
      </c>
      <c r="DM224" s="1393">
        <v>325251.89390747994</v>
      </c>
      <c r="DN224" s="1393">
        <v>0.0</v>
      </c>
      <c r="DO224" s="1393">
        <v>0.0</v>
      </c>
      <c r="DP224" s="1393">
        <v>0.0</v>
      </c>
      <c r="DQ224" s="1393">
        <v>19032.06077860055</v>
      </c>
      <c r="DR224" s="1379">
        <f t="shared" si="73"/>
        <v>2024786.212</v>
      </c>
    </row>
    <row r="225" hidden="1">
      <c r="A225" s="25"/>
      <c r="B225" s="1403">
        <f t="shared" si="74"/>
        <v>6</v>
      </c>
      <c r="C225" s="1404" t="s">
        <v>1660</v>
      </c>
      <c r="D225" s="185" t="s">
        <v>186</v>
      </c>
      <c r="E225" s="185" t="s">
        <v>1644</v>
      </c>
      <c r="F225" s="185" t="s">
        <v>1910</v>
      </c>
      <c r="G225" s="185" t="s">
        <v>86</v>
      </c>
      <c r="H225" s="185" t="s">
        <v>86</v>
      </c>
      <c r="I225" s="185" t="s">
        <v>103</v>
      </c>
      <c r="J225" s="185" t="s">
        <v>752</v>
      </c>
      <c r="K225" s="185" t="s">
        <v>367</v>
      </c>
      <c r="L225" s="1390"/>
      <c r="M225" s="503"/>
      <c r="N225" s="503"/>
      <c r="O225" s="503"/>
      <c r="P225" s="503"/>
      <c r="Q225" s="503"/>
      <c r="R225" s="503"/>
      <c r="S225" s="503"/>
      <c r="T225" s="503"/>
      <c r="U225" s="503"/>
      <c r="V225" s="503">
        <v>768900.0</v>
      </c>
      <c r="W225" s="503">
        <v>768900.0</v>
      </c>
      <c r="X225" s="1405">
        <v>1537800.0</v>
      </c>
      <c r="Y225" s="1392">
        <f t="shared" si="3"/>
        <v>0</v>
      </c>
      <c r="Z225" s="1393">
        <v>0.0</v>
      </c>
      <c r="AA225" s="1393">
        <v>0.0</v>
      </c>
      <c r="AB225" s="1393">
        <v>0.0</v>
      </c>
      <c r="AC225" s="1393">
        <v>0.0</v>
      </c>
      <c r="AD225" s="1393">
        <v>0.0</v>
      </c>
      <c r="AE225" s="1393">
        <v>0.0</v>
      </c>
      <c r="AF225" s="1393">
        <v>0.0</v>
      </c>
      <c r="AG225" s="1393">
        <v>0.0</v>
      </c>
      <c r="AH225" s="1393">
        <v>0.0</v>
      </c>
      <c r="AI225" s="1393">
        <v>0.0</v>
      </c>
      <c r="AJ225" s="1393">
        <v>0.0</v>
      </c>
      <c r="AK225" s="1393">
        <v>0.0</v>
      </c>
      <c r="AL225" s="1393">
        <v>0.0</v>
      </c>
      <c r="AM225" s="1393">
        <v>0.0</v>
      </c>
      <c r="AN225" s="1393">
        <v>0.0</v>
      </c>
      <c r="AO225" s="1393">
        <v>0.0</v>
      </c>
      <c r="AP225" s="1393">
        <v>0.0</v>
      </c>
      <c r="AQ225" s="1393">
        <v>0.0</v>
      </c>
      <c r="AR225" s="1393">
        <v>0.0</v>
      </c>
      <c r="AS225" s="1393">
        <v>0.0</v>
      </c>
      <c r="AT225" s="1393">
        <v>0.0</v>
      </c>
      <c r="AU225" s="1393">
        <v>0.0</v>
      </c>
      <c r="AV225" s="1393">
        <v>0.0</v>
      </c>
      <c r="AW225" s="1393">
        <v>0.0</v>
      </c>
      <c r="AX225" s="1393">
        <v>0.0</v>
      </c>
      <c r="AY225" s="1393">
        <v>0.0</v>
      </c>
      <c r="AZ225" s="1393">
        <v>0.0</v>
      </c>
      <c r="BA225" s="1393">
        <v>0.0</v>
      </c>
      <c r="BB225" s="1393">
        <v>0.0</v>
      </c>
      <c r="BC225" s="1393">
        <v>0.0</v>
      </c>
      <c r="BD225" s="1393">
        <v>0.0</v>
      </c>
      <c r="BE225" s="1393">
        <v>0.0</v>
      </c>
      <c r="BF225" s="1393">
        <v>0.0</v>
      </c>
      <c r="BG225" s="1393">
        <v>0.0</v>
      </c>
      <c r="BH225" s="1393">
        <v>0.0</v>
      </c>
      <c r="BI225" s="1393">
        <v>0.0</v>
      </c>
      <c r="BJ225" s="1393">
        <v>0.0</v>
      </c>
      <c r="BK225" s="1393">
        <v>0.0</v>
      </c>
      <c r="BL225" s="1393">
        <v>0.0</v>
      </c>
      <c r="BM225" s="1393">
        <v>0.0</v>
      </c>
      <c r="BN225" s="1393">
        <v>0.0</v>
      </c>
      <c r="BO225" s="1393">
        <v>0.0</v>
      </c>
      <c r="BP225" s="1393">
        <v>0.0</v>
      </c>
      <c r="BQ225" s="1393">
        <v>0.0</v>
      </c>
      <c r="BR225" s="1393">
        <v>0.0</v>
      </c>
      <c r="BS225" s="1393">
        <v>0.0</v>
      </c>
      <c r="BT225" s="1393">
        <v>0.0</v>
      </c>
      <c r="BU225" s="1393">
        <v>0.0</v>
      </c>
      <c r="BV225" s="1393">
        <v>0.0</v>
      </c>
      <c r="BW225" s="1393">
        <v>0.0</v>
      </c>
      <c r="BX225" s="1393">
        <v>0.0</v>
      </c>
      <c r="BY225" s="1393">
        <v>0.0</v>
      </c>
      <c r="BZ225" s="1393">
        <v>0.0</v>
      </c>
      <c r="CA225" s="1393">
        <v>0.0</v>
      </c>
      <c r="CB225" s="1393">
        <v>0.0</v>
      </c>
      <c r="CC225" s="1393">
        <v>0.0</v>
      </c>
      <c r="CD225" s="1393">
        <v>0.0</v>
      </c>
      <c r="CE225" s="1393">
        <v>0.0</v>
      </c>
      <c r="CF225" s="1393">
        <v>0.0</v>
      </c>
      <c r="CG225" s="1393">
        <v>0.0</v>
      </c>
      <c r="CH225" s="1393">
        <v>0.0</v>
      </c>
      <c r="CI225" s="1393">
        <v>0.0</v>
      </c>
      <c r="CJ225" s="1393">
        <v>0.0</v>
      </c>
      <c r="CK225" s="1393">
        <v>0.0</v>
      </c>
      <c r="CL225" s="1393">
        <v>0.0</v>
      </c>
      <c r="CM225" s="1393">
        <v>0.0</v>
      </c>
      <c r="CN225" s="1393">
        <v>0.0</v>
      </c>
      <c r="CO225" s="1393">
        <v>0.0</v>
      </c>
      <c r="CP225" s="1393">
        <v>0.0</v>
      </c>
      <c r="CQ225" s="1393">
        <v>0.0</v>
      </c>
      <c r="CR225" s="1393">
        <v>0.0</v>
      </c>
      <c r="CS225" s="1393">
        <v>0.0</v>
      </c>
      <c r="CT225" s="1393">
        <v>0.0</v>
      </c>
      <c r="CU225" s="1393">
        <v>0.0</v>
      </c>
      <c r="CV225" s="1393">
        <v>0.0</v>
      </c>
      <c r="CW225" s="1393">
        <v>0.0</v>
      </c>
      <c r="CX225" s="1393">
        <v>0.0</v>
      </c>
      <c r="CY225" s="1393">
        <v>0.0</v>
      </c>
      <c r="CZ225" s="1393">
        <v>0.0</v>
      </c>
      <c r="DA225" s="1393">
        <v>0.0</v>
      </c>
      <c r="DB225" s="1393">
        <v>99327.5421261206</v>
      </c>
      <c r="DC225" s="1393">
        <v>0.0</v>
      </c>
      <c r="DD225" s="1393">
        <v>0.0</v>
      </c>
      <c r="DE225" s="1393">
        <v>551435.7675560997</v>
      </c>
      <c r="DF225" s="1393">
        <v>0.0</v>
      </c>
      <c r="DG225" s="1393">
        <v>0.0</v>
      </c>
      <c r="DH225" s="1393">
        <v>0.0</v>
      </c>
      <c r="DI225" s="1393">
        <v>32262.19698786427</v>
      </c>
      <c r="DJ225" s="1393">
        <v>100881.77348037215</v>
      </c>
      <c r="DK225" s="1393">
        <v>0.0</v>
      </c>
      <c r="DL225" s="1393">
        <v>0.0</v>
      </c>
      <c r="DM225" s="1393">
        <v>559978.0143875085</v>
      </c>
      <c r="DN225" s="1393">
        <v>0.0</v>
      </c>
      <c r="DO225" s="1393">
        <v>0.0</v>
      </c>
      <c r="DP225" s="1393">
        <v>0.0</v>
      </c>
      <c r="DQ225" s="1393">
        <v>32767.020897147253</v>
      </c>
      <c r="DR225" s="1379">
        <f t="shared" si="73"/>
        <v>1376652.315</v>
      </c>
    </row>
    <row r="226" hidden="1">
      <c r="A226" s="25"/>
      <c r="B226" s="1403">
        <f t="shared" si="74"/>
        <v>7</v>
      </c>
      <c r="C226" s="1404" t="s">
        <v>1922</v>
      </c>
      <c r="D226" s="185" t="s">
        <v>186</v>
      </c>
      <c r="E226" s="185" t="s">
        <v>1644</v>
      </c>
      <c r="F226" s="185" t="s">
        <v>1910</v>
      </c>
      <c r="G226" s="185" t="s">
        <v>86</v>
      </c>
      <c r="H226" s="185" t="s">
        <v>86</v>
      </c>
      <c r="I226" s="185" t="s">
        <v>103</v>
      </c>
      <c r="J226" s="185" t="s">
        <v>253</v>
      </c>
      <c r="K226" s="185" t="s">
        <v>254</v>
      </c>
      <c r="L226" s="1390"/>
      <c r="M226" s="503"/>
      <c r="N226" s="503"/>
      <c r="O226" s="503"/>
      <c r="P226" s="503"/>
      <c r="Q226" s="503"/>
      <c r="R226" s="503"/>
      <c r="S226" s="503"/>
      <c r="T226" s="503">
        <v>787600.0</v>
      </c>
      <c r="U226" s="503">
        <v>787600.0</v>
      </c>
      <c r="V226" s="503">
        <v>787600.0</v>
      </c>
      <c r="W226" s="503">
        <v>787600.0</v>
      </c>
      <c r="X226" s="1405">
        <v>3150400.0</v>
      </c>
      <c r="Y226" s="1392">
        <f t="shared" si="3"/>
        <v>0</v>
      </c>
      <c r="Z226" s="1393">
        <v>0.0</v>
      </c>
      <c r="AA226" s="1393">
        <v>0.0</v>
      </c>
      <c r="AB226" s="1393">
        <v>0.0</v>
      </c>
      <c r="AC226" s="1393">
        <v>0.0</v>
      </c>
      <c r="AD226" s="1393">
        <v>0.0</v>
      </c>
      <c r="AE226" s="1393">
        <v>0.0</v>
      </c>
      <c r="AF226" s="1393">
        <v>0.0</v>
      </c>
      <c r="AG226" s="1393">
        <v>0.0</v>
      </c>
      <c r="AH226" s="1393">
        <v>0.0</v>
      </c>
      <c r="AI226" s="1393">
        <v>0.0</v>
      </c>
      <c r="AJ226" s="1393">
        <v>0.0</v>
      </c>
      <c r="AK226" s="1393">
        <v>0.0</v>
      </c>
      <c r="AL226" s="1393">
        <v>0.0</v>
      </c>
      <c r="AM226" s="1393">
        <v>0.0</v>
      </c>
      <c r="AN226" s="1393">
        <v>0.0</v>
      </c>
      <c r="AO226" s="1393">
        <v>0.0</v>
      </c>
      <c r="AP226" s="1393">
        <v>0.0</v>
      </c>
      <c r="AQ226" s="1393">
        <v>0.0</v>
      </c>
      <c r="AR226" s="1393">
        <v>0.0</v>
      </c>
      <c r="AS226" s="1393">
        <v>0.0</v>
      </c>
      <c r="AT226" s="1393">
        <v>0.0</v>
      </c>
      <c r="AU226" s="1393">
        <v>0.0</v>
      </c>
      <c r="AV226" s="1393">
        <v>0.0</v>
      </c>
      <c r="AW226" s="1393">
        <v>0.0</v>
      </c>
      <c r="AX226" s="1393">
        <v>0.0</v>
      </c>
      <c r="AY226" s="1393">
        <v>0.0</v>
      </c>
      <c r="AZ226" s="1393">
        <v>0.0</v>
      </c>
      <c r="BA226" s="1393">
        <v>0.0</v>
      </c>
      <c r="BB226" s="1393">
        <v>0.0</v>
      </c>
      <c r="BC226" s="1393">
        <v>0.0</v>
      </c>
      <c r="BD226" s="1393">
        <v>0.0</v>
      </c>
      <c r="BE226" s="1393">
        <v>0.0</v>
      </c>
      <c r="BF226" s="1393">
        <v>0.0</v>
      </c>
      <c r="BG226" s="1393">
        <v>0.0</v>
      </c>
      <c r="BH226" s="1393">
        <v>0.0</v>
      </c>
      <c r="BI226" s="1393">
        <v>0.0</v>
      </c>
      <c r="BJ226" s="1393">
        <v>0.0</v>
      </c>
      <c r="BK226" s="1393">
        <v>0.0</v>
      </c>
      <c r="BL226" s="1393">
        <v>0.0</v>
      </c>
      <c r="BM226" s="1393">
        <v>0.0</v>
      </c>
      <c r="BN226" s="1393">
        <v>0.0</v>
      </c>
      <c r="BO226" s="1393">
        <v>0.0</v>
      </c>
      <c r="BP226" s="1393">
        <v>0.0</v>
      </c>
      <c r="BQ226" s="1393">
        <v>0.0</v>
      </c>
      <c r="BR226" s="1393">
        <v>0.0</v>
      </c>
      <c r="BS226" s="1393">
        <v>0.0</v>
      </c>
      <c r="BT226" s="1393">
        <v>0.0</v>
      </c>
      <c r="BU226" s="1393">
        <v>0.0</v>
      </c>
      <c r="BV226" s="1393">
        <v>0.0</v>
      </c>
      <c r="BW226" s="1393">
        <v>0.0</v>
      </c>
      <c r="BX226" s="1393">
        <v>0.0</v>
      </c>
      <c r="BY226" s="1393">
        <v>0.0</v>
      </c>
      <c r="BZ226" s="1393">
        <v>0.0</v>
      </c>
      <c r="CA226" s="1393">
        <v>0.0</v>
      </c>
      <c r="CB226" s="1393">
        <v>0.0</v>
      </c>
      <c r="CC226" s="1393">
        <v>0.0</v>
      </c>
      <c r="CD226" s="1393">
        <v>0.0</v>
      </c>
      <c r="CE226" s="1393">
        <v>0.0</v>
      </c>
      <c r="CF226" s="1393">
        <v>0.0</v>
      </c>
      <c r="CG226" s="1393">
        <v>0.0</v>
      </c>
      <c r="CH226" s="1393">
        <v>0.0</v>
      </c>
      <c r="CI226" s="1393">
        <v>0.0</v>
      </c>
      <c r="CJ226" s="1393">
        <v>0.0</v>
      </c>
      <c r="CK226" s="1393">
        <v>0.0</v>
      </c>
      <c r="CL226" s="1393">
        <v>103670.3175995249</v>
      </c>
      <c r="CM226" s="1393">
        <v>0.0</v>
      </c>
      <c r="CN226" s="1393">
        <v>0.0</v>
      </c>
      <c r="CO226" s="1393">
        <v>575440.7910897201</v>
      </c>
      <c r="CP226" s="1393">
        <v>0.0</v>
      </c>
      <c r="CQ226" s="1393">
        <v>0.0</v>
      </c>
      <c r="CR226" s="1393">
        <v>0.0</v>
      </c>
      <c r="CS226" s="1393">
        <v>33672.757188972784</v>
      </c>
      <c r="CT226" s="1393">
        <v>103439.86782646636</v>
      </c>
      <c r="CU226" s="1393">
        <v>0.0</v>
      </c>
      <c r="CV226" s="1393">
        <v>0.0</v>
      </c>
      <c r="CW226" s="1393">
        <v>574174.2107712104</v>
      </c>
      <c r="CX226" s="1393">
        <v>0.0</v>
      </c>
      <c r="CY226" s="1393">
        <v>0.0</v>
      </c>
      <c r="CZ226" s="1393">
        <v>0.0</v>
      </c>
      <c r="DA226" s="1393">
        <v>33597.905684394296</v>
      </c>
      <c r="DB226" s="1393">
        <v>101743.23342246404</v>
      </c>
      <c r="DC226" s="1393">
        <v>0.0</v>
      </c>
      <c r="DD226" s="1393">
        <v>0.0</v>
      </c>
      <c r="DE226" s="1393">
        <v>564846.9378686228</v>
      </c>
      <c r="DF226" s="1393">
        <v>0.0</v>
      </c>
      <c r="DG226" s="1393">
        <v>0.0</v>
      </c>
      <c r="DH226" s="1393">
        <v>0.0</v>
      </c>
      <c r="DI226" s="1393">
        <v>33046.828388141366</v>
      </c>
      <c r="DJ226" s="1393">
        <v>103335.26439477318</v>
      </c>
      <c r="DK226" s="1393">
        <v>0.0</v>
      </c>
      <c r="DL226" s="1393">
        <v>0.0</v>
      </c>
      <c r="DM226" s="1393">
        <v>573596.9360535853</v>
      </c>
      <c r="DN226" s="1393">
        <v>0.0</v>
      </c>
      <c r="DO226" s="1393">
        <v>0.0</v>
      </c>
      <c r="DP226" s="1393">
        <v>0.0</v>
      </c>
      <c r="DQ226" s="1393">
        <v>33563.92984600491</v>
      </c>
      <c r="DR226" s="1379">
        <f t="shared" si="73"/>
        <v>2834128.98</v>
      </c>
    </row>
    <row r="227" hidden="1">
      <c r="A227" s="25" t="s">
        <v>67</v>
      </c>
      <c r="B227" s="1399" t="s">
        <v>68</v>
      </c>
      <c r="C227" s="7"/>
      <c r="D227" s="1225"/>
      <c r="E227" s="1225"/>
      <c r="F227" s="1225"/>
      <c r="G227" s="1225"/>
      <c r="H227" s="1225"/>
      <c r="I227" s="1225"/>
      <c r="J227" s="1225"/>
      <c r="K227" s="1225"/>
      <c r="L227" s="1409">
        <f t="shared" ref="L227:X227" si="75">L228+L229</f>
        <v>0</v>
      </c>
      <c r="M227" s="1409">
        <f t="shared" si="75"/>
        <v>0</v>
      </c>
      <c r="N227" s="1409">
        <f t="shared" si="75"/>
        <v>0</v>
      </c>
      <c r="O227" s="1409">
        <f t="shared" si="75"/>
        <v>0</v>
      </c>
      <c r="P227" s="1409">
        <f t="shared" si="75"/>
        <v>0</v>
      </c>
      <c r="Q227" s="1409">
        <f t="shared" si="75"/>
        <v>0</v>
      </c>
      <c r="R227" s="1409">
        <f t="shared" si="75"/>
        <v>0</v>
      </c>
      <c r="S227" s="1409">
        <f t="shared" si="75"/>
        <v>0</v>
      </c>
      <c r="T227" s="1409">
        <f t="shared" si="75"/>
        <v>0</v>
      </c>
      <c r="U227" s="1409">
        <f t="shared" si="75"/>
        <v>0</v>
      </c>
      <c r="V227" s="1409">
        <f t="shared" si="75"/>
        <v>0</v>
      </c>
      <c r="W227" s="1409">
        <f t="shared" si="75"/>
        <v>0</v>
      </c>
      <c r="X227" s="1409">
        <f t="shared" si="75"/>
        <v>0</v>
      </c>
      <c r="Y227" s="1392">
        <f t="shared" si="3"/>
        <v>0</v>
      </c>
    </row>
    <row r="228" hidden="1">
      <c r="A228" s="1401">
        <v>31.0</v>
      </c>
      <c r="B228" s="1402" t="s">
        <v>69</v>
      </c>
      <c r="C228" s="7"/>
      <c r="D228" s="1225"/>
      <c r="E228" s="1225"/>
      <c r="F228" s="1225"/>
      <c r="G228" s="1225"/>
      <c r="H228" s="1225"/>
      <c r="I228" s="1225"/>
      <c r="J228" s="1225"/>
      <c r="K228" s="1225"/>
      <c r="L228" s="1408"/>
      <c r="M228" s="1408"/>
      <c r="N228" s="1408"/>
      <c r="O228" s="1408"/>
      <c r="P228" s="1408"/>
      <c r="Q228" s="1408"/>
      <c r="R228" s="1408"/>
      <c r="S228" s="1408"/>
      <c r="T228" s="1408"/>
      <c r="U228" s="1408"/>
      <c r="V228" s="1408"/>
      <c r="W228" s="1408"/>
      <c r="X228" s="1408"/>
      <c r="Y228" s="1392">
        <f t="shared" si="3"/>
        <v>0</v>
      </c>
    </row>
    <row r="229" hidden="1">
      <c r="A229" s="1401">
        <v>32.0</v>
      </c>
      <c r="B229" s="1402" t="s">
        <v>70</v>
      </c>
      <c r="C229" s="7"/>
      <c r="D229" s="1225"/>
      <c r="E229" s="1225"/>
      <c r="F229" s="1225"/>
      <c r="G229" s="1225"/>
      <c r="H229" s="1225"/>
      <c r="I229" s="1225"/>
      <c r="J229" s="1225"/>
      <c r="K229" s="1225"/>
      <c r="L229" s="1408"/>
      <c r="M229" s="1408"/>
      <c r="N229" s="1408"/>
      <c r="O229" s="1408"/>
      <c r="P229" s="1408"/>
      <c r="Q229" s="1408"/>
      <c r="R229" s="1408"/>
      <c r="S229" s="1408"/>
      <c r="T229" s="1408"/>
      <c r="U229" s="1408"/>
      <c r="V229" s="1408"/>
      <c r="W229" s="1408"/>
      <c r="X229" s="1408"/>
      <c r="Y229" s="1392">
        <f t="shared" si="3"/>
        <v>0</v>
      </c>
    </row>
    <row r="230" hidden="1">
      <c r="A230" s="25" t="s">
        <v>71</v>
      </c>
      <c r="B230" s="1399" t="s">
        <v>72</v>
      </c>
      <c r="C230" s="7"/>
      <c r="D230" s="1225"/>
      <c r="E230" s="1225"/>
      <c r="F230" s="1225"/>
      <c r="G230" s="1225"/>
      <c r="H230" s="1225"/>
      <c r="I230" s="1225"/>
      <c r="J230" s="1225"/>
      <c r="K230" s="1225"/>
      <c r="L230" s="1400">
        <f t="shared" ref="L230:X230" si="76">L231+L232+L234+L236+L237+L238</f>
        <v>0</v>
      </c>
      <c r="M230" s="1400">
        <f t="shared" si="76"/>
        <v>160177410</v>
      </c>
      <c r="N230" s="1400">
        <f t="shared" si="76"/>
        <v>160177410</v>
      </c>
      <c r="O230" s="1400">
        <f t="shared" si="76"/>
        <v>160177410</v>
      </c>
      <c r="P230" s="1400">
        <f t="shared" si="76"/>
        <v>160177410</v>
      </c>
      <c r="Q230" s="1400">
        <f t="shared" si="76"/>
        <v>160177410</v>
      </c>
      <c r="R230" s="1400">
        <f t="shared" si="76"/>
        <v>237239682</v>
      </c>
      <c r="S230" s="1400">
        <f t="shared" si="76"/>
        <v>237239682</v>
      </c>
      <c r="T230" s="1400">
        <f t="shared" si="76"/>
        <v>237239682</v>
      </c>
      <c r="U230" s="1400">
        <f t="shared" si="76"/>
        <v>237239682</v>
      </c>
      <c r="V230" s="1400">
        <f t="shared" si="76"/>
        <v>237239682</v>
      </c>
      <c r="W230" s="1400">
        <f t="shared" si="76"/>
        <v>237239682</v>
      </c>
      <c r="X230" s="1400">
        <f t="shared" si="76"/>
        <v>2224325142</v>
      </c>
      <c r="Y230" s="1392">
        <f t="shared" si="3"/>
        <v>0</v>
      </c>
    </row>
    <row r="231" hidden="1">
      <c r="A231" s="1401">
        <v>33.0</v>
      </c>
      <c r="B231" s="1402" t="s">
        <v>73</v>
      </c>
      <c r="C231" s="7"/>
      <c r="D231" s="1225"/>
      <c r="E231" s="1225"/>
      <c r="F231" s="1225"/>
      <c r="G231" s="1225"/>
      <c r="H231" s="1225"/>
      <c r="I231" s="1225"/>
      <c r="J231" s="1225"/>
      <c r="K231" s="1225"/>
      <c r="L231" s="1408"/>
      <c r="M231" s="1408"/>
      <c r="N231" s="1408"/>
      <c r="O231" s="1408"/>
      <c r="P231" s="1408"/>
      <c r="Q231" s="1408"/>
      <c r="R231" s="1408"/>
      <c r="S231" s="1408"/>
      <c r="T231" s="1408"/>
      <c r="U231" s="1408"/>
      <c r="V231" s="1408"/>
      <c r="W231" s="1408"/>
      <c r="X231" s="1408"/>
      <c r="Y231" s="1392">
        <f t="shared" si="3"/>
        <v>0</v>
      </c>
    </row>
    <row r="232" hidden="1">
      <c r="A232" s="1401">
        <v>34.0</v>
      </c>
      <c r="B232" s="1402" t="s">
        <v>74</v>
      </c>
      <c r="C232" s="7"/>
      <c r="D232" s="1225"/>
      <c r="E232" s="1225"/>
      <c r="F232" s="1225"/>
      <c r="G232" s="1225"/>
      <c r="H232" s="1225"/>
      <c r="I232" s="1225"/>
      <c r="J232" s="1225"/>
      <c r="K232" s="1225"/>
      <c r="L232" s="1396" t="str">
        <f t="shared" ref="L232:X232" si="77">L233</f>
        <v/>
      </c>
      <c r="M232" s="1396">
        <f t="shared" si="77"/>
        <v>160177410</v>
      </c>
      <c r="N232" s="1396">
        <f t="shared" si="77"/>
        <v>160177410</v>
      </c>
      <c r="O232" s="1396">
        <f t="shared" si="77"/>
        <v>160177410</v>
      </c>
      <c r="P232" s="1396">
        <f t="shared" si="77"/>
        <v>160177410</v>
      </c>
      <c r="Q232" s="1396">
        <f t="shared" si="77"/>
        <v>160177410</v>
      </c>
      <c r="R232" s="1396">
        <f t="shared" si="77"/>
        <v>160177410</v>
      </c>
      <c r="S232" s="1396">
        <f t="shared" si="77"/>
        <v>160177410</v>
      </c>
      <c r="T232" s="1396">
        <f t="shared" si="77"/>
        <v>160177410</v>
      </c>
      <c r="U232" s="1396">
        <f t="shared" si="77"/>
        <v>160177410</v>
      </c>
      <c r="V232" s="1396">
        <f t="shared" si="77"/>
        <v>160177410</v>
      </c>
      <c r="W232" s="1396">
        <f t="shared" si="77"/>
        <v>160177410</v>
      </c>
      <c r="X232" s="1396">
        <f t="shared" si="77"/>
        <v>1761951510</v>
      </c>
      <c r="Y232" s="1392">
        <f t="shared" si="3"/>
        <v>0</v>
      </c>
    </row>
    <row r="233" hidden="1">
      <c r="A233" s="1401"/>
      <c r="B233" s="1407">
        <v>1.0</v>
      </c>
      <c r="C233" s="1404" t="s">
        <v>1675</v>
      </c>
      <c r="D233" s="185" t="s">
        <v>186</v>
      </c>
      <c r="E233" s="185" t="s">
        <v>1674</v>
      </c>
      <c r="F233" s="185" t="s">
        <v>1910</v>
      </c>
      <c r="G233" s="185" t="s">
        <v>218</v>
      </c>
      <c r="H233" s="185" t="s">
        <v>88</v>
      </c>
      <c r="I233" s="185" t="s">
        <v>88</v>
      </c>
      <c r="J233" s="185" t="s">
        <v>253</v>
      </c>
      <c r="K233" s="185" t="s">
        <v>254</v>
      </c>
      <c r="L233" s="1390"/>
      <c r="M233" s="503">
        <v>1.6017741E8</v>
      </c>
      <c r="N233" s="503">
        <v>1.6017741E8</v>
      </c>
      <c r="O233" s="503">
        <v>1.6017741E8</v>
      </c>
      <c r="P233" s="503">
        <v>1.6017741E8</v>
      </c>
      <c r="Q233" s="503">
        <v>1.6017741E8</v>
      </c>
      <c r="R233" s="503">
        <v>1.6017741E8</v>
      </c>
      <c r="S233" s="503">
        <v>1.6017741E8</v>
      </c>
      <c r="T233" s="503">
        <v>1.6017741E8</v>
      </c>
      <c r="U233" s="503">
        <v>1.6017741E8</v>
      </c>
      <c r="V233" s="503">
        <v>1.6017741E8</v>
      </c>
      <c r="W233" s="503">
        <v>1.6017741E8</v>
      </c>
      <c r="X233" s="1405">
        <v>1.76195151E9</v>
      </c>
      <c r="Y233" s="1392">
        <f t="shared" si="3"/>
        <v>0</v>
      </c>
      <c r="Z233" s="1393">
        <v>0.0</v>
      </c>
      <c r="AA233" s="1393">
        <v>0.0</v>
      </c>
      <c r="AB233" s="1393">
        <v>0.0</v>
      </c>
      <c r="AC233" s="1393">
        <v>0.0</v>
      </c>
      <c r="AD233" s="1393">
        <v>0.0</v>
      </c>
      <c r="AE233" s="1393">
        <v>0.0</v>
      </c>
      <c r="AF233" s="1393">
        <v>0.0</v>
      </c>
      <c r="AG233" s="1393">
        <v>0.0</v>
      </c>
      <c r="AH233" s="1393">
        <v>2692035.538597104</v>
      </c>
      <c r="AI233" s="1393">
        <v>0.0</v>
      </c>
      <c r="AJ233" s="1393">
        <v>0.0</v>
      </c>
      <c r="AK233" s="1393">
        <v>1.1513486405929348E8</v>
      </c>
      <c r="AL233" s="1393">
        <v>0.0</v>
      </c>
      <c r="AM233" s="1393">
        <v>0.0</v>
      </c>
      <c r="AN233" s="1393">
        <v>0.0</v>
      </c>
      <c r="AO233" s="1393">
        <v>1.1891657593405422E7</v>
      </c>
      <c r="AP233" s="1393">
        <v>3378079.5362701863</v>
      </c>
      <c r="AQ233" s="1393">
        <v>0.0</v>
      </c>
      <c r="AR233" s="1393">
        <v>0.0</v>
      </c>
      <c r="AS233" s="1393">
        <v>1.4428743544201455E8</v>
      </c>
      <c r="AT233" s="1393">
        <v>0.0</v>
      </c>
      <c r="AU233" s="1393">
        <v>0.0</v>
      </c>
      <c r="AV233" s="1393">
        <v>0.0</v>
      </c>
      <c r="AW233" s="1393">
        <v>1.4922152621190524E7</v>
      </c>
      <c r="AX233" s="1393">
        <v>2809602.82459485</v>
      </c>
      <c r="AY233" s="1393">
        <v>0.0</v>
      </c>
      <c r="AZ233" s="1393">
        <v>0.0</v>
      </c>
      <c r="BA233" s="1393">
        <v>1.2013039398961043E8</v>
      </c>
      <c r="BB233" s="1393">
        <v>0.0</v>
      </c>
      <c r="BC233" s="1393">
        <v>0.0</v>
      </c>
      <c r="BD233" s="1393">
        <v>0.0</v>
      </c>
      <c r="BE233" s="1393">
        <v>1.241099319994787E7</v>
      </c>
      <c r="BF233" s="1393">
        <v>2684687.97173122</v>
      </c>
      <c r="BG233" s="1393">
        <v>0.0</v>
      </c>
      <c r="BH233" s="1393">
        <v>0.0</v>
      </c>
      <c r="BI233" s="1393">
        <v>1.1480948610417736E8</v>
      </c>
      <c r="BJ233" s="1393">
        <v>0.0</v>
      </c>
      <c r="BK233" s="1393">
        <v>0.0</v>
      </c>
      <c r="BL233" s="1393">
        <v>0.0</v>
      </c>
      <c r="BM233" s="1393">
        <v>1.185920083417583E7</v>
      </c>
      <c r="BN233" s="1393">
        <v>2807058.28513375</v>
      </c>
      <c r="BO233" s="1393">
        <v>0.0</v>
      </c>
      <c r="BP233" s="1393">
        <v>0.0</v>
      </c>
      <c r="BQ233" s="1393">
        <v>1.2001432296462621E8</v>
      </c>
      <c r="BR233" s="1393">
        <v>0.0</v>
      </c>
      <c r="BS233" s="1393">
        <v>0.0</v>
      </c>
      <c r="BT233" s="1393">
        <v>0.0</v>
      </c>
      <c r="BU233" s="1393">
        <v>1.2399753083845958E7</v>
      </c>
      <c r="BV233" s="1393">
        <v>2573562.5166030554</v>
      </c>
      <c r="BW233" s="1393">
        <v>0.0</v>
      </c>
      <c r="BX233" s="1393">
        <v>0.0</v>
      </c>
      <c r="BY233" s="1393">
        <v>1.0995247516080706E8</v>
      </c>
      <c r="BZ233" s="1393">
        <v>0.0</v>
      </c>
      <c r="CA233" s="1393">
        <v>0.0</v>
      </c>
      <c r="CB233" s="1393">
        <v>0.0</v>
      </c>
      <c r="CC233" s="1393">
        <v>1.1368321035841474E7</v>
      </c>
      <c r="CD233" s="1393">
        <v>2517684.798520486</v>
      </c>
      <c r="CE233" s="1393">
        <v>0.0</v>
      </c>
      <c r="CF233" s="1393">
        <v>0.0</v>
      </c>
      <c r="CG233" s="1393">
        <v>1.0755761598552844E8</v>
      </c>
      <c r="CH233" s="1393">
        <v>0.0</v>
      </c>
      <c r="CI233" s="1393">
        <v>0.0</v>
      </c>
      <c r="CJ233" s="1393">
        <v>0.0</v>
      </c>
      <c r="CK233" s="1393">
        <v>1.1121489713961883E7</v>
      </c>
      <c r="CL233" s="1393">
        <v>3049802.0622391803</v>
      </c>
      <c r="CM233" s="1393">
        <v>0.0</v>
      </c>
      <c r="CN233" s="1393">
        <v>0.0</v>
      </c>
      <c r="CO233" s="1393">
        <v>1.3035091184132643E8</v>
      </c>
      <c r="CP233" s="1393">
        <v>0.0</v>
      </c>
      <c r="CQ233" s="1393">
        <v>0.0</v>
      </c>
      <c r="CR233" s="1393">
        <v>0.0</v>
      </c>
      <c r="CS233" s="1393">
        <v>1.347203680331424E7</v>
      </c>
      <c r="CT233" s="1393">
        <v>3083224.826825379</v>
      </c>
      <c r="CU233" s="1393">
        <v>0.0</v>
      </c>
      <c r="CV233" s="1393">
        <v>0.0</v>
      </c>
      <c r="CW233" s="1393">
        <v>1.3178584433057219E8</v>
      </c>
      <c r="CX233" s="1393">
        <v>0.0</v>
      </c>
      <c r="CY233" s="1393">
        <v>0.0</v>
      </c>
      <c r="CZ233" s="1393">
        <v>0.0</v>
      </c>
      <c r="DA233" s="1393">
        <v>1.3619676783019409E7</v>
      </c>
      <c r="DB233" s="1393">
        <v>2887698.7108913558</v>
      </c>
      <c r="DC233" s="1393">
        <v>0.0</v>
      </c>
      <c r="DD233" s="1393">
        <v>0.0</v>
      </c>
      <c r="DE233" s="1393">
        <v>1.234601104967207E8</v>
      </c>
      <c r="DF233" s="1393">
        <v>0.0</v>
      </c>
      <c r="DG233" s="1393">
        <v>0.0</v>
      </c>
      <c r="DH233" s="1393">
        <v>0.0</v>
      </c>
      <c r="DI233" s="1393">
        <v>1.2755969901026467E7</v>
      </c>
      <c r="DJ233" s="1393">
        <v>2852364.5267057125</v>
      </c>
      <c r="DK233" s="1393">
        <v>0.0</v>
      </c>
      <c r="DL233" s="1393">
        <v>0.0</v>
      </c>
      <c r="DM233" s="1393">
        <v>1.21920233222502E8</v>
      </c>
      <c r="DN233" s="1393">
        <v>0.0</v>
      </c>
      <c r="DO233" s="1393">
        <v>0.0</v>
      </c>
      <c r="DP233" s="1393">
        <v>0.0</v>
      </c>
      <c r="DQ233" s="1393">
        <v>1.2599886515924888E7</v>
      </c>
      <c r="DR233" s="1379">
        <f>SUM(Z233:DQ233)</f>
        <v>1509160633</v>
      </c>
    </row>
    <row r="234" hidden="1">
      <c r="A234" s="1401">
        <v>35.0</v>
      </c>
      <c r="B234" s="1402" t="s">
        <v>75</v>
      </c>
      <c r="C234" s="7"/>
      <c r="D234" s="1225"/>
      <c r="E234" s="1225"/>
      <c r="F234" s="1225"/>
      <c r="G234" s="1225"/>
      <c r="H234" s="1225"/>
      <c r="I234" s="1225"/>
      <c r="J234" s="1225"/>
      <c r="K234" s="1225"/>
      <c r="L234" s="1396" t="str">
        <f t="shared" ref="L234:X234" si="78">L235</f>
        <v/>
      </c>
      <c r="M234" s="1396" t="str">
        <f t="shared" si="78"/>
        <v/>
      </c>
      <c r="N234" s="1396" t="str">
        <f t="shared" si="78"/>
        <v/>
      </c>
      <c r="O234" s="1396" t="str">
        <f t="shared" si="78"/>
        <v/>
      </c>
      <c r="P234" s="1396" t="str">
        <f t="shared" si="78"/>
        <v/>
      </c>
      <c r="Q234" s="1396" t="str">
        <f t="shared" si="78"/>
        <v/>
      </c>
      <c r="R234" s="1396">
        <f t="shared" si="78"/>
        <v>77062272</v>
      </c>
      <c r="S234" s="1396">
        <f t="shared" si="78"/>
        <v>77062272</v>
      </c>
      <c r="T234" s="1396">
        <f t="shared" si="78"/>
        <v>77062272</v>
      </c>
      <c r="U234" s="1396">
        <f t="shared" si="78"/>
        <v>77062272</v>
      </c>
      <c r="V234" s="1396">
        <f t="shared" si="78"/>
        <v>77062272</v>
      </c>
      <c r="W234" s="1396">
        <f t="shared" si="78"/>
        <v>77062272</v>
      </c>
      <c r="X234" s="1396">
        <f t="shared" si="78"/>
        <v>462373632</v>
      </c>
      <c r="Y234" s="1392">
        <f t="shared" si="3"/>
        <v>0</v>
      </c>
    </row>
    <row r="235" hidden="1">
      <c r="A235" s="1401"/>
      <c r="B235" s="1407">
        <v>1.0</v>
      </c>
      <c r="C235" s="1404" t="s">
        <v>1858</v>
      </c>
      <c r="D235" s="185" t="s">
        <v>186</v>
      </c>
      <c r="E235" s="185" t="s">
        <v>1674</v>
      </c>
      <c r="F235" s="185" t="s">
        <v>1910</v>
      </c>
      <c r="G235" s="185" t="s">
        <v>218</v>
      </c>
      <c r="H235" s="185" t="s">
        <v>88</v>
      </c>
      <c r="I235" s="185" t="s">
        <v>88</v>
      </c>
      <c r="J235" s="185" t="s">
        <v>253</v>
      </c>
      <c r="K235" s="185" t="s">
        <v>254</v>
      </c>
      <c r="L235" s="1390"/>
      <c r="M235" s="503"/>
      <c r="N235" s="503"/>
      <c r="O235" s="503"/>
      <c r="P235" s="503"/>
      <c r="Q235" s="503"/>
      <c r="R235" s="503">
        <v>7.7062272E7</v>
      </c>
      <c r="S235" s="503">
        <v>7.7062272E7</v>
      </c>
      <c r="T235" s="503">
        <v>7.7062272E7</v>
      </c>
      <c r="U235" s="503">
        <v>7.7062272E7</v>
      </c>
      <c r="V235" s="503">
        <v>7.7062272E7</v>
      </c>
      <c r="W235" s="503">
        <v>7.7062272E7</v>
      </c>
      <c r="X235" s="1405">
        <v>4.62373632E8</v>
      </c>
      <c r="Y235" s="1392">
        <f t="shared" si="3"/>
        <v>0</v>
      </c>
      <c r="Z235" s="1393">
        <v>0.0</v>
      </c>
      <c r="AA235" s="1393">
        <v>0.0</v>
      </c>
      <c r="AB235" s="1393">
        <v>0.0</v>
      </c>
      <c r="AC235" s="1393">
        <v>0.0</v>
      </c>
      <c r="AD235" s="1393">
        <v>0.0</v>
      </c>
      <c r="AE235" s="1393">
        <v>0.0</v>
      </c>
      <c r="AF235" s="1393">
        <v>0.0</v>
      </c>
      <c r="AG235" s="1393">
        <v>0.0</v>
      </c>
      <c r="AH235" s="1393">
        <v>0.0</v>
      </c>
      <c r="AI235" s="1393">
        <v>0.0</v>
      </c>
      <c r="AJ235" s="1393">
        <v>0.0</v>
      </c>
      <c r="AK235" s="1393">
        <v>0.0</v>
      </c>
      <c r="AL235" s="1393">
        <v>0.0</v>
      </c>
      <c r="AM235" s="1393">
        <v>0.0</v>
      </c>
      <c r="AN235" s="1393">
        <v>0.0</v>
      </c>
      <c r="AO235" s="1393">
        <v>0.0</v>
      </c>
      <c r="AP235" s="1393">
        <v>0.0</v>
      </c>
      <c r="AQ235" s="1393">
        <v>0.0</v>
      </c>
      <c r="AR235" s="1393">
        <v>0.0</v>
      </c>
      <c r="AS235" s="1393">
        <v>0.0</v>
      </c>
      <c r="AT235" s="1393">
        <v>0.0</v>
      </c>
      <c r="AU235" s="1393">
        <v>0.0</v>
      </c>
      <c r="AV235" s="1393">
        <v>0.0</v>
      </c>
      <c r="AW235" s="1393">
        <v>0.0</v>
      </c>
      <c r="AX235" s="1393">
        <v>0.0</v>
      </c>
      <c r="AY235" s="1393">
        <v>0.0</v>
      </c>
      <c r="AZ235" s="1393">
        <v>0.0</v>
      </c>
      <c r="BA235" s="1393">
        <v>0.0</v>
      </c>
      <c r="BB235" s="1393">
        <v>0.0</v>
      </c>
      <c r="BC235" s="1393">
        <v>0.0</v>
      </c>
      <c r="BD235" s="1393">
        <v>0.0</v>
      </c>
      <c r="BE235" s="1393">
        <v>0.0</v>
      </c>
      <c r="BF235" s="1393">
        <v>0.0</v>
      </c>
      <c r="BG235" s="1393">
        <v>0.0</v>
      </c>
      <c r="BH235" s="1393">
        <v>0.0</v>
      </c>
      <c r="BI235" s="1393">
        <v>0.0</v>
      </c>
      <c r="BJ235" s="1393">
        <v>0.0</v>
      </c>
      <c r="BK235" s="1393">
        <v>0.0</v>
      </c>
      <c r="BL235" s="1393">
        <v>0.0</v>
      </c>
      <c r="BM235" s="1393">
        <v>0.0</v>
      </c>
      <c r="BN235" s="1393">
        <v>0.0</v>
      </c>
      <c r="BO235" s="1393">
        <v>0.0</v>
      </c>
      <c r="BP235" s="1393">
        <v>0.0</v>
      </c>
      <c r="BQ235" s="1393">
        <v>0.0</v>
      </c>
      <c r="BR235" s="1393">
        <v>0.0</v>
      </c>
      <c r="BS235" s="1393">
        <v>0.0</v>
      </c>
      <c r="BT235" s="1393">
        <v>0.0</v>
      </c>
      <c r="BU235" s="1393">
        <v>0.0</v>
      </c>
      <c r="BV235" s="1393">
        <v>1238155.7091194645</v>
      </c>
      <c r="BW235" s="1393">
        <v>0.0</v>
      </c>
      <c r="BX235" s="1393">
        <v>0.0</v>
      </c>
      <c r="BY235" s="1393">
        <v>5.289876735998764E7</v>
      </c>
      <c r="BZ235" s="1393">
        <v>0.0</v>
      </c>
      <c r="CA235" s="1393">
        <v>0.0</v>
      </c>
      <c r="CB235" s="1393">
        <v>0.0</v>
      </c>
      <c r="CC235" s="1393">
        <v>5469364.549266575</v>
      </c>
      <c r="CD235" s="1393">
        <v>1211272.617991831</v>
      </c>
      <c r="CE235" s="1393">
        <v>0.0</v>
      </c>
      <c r="CF235" s="1393">
        <v>0.0</v>
      </c>
      <c r="CG235" s="1393">
        <v>5.174658685484014E7</v>
      </c>
      <c r="CH235" s="1393">
        <v>0.0</v>
      </c>
      <c r="CI235" s="1393">
        <v>0.0</v>
      </c>
      <c r="CJ235" s="1393">
        <v>0.0</v>
      </c>
      <c r="CK235" s="1393">
        <v>5350612.582526667</v>
      </c>
      <c r="CL235" s="1393">
        <v>1467277.2900150942</v>
      </c>
      <c r="CM235" s="1393">
        <v>0.0</v>
      </c>
      <c r="CN235" s="1393">
        <v>0.0</v>
      </c>
      <c r="CO235" s="1393">
        <v>6.2712572414326824E7</v>
      </c>
      <c r="CP235" s="1393">
        <v>0.0</v>
      </c>
      <c r="CQ235" s="1393">
        <v>0.0</v>
      </c>
      <c r="CR235" s="1393">
        <v>0.0</v>
      </c>
      <c r="CS235" s="1393">
        <v>6481474.288609189</v>
      </c>
      <c r="CT235" s="1393">
        <v>1483357.1740357785</v>
      </c>
      <c r="CU235" s="1393">
        <v>0.0</v>
      </c>
      <c r="CV235" s="1393">
        <v>0.0</v>
      </c>
      <c r="CW235" s="1393">
        <v>6.340292667706521E7</v>
      </c>
      <c r="CX235" s="1393">
        <v>0.0</v>
      </c>
      <c r="CY235" s="1393">
        <v>0.0</v>
      </c>
      <c r="CZ235" s="1393">
        <v>0.0</v>
      </c>
      <c r="DA235" s="1393">
        <v>6552504.730880133</v>
      </c>
      <c r="DB235" s="1393">
        <v>1389288.4365701694</v>
      </c>
      <c r="DC235" s="1393">
        <v>0.0</v>
      </c>
      <c r="DD235" s="1393">
        <v>0.0</v>
      </c>
      <c r="DE235" s="1393">
        <v>5.939736830710614E7</v>
      </c>
      <c r="DF235" s="1393">
        <v>0.0</v>
      </c>
      <c r="DG235" s="1393">
        <v>0.0</v>
      </c>
      <c r="DH235" s="1393">
        <v>0.0</v>
      </c>
      <c r="DI235" s="1393">
        <v>6136970.388875152</v>
      </c>
      <c r="DJ235" s="1393">
        <v>1372288.957601118</v>
      </c>
      <c r="DK235" s="1393">
        <v>0.0</v>
      </c>
      <c r="DL235" s="1393">
        <v>0.0</v>
      </c>
      <c r="DM235" s="1393">
        <v>5.8656524505521E7</v>
      </c>
      <c r="DN235" s="1393">
        <v>0.0</v>
      </c>
      <c r="DO235" s="1393">
        <v>0.0</v>
      </c>
      <c r="DP235" s="1393">
        <v>0.0</v>
      </c>
      <c r="DQ235" s="1393">
        <v>6061877.775769605</v>
      </c>
      <c r="DR235" s="1379">
        <f>SUM(Z235:DQ235)</f>
        <v>393029190.6</v>
      </c>
    </row>
    <row r="236" hidden="1">
      <c r="A236" s="1401">
        <v>36.0</v>
      </c>
      <c r="B236" s="1402" t="s">
        <v>76</v>
      </c>
      <c r="C236" s="7"/>
      <c r="D236" s="1225"/>
      <c r="E236" s="1225"/>
      <c r="F236" s="1225"/>
      <c r="G236" s="1225"/>
      <c r="H236" s="1225"/>
      <c r="I236" s="1225"/>
      <c r="J236" s="1225"/>
      <c r="K236" s="1225"/>
      <c r="L236" s="1408"/>
      <c r="M236" s="1408"/>
      <c r="N236" s="1408"/>
      <c r="O236" s="1408"/>
      <c r="P236" s="1408"/>
      <c r="Q236" s="1408"/>
      <c r="R236" s="1408"/>
      <c r="S236" s="1408"/>
      <c r="T236" s="1408"/>
      <c r="U236" s="1408"/>
      <c r="V236" s="1408"/>
      <c r="W236" s="1408"/>
      <c r="X236" s="1408"/>
      <c r="Y236" s="1392">
        <f t="shared" si="3"/>
        <v>0</v>
      </c>
    </row>
    <row r="237" hidden="1">
      <c r="A237" s="1401">
        <v>37.0</v>
      </c>
      <c r="B237" s="1402" t="s">
        <v>77</v>
      </c>
      <c r="C237" s="7"/>
      <c r="D237" s="1225"/>
      <c r="E237" s="1225"/>
      <c r="F237" s="1225"/>
      <c r="G237" s="1225"/>
      <c r="H237" s="1225"/>
      <c r="I237" s="1225"/>
      <c r="J237" s="1225"/>
      <c r="K237" s="1225"/>
      <c r="L237" s="1408"/>
      <c r="M237" s="1408"/>
      <c r="N237" s="1408"/>
      <c r="O237" s="1408"/>
      <c r="P237" s="1408"/>
      <c r="Q237" s="1408"/>
      <c r="R237" s="1408"/>
      <c r="S237" s="1408"/>
      <c r="T237" s="1408"/>
      <c r="U237" s="1408"/>
      <c r="V237" s="1408"/>
      <c r="W237" s="1408"/>
      <c r="X237" s="1408"/>
      <c r="Y237" s="1392">
        <f t="shared" si="3"/>
        <v>0</v>
      </c>
    </row>
    <row r="238" hidden="1">
      <c r="A238" s="1401">
        <v>38.0</v>
      </c>
      <c r="B238" s="1402" t="s">
        <v>78</v>
      </c>
      <c r="C238" s="7"/>
      <c r="D238" s="1225"/>
      <c r="E238" s="1225"/>
      <c r="F238" s="1225"/>
      <c r="G238" s="1225"/>
      <c r="H238" s="1225"/>
      <c r="I238" s="1225"/>
      <c r="J238" s="1225"/>
      <c r="K238" s="1225"/>
      <c r="L238" s="1408"/>
      <c r="M238" s="1408"/>
      <c r="N238" s="1408"/>
      <c r="O238" s="1408"/>
      <c r="P238" s="1408"/>
      <c r="Q238" s="1408"/>
      <c r="R238" s="1408"/>
      <c r="S238" s="1408"/>
      <c r="T238" s="1408"/>
      <c r="U238" s="1408"/>
      <c r="V238" s="1408"/>
      <c r="W238" s="1408"/>
      <c r="X238" s="1408"/>
      <c r="Y238" s="1392">
        <f t="shared" si="3"/>
        <v>0</v>
      </c>
    </row>
    <row r="239" hidden="1">
      <c r="A239" s="1410" t="s">
        <v>1690</v>
      </c>
      <c r="B239" s="6"/>
      <c r="C239" s="7"/>
      <c r="D239" s="1225"/>
      <c r="E239" s="1225"/>
      <c r="F239" s="1225"/>
      <c r="G239" s="1225"/>
      <c r="H239" s="1225"/>
      <c r="I239" s="1225"/>
      <c r="J239" s="1225"/>
      <c r="K239" s="1225"/>
      <c r="L239" s="1411">
        <f t="shared" ref="L239:X239" si="79">L9+L10+L11+L12+L13+L15+L16+L17+L18+L19+L20+L21+L22+L23+L24+L25+L26+L27+L28+L29+L30+L32+L33+L34+L35+L36+L37+L38+L39+L40+L41+L42+L43+L45+L46+L47+L48+L49+L50+L52+L53+L55+L56+L57+L59+L60+L62+L63+L65+L66+L68+L69+L70+L71+L72+L73+L76+L77+L78+L79+L80+L81+L82+L83+L84+L85+L86+L89+L90+L91+L92+L93+L94+L95+L96+L97+L98+L99+L100+L101+L102+L103+L104+L105+L106+L107+L108+L109+L110+L111+L112+L113+L114+L115+L116+L117+L118+L119+L120+L121+L122+L123+L124+L125+L126+L127+L128+L129+L130+L131+L132+L134+L135+L136+L137+L138+L143+L144+L151+L152+L153+L154+L155+L186+L191+L197+L198+L200+L201+L202+L214+L217+L218</f>
        <v>86089229186</v>
      </c>
      <c r="M239" s="1411">
        <f t="shared" si="79"/>
        <v>85875459274</v>
      </c>
      <c r="N239" s="1411">
        <f t="shared" si="79"/>
        <v>86089229186</v>
      </c>
      <c r="O239" s="1411">
        <f t="shared" si="79"/>
        <v>85982205690</v>
      </c>
      <c r="P239" s="1411">
        <f t="shared" si="79"/>
        <v>86089229187</v>
      </c>
      <c r="Q239" s="1411">
        <f t="shared" si="79"/>
        <v>90992347269</v>
      </c>
      <c r="R239" s="1411">
        <f t="shared" si="79"/>
        <v>86089229188</v>
      </c>
      <c r="S239" s="1411">
        <f t="shared" si="79"/>
        <v>86040649689</v>
      </c>
      <c r="T239" s="1411">
        <f t="shared" si="79"/>
        <v>86030785192</v>
      </c>
      <c r="U239" s="1411">
        <f t="shared" si="79"/>
        <v>86040649690</v>
      </c>
      <c r="V239" s="1411">
        <f t="shared" si="79"/>
        <v>86030785193</v>
      </c>
      <c r="W239" s="1411">
        <f t="shared" si="79"/>
        <v>91040649691</v>
      </c>
      <c r="X239" s="1411">
        <f t="shared" si="79"/>
        <v>1042390448434</v>
      </c>
      <c r="Y239" s="1392"/>
    </row>
    <row r="240" hidden="1">
      <c r="A240" s="1412" t="s">
        <v>1923</v>
      </c>
      <c r="B240" s="6"/>
      <c r="C240" s="7"/>
      <c r="D240" s="1225"/>
      <c r="E240" s="1225"/>
      <c r="F240" s="1225"/>
      <c r="G240" s="1225"/>
      <c r="H240" s="1225"/>
      <c r="I240" s="1225"/>
      <c r="J240" s="1225"/>
      <c r="K240" s="1225"/>
      <c r="L240" s="1413">
        <f t="shared" ref="L240:X240" si="80">L87+L140+L141+L142+L146+L147+L148+L150+L158+L159+L160+L161+L162+L163+L164+L165+L166+L167+L168+L169+L170+L171+L172+L173+L174+L175+L176+L177+L178+L179+L180+L181+L182+L183+L184+L185+L188+L190+L194+L195+L204+L205+L206+L210+L211+L220+L221+L222+L223+L224+L225+L226+L233+L235</f>
        <v>0</v>
      </c>
      <c r="M240" s="1413">
        <f t="shared" si="80"/>
        <v>5082971965</v>
      </c>
      <c r="N240" s="1413">
        <f t="shared" si="80"/>
        <v>6638830889</v>
      </c>
      <c r="O240" s="1413">
        <f t="shared" si="80"/>
        <v>6979833792</v>
      </c>
      <c r="P240" s="1413">
        <f t="shared" si="80"/>
        <v>7228996785</v>
      </c>
      <c r="Q240" s="1413">
        <f t="shared" si="80"/>
        <v>7550611270</v>
      </c>
      <c r="R240" s="1413">
        <f t="shared" si="80"/>
        <v>7629033786</v>
      </c>
      <c r="S240" s="1413">
        <f t="shared" si="80"/>
        <v>7634508306</v>
      </c>
      <c r="T240" s="1413">
        <f t="shared" si="80"/>
        <v>8014097613</v>
      </c>
      <c r="U240" s="1413">
        <f t="shared" si="80"/>
        <v>7954897613</v>
      </c>
      <c r="V240" s="1413">
        <f t="shared" si="80"/>
        <v>8005166513</v>
      </c>
      <c r="W240" s="1413">
        <f t="shared" si="80"/>
        <v>7966166513</v>
      </c>
      <c r="X240" s="1413">
        <f t="shared" si="80"/>
        <v>80685115045</v>
      </c>
      <c r="Y240" s="1392"/>
    </row>
    <row r="241" hidden="1">
      <c r="A241" s="1414" t="s">
        <v>79</v>
      </c>
      <c r="B241" s="6"/>
      <c r="C241" s="7"/>
      <c r="D241" s="1225"/>
      <c r="E241" s="1225"/>
      <c r="F241" s="1225"/>
      <c r="G241" s="1225"/>
      <c r="H241" s="1225"/>
      <c r="I241" s="1225"/>
      <c r="J241" s="1225"/>
      <c r="K241" s="1225"/>
      <c r="L241" s="1400">
        <f t="shared" ref="L241:X241" si="81">L239+L240</f>
        <v>86089229186</v>
      </c>
      <c r="M241" s="1400">
        <f t="shared" si="81"/>
        <v>90958431239</v>
      </c>
      <c r="N241" s="1400">
        <f t="shared" si="81"/>
        <v>92728060075</v>
      </c>
      <c r="O241" s="1400">
        <f t="shared" si="81"/>
        <v>92962039482</v>
      </c>
      <c r="P241" s="1400">
        <f t="shared" si="81"/>
        <v>93318225972</v>
      </c>
      <c r="Q241" s="1400">
        <f t="shared" si="81"/>
        <v>98542958539</v>
      </c>
      <c r="R241" s="1400">
        <f t="shared" si="81"/>
        <v>93718262974</v>
      </c>
      <c r="S241" s="1400">
        <f t="shared" si="81"/>
        <v>93675157995</v>
      </c>
      <c r="T241" s="1400">
        <f t="shared" si="81"/>
        <v>94044882805</v>
      </c>
      <c r="U241" s="1400">
        <f t="shared" si="81"/>
        <v>93995547303</v>
      </c>
      <c r="V241" s="1400">
        <f t="shared" si="81"/>
        <v>94035951706</v>
      </c>
      <c r="W241" s="1400">
        <f t="shared" si="81"/>
        <v>99006816204</v>
      </c>
      <c r="X241" s="1400">
        <f t="shared" si="81"/>
        <v>1123075563479</v>
      </c>
      <c r="Y241" s="1392">
        <f>SUM(L241:W241)-X241</f>
        <v>-0.000244140625</v>
      </c>
    </row>
    <row r="242" hidden="1">
      <c r="C242" s="87" t="s">
        <v>9</v>
      </c>
      <c r="D242" s="122"/>
      <c r="E242" s="122"/>
      <c r="F242" s="122"/>
      <c r="G242" s="122"/>
      <c r="H242" s="122"/>
      <c r="I242" s="122"/>
      <c r="J242" s="122"/>
      <c r="K242" s="122"/>
      <c r="L242" s="122" t="str">
        <f t="shared" ref="L242:X242" si="82">L243-L241</f>
        <v>#REF!</v>
      </c>
      <c r="M242" s="122" t="str">
        <f t="shared" si="82"/>
        <v>#REF!</v>
      </c>
      <c r="N242" s="122" t="str">
        <f t="shared" si="82"/>
        <v>#REF!</v>
      </c>
      <c r="O242" s="122" t="str">
        <f t="shared" si="82"/>
        <v>#REF!</v>
      </c>
      <c r="P242" s="122" t="str">
        <f t="shared" si="82"/>
        <v>#REF!</v>
      </c>
      <c r="Q242" s="122" t="str">
        <f t="shared" si="82"/>
        <v>#REF!</v>
      </c>
      <c r="R242" s="122" t="str">
        <f t="shared" si="82"/>
        <v>#REF!</v>
      </c>
      <c r="S242" s="122" t="str">
        <f t="shared" si="82"/>
        <v>#REF!</v>
      </c>
      <c r="T242" s="122" t="str">
        <f t="shared" si="82"/>
        <v>#REF!</v>
      </c>
      <c r="U242" s="122" t="str">
        <f t="shared" si="82"/>
        <v>#REF!</v>
      </c>
      <c r="V242" s="122" t="str">
        <f t="shared" si="82"/>
        <v>#REF!</v>
      </c>
      <c r="W242" s="122" t="str">
        <f t="shared" si="82"/>
        <v>#REF!</v>
      </c>
      <c r="X242" s="122" t="str">
        <f t="shared" si="82"/>
        <v>#REF!</v>
      </c>
    </row>
    <row r="243">
      <c r="B243" s="87"/>
      <c r="C243" s="1415" t="s">
        <v>3</v>
      </c>
      <c r="D243" s="122"/>
      <c r="E243" s="122"/>
      <c r="F243" s="122"/>
      <c r="G243" s="122"/>
      <c r="H243" s="122"/>
      <c r="I243" s="122"/>
      <c r="J243" s="122"/>
      <c r="K243" s="122"/>
      <c r="L243" s="1416" t="str">
        <f t="shared" ref="L243:X243" si="83">'PROKER DM 2025'!V192</f>
        <v>#REF!</v>
      </c>
      <c r="M243" s="1416" t="str">
        <f t="shared" si="83"/>
        <v>#REF!</v>
      </c>
      <c r="N243" s="1416" t="str">
        <f t="shared" si="83"/>
        <v>#REF!</v>
      </c>
      <c r="O243" s="1416" t="str">
        <f t="shared" si="83"/>
        <v>#REF!</v>
      </c>
      <c r="P243" s="1416" t="str">
        <f t="shared" si="83"/>
        <v>#REF!</v>
      </c>
      <c r="Q243" s="1416" t="str">
        <f t="shared" si="83"/>
        <v>#REF!</v>
      </c>
      <c r="R243" s="1416" t="str">
        <f t="shared" si="83"/>
        <v>#REF!</v>
      </c>
      <c r="S243" s="1416" t="str">
        <f t="shared" si="83"/>
        <v>#REF!</v>
      </c>
      <c r="T243" s="1416" t="str">
        <f t="shared" si="83"/>
        <v>#REF!</v>
      </c>
      <c r="U243" s="1416" t="str">
        <f t="shared" si="83"/>
        <v>#REF!</v>
      </c>
      <c r="V243" s="1416" t="str">
        <f t="shared" si="83"/>
        <v>#REF!</v>
      </c>
      <c r="W243" s="1416" t="str">
        <f t="shared" si="83"/>
        <v>#REF!</v>
      </c>
      <c r="X243" s="1416" t="str">
        <f t="shared" si="83"/>
        <v>#REF!</v>
      </c>
    </row>
    <row r="244">
      <c r="B244" s="87"/>
      <c r="C244" s="87"/>
    </row>
    <row r="249">
      <c r="B249" s="92"/>
      <c r="C249" s="92" t="s">
        <v>80</v>
      </c>
    </row>
    <row r="250">
      <c r="B250" s="1417"/>
      <c r="C250" s="94" t="s">
        <v>81</v>
      </c>
    </row>
    <row r="251">
      <c r="B251" s="92"/>
      <c r="C251" s="96" t="s">
        <v>84</v>
      </c>
    </row>
    <row r="252">
      <c r="B252" s="92"/>
      <c r="C252" s="96" t="s">
        <v>86</v>
      </c>
    </row>
    <row r="253">
      <c r="B253" s="92"/>
      <c r="C253" s="96" t="s">
        <v>88</v>
      </c>
    </row>
    <row r="254">
      <c r="B254" s="92"/>
      <c r="C254" s="96" t="s">
        <v>90</v>
      </c>
    </row>
    <row r="255">
      <c r="B255" s="92"/>
      <c r="C255" s="96" t="s">
        <v>92</v>
      </c>
    </row>
    <row r="256">
      <c r="B256" s="92"/>
      <c r="C256" s="96" t="s">
        <v>94</v>
      </c>
    </row>
    <row r="257">
      <c r="B257" s="92"/>
      <c r="C257" s="96" t="s">
        <v>96</v>
      </c>
    </row>
    <row r="258">
      <c r="B258" s="1418"/>
      <c r="C258" s="98" t="s">
        <v>98</v>
      </c>
    </row>
    <row r="259">
      <c r="B259" s="103"/>
      <c r="C259" s="100" t="s">
        <v>100</v>
      </c>
    </row>
    <row r="260">
      <c r="B260" s="101"/>
      <c r="C260" s="101"/>
    </row>
    <row r="261">
      <c r="B261" s="103"/>
      <c r="C261" s="103" t="s">
        <v>102</v>
      </c>
    </row>
    <row r="262">
      <c r="B262" s="1417"/>
      <c r="C262" s="94" t="s">
        <v>81</v>
      </c>
    </row>
    <row r="263">
      <c r="B263" s="92"/>
      <c r="C263" s="96" t="s">
        <v>103</v>
      </c>
    </row>
    <row r="264">
      <c r="B264" s="92"/>
      <c r="C264" s="96" t="s">
        <v>90</v>
      </c>
    </row>
    <row r="265">
      <c r="B265" s="92"/>
      <c r="C265" s="96" t="s">
        <v>106</v>
      </c>
    </row>
    <row r="266">
      <c r="B266" s="92"/>
      <c r="C266" s="96" t="s">
        <v>98</v>
      </c>
    </row>
    <row r="267">
      <c r="B267" s="92"/>
      <c r="C267" s="96" t="s">
        <v>25</v>
      </c>
    </row>
  </sheetData>
  <autoFilter ref="$A$7:$DR$242">
    <filterColumn colId="22">
      <colorFilter dxfId="4"/>
    </filterColumn>
    <filterColumn colId="4">
      <filters>
        <filter val="PKU"/>
      </filters>
    </filterColumn>
  </autoFilter>
  <mergeCells count="64">
    <mergeCell ref="B189:C189"/>
    <mergeCell ref="B192:C192"/>
    <mergeCell ref="B193:C193"/>
    <mergeCell ref="B196:C196"/>
    <mergeCell ref="B199:C199"/>
    <mergeCell ref="B203:C203"/>
    <mergeCell ref="B207:C207"/>
    <mergeCell ref="B208:C208"/>
    <mergeCell ref="B209:C209"/>
    <mergeCell ref="B212:C212"/>
    <mergeCell ref="B213:C213"/>
    <mergeCell ref="B215:C215"/>
    <mergeCell ref="B216:C216"/>
    <mergeCell ref="B219:C219"/>
    <mergeCell ref="B238:C238"/>
    <mergeCell ref="A239:C239"/>
    <mergeCell ref="A240:C240"/>
    <mergeCell ref="A241:C241"/>
    <mergeCell ref="B229:C229"/>
    <mergeCell ref="B230:C230"/>
    <mergeCell ref="B231:C231"/>
    <mergeCell ref="B232:C232"/>
    <mergeCell ref="B234:C234"/>
    <mergeCell ref="B236:C236"/>
    <mergeCell ref="B237:C237"/>
    <mergeCell ref="DB4:DI4"/>
    <mergeCell ref="DJ4:DQ4"/>
    <mergeCell ref="AX4:BE4"/>
    <mergeCell ref="BF4:BM4"/>
    <mergeCell ref="BN4:BU4"/>
    <mergeCell ref="BV4:CC4"/>
    <mergeCell ref="CD4:CK4"/>
    <mergeCell ref="CL4:CS4"/>
    <mergeCell ref="CT4:DA4"/>
    <mergeCell ref="A4:A5"/>
    <mergeCell ref="B4:C5"/>
    <mergeCell ref="J4:K4"/>
    <mergeCell ref="L4:X4"/>
    <mergeCell ref="Z4:AG4"/>
    <mergeCell ref="AH4:AO4"/>
    <mergeCell ref="AP4:AW4"/>
    <mergeCell ref="B6:C6"/>
    <mergeCell ref="B8:C8"/>
    <mergeCell ref="B14:C14"/>
    <mergeCell ref="B31:C31"/>
    <mergeCell ref="B44:C44"/>
    <mergeCell ref="B51:C51"/>
    <mergeCell ref="B54:C54"/>
    <mergeCell ref="B58:C58"/>
    <mergeCell ref="B61:C61"/>
    <mergeCell ref="B64:C64"/>
    <mergeCell ref="B67:C67"/>
    <mergeCell ref="B74:C74"/>
    <mergeCell ref="B75:C75"/>
    <mergeCell ref="B88:C88"/>
    <mergeCell ref="B133:C133"/>
    <mergeCell ref="B139:C139"/>
    <mergeCell ref="B145:C145"/>
    <mergeCell ref="B149:C149"/>
    <mergeCell ref="B156:C156"/>
    <mergeCell ref="B157:C157"/>
    <mergeCell ref="B187:C187"/>
    <mergeCell ref="B227:C227"/>
    <mergeCell ref="B228:C22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2025-03-09T14:55:38Z</dcterms:created>
  <dc:creator>DIRECTOR Of Facility</dc:creator>
</cp:coreProperties>
</file>