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2.xml" ContentType="application/vnd.openxmlformats-officedocument.drawing+xml"/>
  <Override PartName="/xl/charts/chart13.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Veronica Price-Jones\Desktop\"/>
    </mc:Choice>
  </mc:AlternateContent>
  <xr:revisionPtr revIDLastSave="0" documentId="13_ncr:1_{9974E23E-F77A-48C5-B2B6-9F8858137EBA}" xr6:coauthVersionLast="45" xr6:coauthVersionMax="45" xr10:uidLastSave="{00000000-0000-0000-0000-000000000000}"/>
  <bookViews>
    <workbookView xWindow="-110" yWindow="-110" windowWidth="19420" windowHeight="10420" activeTab="7" xr2:uid="{00000000-000D-0000-FFFF-FFFF00000000}"/>
  </bookViews>
  <sheets>
    <sheet name="INCLUDED_file edited" sheetId="3" r:id="rId1"/>
    <sheet name="General" sheetId="7" r:id="rId2"/>
    <sheet name="Scope" sheetId="8" r:id="rId3"/>
    <sheet name="Policy" sheetId="9" r:id="rId4"/>
    <sheet name="Engagement" sheetId="10" r:id="rId5"/>
    <sheet name="F&amp;S" sheetId="11" r:id="rId6"/>
    <sheet name="Data" sheetId="12" r:id="rId7"/>
    <sheet name="PI" sheetId="13" r:id="rId8"/>
    <sheet name="(Graphs_OLD)" sheetId="1" r:id="rId9"/>
    <sheet name="(Type of data collected_OLD)" sheetId="2" r:id="rId10"/>
    <sheet name="EXCLUDED" sheetId="4" r:id="rId11"/>
    <sheet name="not responded" sheetId="5" r:id="rId12"/>
    <sheet name="ORIGINAL RESPONSES TO SURVEY" sheetId="6" r:id="rId13"/>
  </sheets>
  <definedNames>
    <definedName name="_xlnm._FilterDatabase" localSheetId="0" hidden="1">'INCLUDED_file edited'!$A$1:$CT$104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4" roundtripDataSignature="AMtx7mirqldFccbyGoSiC+JJyvcDoClmmg=="/>
    </ext>
  </extLst>
</workbook>
</file>

<file path=xl/calcChain.xml><?xml version="1.0" encoding="utf-8"?>
<calcChain xmlns="http://schemas.openxmlformats.org/spreadsheetml/2006/main">
  <c r="K13" i="13" l="1"/>
  <c r="K12" i="13"/>
  <c r="K11" i="13"/>
  <c r="K10" i="13"/>
  <c r="K9" i="13"/>
  <c r="K8" i="13"/>
  <c r="K7" i="13"/>
  <c r="K6" i="13"/>
  <c r="K5" i="13"/>
  <c r="K4" i="13"/>
  <c r="K3" i="13"/>
  <c r="K2" i="13"/>
  <c r="J18" i="13"/>
  <c r="V10" i="13" l="1"/>
  <c r="AP12" i="12"/>
  <c r="AM6" i="12"/>
  <c r="AM5" i="12"/>
  <c r="AM4" i="12"/>
  <c r="AM3" i="12"/>
  <c r="AM2" i="12"/>
  <c r="AL12" i="12"/>
  <c r="AE7" i="12"/>
  <c r="AE6" i="12"/>
  <c r="AE5" i="12"/>
  <c r="AE4" i="12"/>
  <c r="AE3" i="12"/>
  <c r="AE2" i="12"/>
  <c r="AD12" i="12"/>
  <c r="G9" i="13"/>
  <c r="AH6" i="12"/>
  <c r="N7" i="12"/>
  <c r="F6" i="12"/>
  <c r="F5" i="12"/>
  <c r="F4" i="12"/>
  <c r="F3" i="12"/>
  <c r="F2" i="12"/>
  <c r="J2" i="10"/>
  <c r="F3" i="10"/>
  <c r="V5" i="13"/>
  <c r="W5" i="13" s="1"/>
  <c r="V6" i="13"/>
  <c r="J7" i="12"/>
  <c r="R3" i="12"/>
  <c r="AL7" i="12" l="1"/>
  <c r="AL4" i="12"/>
  <c r="Z5" i="12"/>
  <c r="AA5" i="12" s="1"/>
  <c r="V8" i="13"/>
  <c r="V7" i="13"/>
  <c r="V4" i="13"/>
  <c r="W4" i="13" s="1"/>
  <c r="V3" i="13"/>
  <c r="W3" i="13" s="1"/>
  <c r="V2" i="13"/>
  <c r="W2" i="13" s="1"/>
  <c r="Z7" i="13"/>
  <c r="Z6" i="13"/>
  <c r="Z9" i="13" s="1"/>
  <c r="Z5" i="13"/>
  <c r="Z4" i="13"/>
  <c r="Z3" i="13"/>
  <c r="Z2" i="13"/>
  <c r="R9" i="13"/>
  <c r="R8" i="13"/>
  <c r="R11" i="13" s="1"/>
  <c r="R6" i="13"/>
  <c r="R5" i="13"/>
  <c r="R4" i="13"/>
  <c r="S4" i="13" s="1"/>
  <c r="R3" i="13"/>
  <c r="S3" i="13" s="1"/>
  <c r="R2" i="13"/>
  <c r="N5" i="13"/>
  <c r="N4" i="13"/>
  <c r="N3" i="13"/>
  <c r="O3" i="13" s="1"/>
  <c r="N2" i="13"/>
  <c r="O2" i="13" s="1"/>
  <c r="J15" i="13"/>
  <c r="J14" i="13"/>
  <c r="J12" i="13"/>
  <c r="J11" i="13"/>
  <c r="J10" i="13"/>
  <c r="J9" i="13"/>
  <c r="J8" i="13"/>
  <c r="J7" i="13"/>
  <c r="J6" i="13"/>
  <c r="J5" i="13"/>
  <c r="J4" i="13"/>
  <c r="J2" i="13"/>
  <c r="F11" i="13"/>
  <c r="F10" i="13"/>
  <c r="F8" i="13"/>
  <c r="G8" i="13" s="1"/>
  <c r="F7" i="13"/>
  <c r="G7" i="13" s="1"/>
  <c r="F6" i="13"/>
  <c r="G6" i="13" s="1"/>
  <c r="F5" i="13"/>
  <c r="G5" i="13" s="1"/>
  <c r="F4" i="13"/>
  <c r="G4" i="13" s="1"/>
  <c r="F3" i="13"/>
  <c r="G3" i="13" s="1"/>
  <c r="F2" i="13"/>
  <c r="G2" i="13" s="1"/>
  <c r="B9" i="13"/>
  <c r="B8" i="13"/>
  <c r="B7" i="13"/>
  <c r="B6" i="13"/>
  <c r="C6" i="13" s="1"/>
  <c r="B5" i="13"/>
  <c r="C5" i="13" s="1"/>
  <c r="B4" i="13"/>
  <c r="C4" i="13" s="1"/>
  <c r="B3" i="13"/>
  <c r="B2" i="13"/>
  <c r="C2" i="13" s="1"/>
  <c r="V3" i="12"/>
  <c r="W3" i="12" s="1"/>
  <c r="J6" i="12"/>
  <c r="K6" i="12" s="1"/>
  <c r="J5" i="12"/>
  <c r="K5" i="12" s="1"/>
  <c r="N9" i="12"/>
  <c r="O9" i="12" s="1"/>
  <c r="R5" i="12"/>
  <c r="R4" i="12"/>
  <c r="R2" i="12"/>
  <c r="Z6" i="12"/>
  <c r="Z4" i="12"/>
  <c r="AA4" i="12" s="1"/>
  <c r="Z7" i="12"/>
  <c r="Z3" i="12"/>
  <c r="AA3" i="12" s="1"/>
  <c r="Z2" i="12"/>
  <c r="AA2" i="12" s="1"/>
  <c r="AD8" i="12"/>
  <c r="AD7" i="12"/>
  <c r="AD6" i="12"/>
  <c r="AD10" i="12"/>
  <c r="AD9" i="12"/>
  <c r="AD5" i="12"/>
  <c r="AD4" i="12"/>
  <c r="AD3" i="12"/>
  <c r="AD2" i="12"/>
  <c r="AH5" i="12"/>
  <c r="AH4" i="12"/>
  <c r="AH3" i="12"/>
  <c r="AH2" i="12"/>
  <c r="AP8" i="12"/>
  <c r="AQ8" i="12" s="1"/>
  <c r="AT6" i="12"/>
  <c r="AX7" i="12"/>
  <c r="AY7" i="12" s="1"/>
  <c r="AX9" i="12"/>
  <c r="AX8" i="12"/>
  <c r="AX6" i="12"/>
  <c r="AY6" i="12" s="1"/>
  <c r="AX5" i="12"/>
  <c r="AY5" i="12" s="1"/>
  <c r="AX4" i="12"/>
  <c r="AY4" i="12" s="1"/>
  <c r="AX3" i="12"/>
  <c r="AY3" i="12" s="1"/>
  <c r="AX2" i="12"/>
  <c r="AY2" i="12" s="1"/>
  <c r="AT8" i="12"/>
  <c r="AT7" i="12"/>
  <c r="AT5" i="12"/>
  <c r="AT4" i="12"/>
  <c r="AT3" i="12"/>
  <c r="AT2" i="12"/>
  <c r="AP10" i="12"/>
  <c r="AP9" i="12"/>
  <c r="AP7" i="12"/>
  <c r="AQ7" i="12" s="1"/>
  <c r="AP6" i="12"/>
  <c r="AQ6" i="12" s="1"/>
  <c r="AP5" i="12"/>
  <c r="AQ5" i="12" s="1"/>
  <c r="AP4" i="12"/>
  <c r="AQ4" i="12" s="1"/>
  <c r="AP3" i="12"/>
  <c r="AQ3" i="12" s="1"/>
  <c r="AP2" i="12"/>
  <c r="AQ2" i="12" s="1"/>
  <c r="AL9" i="12"/>
  <c r="AL8" i="12"/>
  <c r="AL6" i="12"/>
  <c r="AL5" i="12"/>
  <c r="AL3" i="12"/>
  <c r="AL2" i="12"/>
  <c r="V4" i="12"/>
  <c r="V2" i="12"/>
  <c r="W2" i="12" s="1"/>
  <c r="N11" i="12"/>
  <c r="N10" i="12"/>
  <c r="O7" i="12"/>
  <c r="N8" i="12"/>
  <c r="O8" i="12" s="1"/>
  <c r="N6" i="12"/>
  <c r="O6" i="12" s="1"/>
  <c r="N5" i="12"/>
  <c r="O5" i="12" s="1"/>
  <c r="N4" i="12"/>
  <c r="O4" i="12" s="1"/>
  <c r="N3" i="12"/>
  <c r="O3" i="12" s="1"/>
  <c r="N2" i="12"/>
  <c r="O2" i="12" s="1"/>
  <c r="J9" i="12"/>
  <c r="J8" i="12"/>
  <c r="J4" i="12"/>
  <c r="K4" i="12" s="1"/>
  <c r="J3" i="12"/>
  <c r="K3" i="12" s="1"/>
  <c r="J2" i="12"/>
  <c r="K2" i="12" s="1"/>
  <c r="G4" i="12"/>
  <c r="G3" i="12"/>
  <c r="G2" i="12"/>
  <c r="B5" i="12"/>
  <c r="B7" i="12" s="1"/>
  <c r="B4" i="12"/>
  <c r="C4" i="12" s="1"/>
  <c r="B3" i="12"/>
  <c r="C3" i="12" s="1"/>
  <c r="B2" i="12"/>
  <c r="C2" i="12" s="1"/>
  <c r="C3" i="13"/>
  <c r="S7" i="13"/>
  <c r="S6" i="13"/>
  <c r="S5" i="13"/>
  <c r="C7" i="13"/>
  <c r="J4" i="11"/>
  <c r="K4" i="11" s="1"/>
  <c r="J3" i="11"/>
  <c r="K3" i="11" s="1"/>
  <c r="J8" i="11"/>
  <c r="J6" i="11"/>
  <c r="K6" i="11" s="1"/>
  <c r="Z5" i="11"/>
  <c r="Z4" i="11"/>
  <c r="Z3" i="11"/>
  <c r="AA3" i="11" s="1"/>
  <c r="Z2" i="11"/>
  <c r="AA2" i="11" s="1"/>
  <c r="V5" i="11"/>
  <c r="V4" i="11"/>
  <c r="V3" i="11"/>
  <c r="W3" i="11" s="1"/>
  <c r="V2" i="11"/>
  <c r="W2" i="11" s="1"/>
  <c r="R6" i="11"/>
  <c r="R5" i="11"/>
  <c r="R4" i="11"/>
  <c r="S4" i="11" s="1"/>
  <c r="R3" i="11"/>
  <c r="S3" i="11" s="1"/>
  <c r="R2" i="11"/>
  <c r="S2" i="11" s="1"/>
  <c r="N6" i="11"/>
  <c r="N5" i="11"/>
  <c r="N4" i="11"/>
  <c r="O4" i="11" s="1"/>
  <c r="N3" i="11"/>
  <c r="O3" i="11" s="1"/>
  <c r="N2" i="11"/>
  <c r="J7" i="11"/>
  <c r="J5" i="11"/>
  <c r="K5" i="11" s="1"/>
  <c r="J2" i="11"/>
  <c r="K2" i="11" s="1"/>
  <c r="F4" i="11"/>
  <c r="F6" i="11" s="1"/>
  <c r="F3" i="11"/>
  <c r="G3" i="11" s="1"/>
  <c r="F2" i="11"/>
  <c r="G2" i="11" s="1"/>
  <c r="B6" i="11"/>
  <c r="B5" i="11"/>
  <c r="B4" i="11"/>
  <c r="C4" i="11" s="1"/>
  <c r="B3" i="11"/>
  <c r="C3" i="11" s="1"/>
  <c r="B2" i="11"/>
  <c r="F12" i="10"/>
  <c r="J9" i="10"/>
  <c r="F11" i="10"/>
  <c r="J8" i="10"/>
  <c r="N7" i="10"/>
  <c r="N5" i="10"/>
  <c r="O5" i="10" s="1"/>
  <c r="R9" i="10"/>
  <c r="R7" i="10"/>
  <c r="S7" i="10" s="1"/>
  <c r="R5" i="10"/>
  <c r="S5" i="10" s="1"/>
  <c r="R6" i="10"/>
  <c r="S6" i="10" s="1"/>
  <c r="J7" i="10"/>
  <c r="K7" i="10" s="1"/>
  <c r="F10" i="10"/>
  <c r="G10" i="10" s="1"/>
  <c r="R4" i="10"/>
  <c r="S4" i="10" s="1"/>
  <c r="R3" i="10"/>
  <c r="S3" i="10" s="1"/>
  <c r="R2" i="10"/>
  <c r="S2" i="10" s="1"/>
  <c r="N4" i="10"/>
  <c r="O4" i="10" s="1"/>
  <c r="N3" i="10"/>
  <c r="O3" i="10" s="1"/>
  <c r="N2" i="10"/>
  <c r="O2" i="10" s="1"/>
  <c r="J6" i="10"/>
  <c r="K6" i="10" s="1"/>
  <c r="J5" i="10"/>
  <c r="K5" i="10" s="1"/>
  <c r="J4" i="10"/>
  <c r="K4" i="10" s="1"/>
  <c r="J3" i="10"/>
  <c r="K3" i="10" s="1"/>
  <c r="K2" i="10"/>
  <c r="F9" i="10"/>
  <c r="G9" i="10" s="1"/>
  <c r="F8" i="10"/>
  <c r="G8" i="10" s="1"/>
  <c r="F7" i="10"/>
  <c r="G7" i="10" s="1"/>
  <c r="F6" i="10"/>
  <c r="G6" i="10" s="1"/>
  <c r="F5" i="10"/>
  <c r="G5" i="10" s="1"/>
  <c r="F4" i="10"/>
  <c r="G4" i="10" s="1"/>
  <c r="G3" i="10"/>
  <c r="F2" i="10"/>
  <c r="G2" i="10" s="1"/>
  <c r="B4" i="10"/>
  <c r="B3" i="10"/>
  <c r="B2" i="10"/>
  <c r="F7" i="9"/>
  <c r="F6" i="9"/>
  <c r="F5" i="9"/>
  <c r="G5" i="9" s="1"/>
  <c r="F4" i="9"/>
  <c r="G4" i="9" s="1"/>
  <c r="B4" i="9"/>
  <c r="C4" i="9" s="1"/>
  <c r="F3" i="9"/>
  <c r="G3" i="9" s="1"/>
  <c r="B3" i="9"/>
  <c r="C3" i="9" s="1"/>
  <c r="F2" i="9"/>
  <c r="G2" i="9" s="1"/>
  <c r="B2" i="9"/>
  <c r="B6" i="10"/>
  <c r="C3" i="10"/>
  <c r="C2" i="10"/>
  <c r="B5" i="9"/>
  <c r="B7" i="9" s="1"/>
  <c r="AD11" i="7"/>
  <c r="V7" i="8"/>
  <c r="W7" i="8" s="1"/>
  <c r="V6" i="8"/>
  <c r="W6" i="8" s="1"/>
  <c r="V5" i="8"/>
  <c r="W5" i="8" s="1"/>
  <c r="V4" i="8"/>
  <c r="W4" i="8" s="1"/>
  <c r="V3" i="8"/>
  <c r="W3" i="8" s="1"/>
  <c r="V2" i="8"/>
  <c r="W2" i="8" s="1"/>
  <c r="R9" i="8"/>
  <c r="S9" i="8" s="1"/>
  <c r="R8" i="8"/>
  <c r="S8" i="8" s="1"/>
  <c r="R7" i="8"/>
  <c r="S7" i="8" s="1"/>
  <c r="R6" i="8"/>
  <c r="S6" i="8" s="1"/>
  <c r="R5" i="8"/>
  <c r="S5" i="8" s="1"/>
  <c r="R4" i="8"/>
  <c r="S4" i="8" s="1"/>
  <c r="R3" i="8"/>
  <c r="S3" i="8" s="1"/>
  <c r="R2" i="8"/>
  <c r="S2" i="8" s="1"/>
  <c r="N4" i="8"/>
  <c r="O4" i="8" s="1"/>
  <c r="N12" i="8"/>
  <c r="O12" i="8" s="1"/>
  <c r="N11" i="8"/>
  <c r="O11" i="8" s="1"/>
  <c r="N10" i="8"/>
  <c r="O10" i="8" s="1"/>
  <c r="N9" i="8"/>
  <c r="O9" i="8" s="1"/>
  <c r="N8" i="8"/>
  <c r="O8" i="8" s="1"/>
  <c r="N7" i="8"/>
  <c r="O7" i="8" s="1"/>
  <c r="N6" i="8"/>
  <c r="O6" i="8" s="1"/>
  <c r="N5" i="8"/>
  <c r="O5" i="8" s="1"/>
  <c r="N3" i="8"/>
  <c r="O3" i="8" s="1"/>
  <c r="N2" i="8"/>
  <c r="O2" i="8" s="1"/>
  <c r="J4" i="8"/>
  <c r="K4" i="8" s="1"/>
  <c r="J3" i="8"/>
  <c r="K3" i="8" s="1"/>
  <c r="J2" i="8"/>
  <c r="K2" i="8" s="1"/>
  <c r="F10" i="8"/>
  <c r="G10" i="8" s="1"/>
  <c r="F9" i="8"/>
  <c r="G9" i="8" s="1"/>
  <c r="F8" i="8"/>
  <c r="G8" i="8" s="1"/>
  <c r="F7" i="8"/>
  <c r="G7" i="8" s="1"/>
  <c r="F6" i="8"/>
  <c r="G6" i="8" s="1"/>
  <c r="F5" i="8"/>
  <c r="G5" i="8" s="1"/>
  <c r="F4" i="8"/>
  <c r="G4" i="8" s="1"/>
  <c r="F3" i="8"/>
  <c r="G3" i="8" s="1"/>
  <c r="F2" i="8"/>
  <c r="G2" i="8" s="1"/>
  <c r="B8" i="8"/>
  <c r="C8" i="8" s="1"/>
  <c r="B7" i="8"/>
  <c r="C7" i="8" s="1"/>
  <c r="B6" i="8"/>
  <c r="C6" i="8" s="1"/>
  <c r="B5" i="8"/>
  <c r="C5" i="8" s="1"/>
  <c r="B4" i="8"/>
  <c r="C4" i="8" s="1"/>
  <c r="B3" i="8"/>
  <c r="C3" i="8" s="1"/>
  <c r="B2" i="8"/>
  <c r="C2" i="8" s="1"/>
  <c r="AD8" i="7"/>
  <c r="AE8" i="7" s="1"/>
  <c r="AD7" i="7"/>
  <c r="AE7" i="7" s="1"/>
  <c r="AD6" i="7"/>
  <c r="AE6" i="7" s="1"/>
  <c r="AD5" i="7"/>
  <c r="AE5" i="7" s="1"/>
  <c r="AD4" i="7"/>
  <c r="AE4" i="7" s="1"/>
  <c r="AD3" i="7"/>
  <c r="AE3" i="7" s="1"/>
  <c r="AD2" i="7"/>
  <c r="AE2" i="7" s="1"/>
  <c r="Z4" i="7"/>
  <c r="AA4" i="7" s="1"/>
  <c r="Z3" i="7"/>
  <c r="AA3" i="7" s="1"/>
  <c r="Z2" i="7"/>
  <c r="AA2" i="7" s="1"/>
  <c r="V9" i="7"/>
  <c r="V11" i="7" s="1"/>
  <c r="V8" i="7"/>
  <c r="W8" i="7" s="1"/>
  <c r="V7" i="7"/>
  <c r="W7" i="7" s="1"/>
  <c r="V6" i="7"/>
  <c r="W6" i="7" s="1"/>
  <c r="V5" i="7"/>
  <c r="W5" i="7" s="1"/>
  <c r="V4" i="7"/>
  <c r="W4" i="7" s="1"/>
  <c r="V3" i="7"/>
  <c r="W3" i="7" s="1"/>
  <c r="V2" i="7"/>
  <c r="W2" i="7" s="1"/>
  <c r="R17" i="7"/>
  <c r="R19" i="7" s="1"/>
  <c r="R16" i="7"/>
  <c r="S16" i="7" s="1"/>
  <c r="R15" i="7"/>
  <c r="S15" i="7" s="1"/>
  <c r="R14" i="7"/>
  <c r="S14" i="7" s="1"/>
  <c r="R13" i="7"/>
  <c r="S13" i="7" s="1"/>
  <c r="R12" i="7"/>
  <c r="S12" i="7" s="1"/>
  <c r="R11" i="7"/>
  <c r="S11" i="7" s="1"/>
  <c r="R10" i="7"/>
  <c r="S10" i="7" s="1"/>
  <c r="R9" i="7"/>
  <c r="S9" i="7" s="1"/>
  <c r="R8" i="7"/>
  <c r="S8" i="7" s="1"/>
  <c r="R7" i="7"/>
  <c r="S7" i="7" s="1"/>
  <c r="R6" i="7"/>
  <c r="S6" i="7" s="1"/>
  <c r="R5" i="7"/>
  <c r="S5" i="7" s="1"/>
  <c r="R4" i="7"/>
  <c r="S4" i="7" s="1"/>
  <c r="R3" i="7"/>
  <c r="S3" i="7" s="1"/>
  <c r="R2" i="7"/>
  <c r="S2" i="7" s="1"/>
  <c r="N6" i="7"/>
  <c r="O6" i="7" s="1"/>
  <c r="N5" i="7"/>
  <c r="O5" i="7" s="1"/>
  <c r="N4" i="7"/>
  <c r="O4" i="7" s="1"/>
  <c r="N3" i="7"/>
  <c r="O3" i="7" s="1"/>
  <c r="N2" i="7"/>
  <c r="O2" i="7" s="1"/>
  <c r="J39" i="7"/>
  <c r="K39" i="7" s="1"/>
  <c r="J38" i="7"/>
  <c r="K38" i="7" s="1"/>
  <c r="J37" i="7"/>
  <c r="K37" i="7" s="1"/>
  <c r="J36" i="7"/>
  <c r="K36" i="7" s="1"/>
  <c r="J35" i="7"/>
  <c r="K35" i="7" s="1"/>
  <c r="J34" i="7"/>
  <c r="K34" i="7" s="1"/>
  <c r="J33" i="7"/>
  <c r="K33" i="7" s="1"/>
  <c r="J32" i="7"/>
  <c r="K32" i="7" s="1"/>
  <c r="J31" i="7"/>
  <c r="K31" i="7" s="1"/>
  <c r="J30" i="7"/>
  <c r="K30" i="7" s="1"/>
  <c r="J29" i="7"/>
  <c r="K29" i="7" s="1"/>
  <c r="J28" i="7"/>
  <c r="K28" i="7" s="1"/>
  <c r="J27" i="7"/>
  <c r="K27" i="7" s="1"/>
  <c r="J26" i="7"/>
  <c r="K26" i="7" s="1"/>
  <c r="J25" i="7"/>
  <c r="K25" i="7" s="1"/>
  <c r="J24" i="7"/>
  <c r="K24" i="7" s="1"/>
  <c r="J23" i="7"/>
  <c r="K23" i="7" s="1"/>
  <c r="J22" i="7"/>
  <c r="K22" i="7" s="1"/>
  <c r="J21" i="7"/>
  <c r="K21" i="7" s="1"/>
  <c r="J20" i="7"/>
  <c r="K20" i="7" s="1"/>
  <c r="J19" i="7"/>
  <c r="K19" i="7" s="1"/>
  <c r="J18" i="7"/>
  <c r="K18" i="7" s="1"/>
  <c r="J17" i="7"/>
  <c r="K17" i="7" s="1"/>
  <c r="J16" i="7"/>
  <c r="K16" i="7" s="1"/>
  <c r="J15" i="7"/>
  <c r="K15" i="7" s="1"/>
  <c r="J14" i="7"/>
  <c r="K14" i="7" s="1"/>
  <c r="J13" i="7"/>
  <c r="K13" i="7" s="1"/>
  <c r="J12" i="7"/>
  <c r="K12" i="7" s="1"/>
  <c r="J11" i="7"/>
  <c r="K11" i="7" s="1"/>
  <c r="J10" i="7"/>
  <c r="K10" i="7" s="1"/>
  <c r="J9" i="7"/>
  <c r="K9" i="7" s="1"/>
  <c r="J8" i="7"/>
  <c r="K8" i="7" s="1"/>
  <c r="J7" i="7"/>
  <c r="K7" i="7" s="1"/>
  <c r="J6" i="7"/>
  <c r="K6" i="7" s="1"/>
  <c r="J5" i="7"/>
  <c r="K5" i="7" s="1"/>
  <c r="J4" i="7"/>
  <c r="K4" i="7" s="1"/>
  <c r="J3" i="7"/>
  <c r="K3" i="7" s="1"/>
  <c r="J2" i="7"/>
  <c r="K2" i="7" s="1"/>
  <c r="B8" i="7"/>
  <c r="C8" i="7" s="1"/>
  <c r="B7" i="7"/>
  <c r="C7" i="7" s="1"/>
  <c r="B6" i="7"/>
  <c r="C6" i="7" s="1"/>
  <c r="B5" i="7"/>
  <c r="C5" i="7" s="1"/>
  <c r="B4" i="7"/>
  <c r="C4" i="7" s="1"/>
  <c r="B3" i="7"/>
  <c r="C3" i="7" s="1"/>
  <c r="B2" i="7"/>
  <c r="C2" i="7" s="1"/>
  <c r="F41" i="7"/>
  <c r="G41" i="7" s="1"/>
  <c r="F40" i="7"/>
  <c r="G40" i="7" s="1"/>
  <c r="F39" i="7"/>
  <c r="G39" i="7" s="1"/>
  <c r="F38" i="7"/>
  <c r="G38" i="7" s="1"/>
  <c r="F37" i="7"/>
  <c r="G37" i="7" s="1"/>
  <c r="F36" i="7"/>
  <c r="G36" i="7" s="1"/>
  <c r="F35" i="7"/>
  <c r="G35" i="7" s="1"/>
  <c r="F34" i="7"/>
  <c r="G34" i="7" s="1"/>
  <c r="F33" i="7"/>
  <c r="G33" i="7" s="1"/>
  <c r="F32" i="7"/>
  <c r="G32" i="7" s="1"/>
  <c r="F31" i="7"/>
  <c r="G31" i="7" s="1"/>
  <c r="F30" i="7"/>
  <c r="G30" i="7" s="1"/>
  <c r="F29" i="7"/>
  <c r="G29" i="7" s="1"/>
  <c r="F28" i="7"/>
  <c r="G28" i="7" s="1"/>
  <c r="F27" i="7"/>
  <c r="G27" i="7" s="1"/>
  <c r="F26" i="7"/>
  <c r="G26" i="7" s="1"/>
  <c r="F25" i="7"/>
  <c r="G25" i="7" s="1"/>
  <c r="F24" i="7"/>
  <c r="G24" i="7" s="1"/>
  <c r="F23" i="7"/>
  <c r="G23" i="7" s="1"/>
  <c r="F22" i="7"/>
  <c r="G22" i="7" s="1"/>
  <c r="F21" i="7"/>
  <c r="G21" i="7" s="1"/>
  <c r="F20" i="7"/>
  <c r="G20" i="7" s="1"/>
  <c r="F19" i="7"/>
  <c r="G19" i="7" s="1"/>
  <c r="F18" i="7"/>
  <c r="G18" i="7" s="1"/>
  <c r="F17" i="7"/>
  <c r="G17" i="7" s="1"/>
  <c r="F16" i="7"/>
  <c r="G16" i="7" s="1"/>
  <c r="F15" i="7"/>
  <c r="G15" i="7" s="1"/>
  <c r="F14" i="7"/>
  <c r="G14" i="7" s="1"/>
  <c r="F13" i="7"/>
  <c r="G13" i="7" s="1"/>
  <c r="F12" i="7"/>
  <c r="G12" i="7" s="1"/>
  <c r="F11" i="7"/>
  <c r="G11" i="7" s="1"/>
  <c r="F10" i="7"/>
  <c r="G10" i="7" s="1"/>
  <c r="F9" i="7"/>
  <c r="G9" i="7" s="1"/>
  <c r="F8" i="7"/>
  <c r="G8" i="7" s="1"/>
  <c r="F7" i="7"/>
  <c r="G7" i="7" s="1"/>
  <c r="F6" i="7"/>
  <c r="G6" i="7" s="1"/>
  <c r="F5" i="7"/>
  <c r="G5" i="7" s="1"/>
  <c r="F4" i="7"/>
  <c r="G4" i="7" s="1"/>
  <c r="F2" i="7"/>
  <c r="G2" i="7" s="1"/>
  <c r="F3" i="7"/>
  <c r="G3" i="7" s="1"/>
  <c r="Z10" i="12" l="1"/>
  <c r="F14" i="13"/>
  <c r="N8" i="13"/>
  <c r="J10" i="10"/>
  <c r="F13" i="10"/>
  <c r="J11" i="12"/>
  <c r="F9" i="9"/>
  <c r="R10" i="13"/>
  <c r="V8" i="11"/>
  <c r="N7" i="13"/>
  <c r="R8" i="11"/>
  <c r="J17" i="13"/>
  <c r="F13" i="13"/>
  <c r="B8" i="11"/>
  <c r="B11" i="13"/>
  <c r="N9" i="11"/>
  <c r="Z8" i="11"/>
  <c r="B7" i="11"/>
  <c r="N8" i="11"/>
  <c r="B12" i="13"/>
  <c r="N13" i="12"/>
  <c r="Z7" i="11"/>
  <c r="R6" i="12"/>
  <c r="V6" i="12"/>
  <c r="B6" i="12"/>
  <c r="AX12" i="12"/>
  <c r="AH8" i="12"/>
  <c r="F5" i="11"/>
  <c r="R7" i="11"/>
  <c r="AA2" i="13"/>
  <c r="V7" i="11"/>
  <c r="O2" i="11"/>
  <c r="F8" i="12"/>
  <c r="AA4" i="13"/>
  <c r="C2" i="11"/>
  <c r="AA5" i="13"/>
  <c r="AA3" i="13"/>
  <c r="S2" i="13"/>
  <c r="AI3" i="12"/>
  <c r="V7" i="12"/>
  <c r="AU4" i="12" s="1"/>
  <c r="AI2" i="12"/>
  <c r="AU6" i="12"/>
  <c r="AU3" i="12"/>
  <c r="B5" i="10"/>
  <c r="N6" i="10"/>
  <c r="B6" i="9"/>
  <c r="R8" i="10"/>
  <c r="F8" i="9"/>
  <c r="C2" i="9"/>
  <c r="J5" i="8"/>
  <c r="AD10" i="7"/>
  <c r="R18" i="7"/>
  <c r="V10" i="7"/>
  <c r="Z5" i="7"/>
  <c r="B9" i="7"/>
  <c r="C9" i="7" s="1"/>
  <c r="AH9" i="12" l="1"/>
  <c r="AU2" i="12"/>
  <c r="AU5" i="12"/>
  <c r="AT11"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U9" authorId="0" shapeId="0" xr:uid="{00000000-0006-0000-0200-000036000000}">
      <text>
        <r>
          <rPr>
            <sz val="10"/>
            <color rgb="FF000000"/>
            <rFont val="Arial"/>
          </rPr>
          <t>======
ID#AAAAGY8-EWg
    (2020-04-07 10:32:25)
Responder updated this value.</t>
        </r>
      </text>
    </comment>
    <comment ref="X9" authorId="0" shapeId="0" xr:uid="{00000000-0006-0000-0200-00000C000000}">
      <text>
        <r>
          <rPr>
            <sz val="10"/>
            <color rgb="FF000000"/>
            <rFont val="Arial"/>
          </rPr>
          <t>======
ID#AAAAGY8-EZc
    (2020-04-07 10:32:25)
Responder updated this value.</t>
        </r>
      </text>
    </comment>
    <comment ref="Y9" authorId="0" shapeId="0" xr:uid="{ECE9B50D-94A5-4A85-B540-82745CF1EEC8}">
      <text>
        <r>
          <rPr>
            <sz val="10"/>
            <color rgb="FF000000"/>
            <rFont val="Arial"/>
          </rPr>
          <t>======
ID#AAAAGY8-EZc
    (2020-04-07 10:32:25)
Responder updated this value.</t>
        </r>
      </text>
    </comment>
    <comment ref="AE9" authorId="0" shapeId="0" xr:uid="{00000000-0006-0000-0200-000025000000}">
      <text>
        <r>
          <rPr>
            <sz val="10"/>
            <color rgb="FF000000"/>
            <rFont val="Arial"/>
          </rPr>
          <t>======
ID#AAAAGY8-EX0
    (2020-04-07 10:32:25)
Responder updated this value.</t>
        </r>
      </text>
    </comment>
    <comment ref="AF9" authorId="0" shapeId="0" xr:uid="{3613E260-BCC5-42C7-8AD0-07CEF76EE8A8}">
      <text>
        <r>
          <rPr>
            <sz val="10"/>
            <color rgb="FF000000"/>
            <rFont val="Arial"/>
          </rPr>
          <t>======
ID#AAAAGY8-EX0
    (2020-04-07 10:32:25)
Responder updated this value.</t>
        </r>
      </text>
    </comment>
    <comment ref="AG9" authorId="0" shapeId="0" xr:uid="{00000000-0006-0000-0200-000010000000}">
      <text>
        <r>
          <rPr>
            <sz val="10"/>
            <color rgb="FF000000"/>
            <rFont val="Arial"/>
          </rPr>
          <t>======
ID#AAAAGY8-EZE
    (2020-04-07 10:32:25)
Responder updated this value.</t>
        </r>
      </text>
    </comment>
    <comment ref="AH9" authorId="0" shapeId="0" xr:uid="{A66261B2-78C1-4CFF-841F-CA38646A9885}">
      <text>
        <r>
          <rPr>
            <sz val="10"/>
            <color rgb="FF000000"/>
            <rFont val="Arial"/>
          </rPr>
          <t>======
ID#AAAAGY8-EZE
    (2020-04-07 10:32:25)
Responder updated this value.</t>
        </r>
      </text>
    </comment>
    <comment ref="AQ9" authorId="0" shapeId="0" xr:uid="{00000000-0006-0000-0200-000014000000}">
      <text>
        <r>
          <rPr>
            <sz val="10"/>
            <color rgb="FF000000"/>
            <rFont val="Arial"/>
          </rPr>
          <t>======
ID#AAAAGY8-EY4
    (2020-04-07 10:32:25)
Responder updated this value.</t>
        </r>
      </text>
    </comment>
    <comment ref="AR9" authorId="0" shapeId="0" xr:uid="{8FD40154-48D2-4095-A76A-D2CF0BE6FDC5}">
      <text>
        <r>
          <rPr>
            <sz val="10"/>
            <color rgb="FF000000"/>
            <rFont val="Arial"/>
          </rPr>
          <t>======
ID#AAAAGY8-EY4
    (2020-04-07 10:32:25)
Responder updated this value.</t>
        </r>
      </text>
    </comment>
    <comment ref="BA9" authorId="0" shapeId="0" xr:uid="{00000000-0006-0000-0200-000031000000}">
      <text>
        <r>
          <rPr>
            <sz val="10"/>
            <color rgb="FF000000"/>
            <rFont val="Arial"/>
          </rPr>
          <t>======
ID#AAAAGY8-EXA
    (2020-04-07 10:32:25)
Responder updated this value.</t>
        </r>
      </text>
    </comment>
    <comment ref="BB9" authorId="0" shapeId="0" xr:uid="{2B5DE9AE-675B-4E0D-BDAB-6C5827069D05}">
      <text>
        <r>
          <rPr>
            <sz val="10"/>
            <color rgb="FF000000"/>
            <rFont val="Arial"/>
          </rPr>
          <t>======
ID#AAAAGY8-EXA
    (2020-04-07 10:32:25)
Responder updated this value.</t>
        </r>
      </text>
    </comment>
    <comment ref="BN9" authorId="0" shapeId="0" xr:uid="{00000000-0006-0000-0200-000033000000}">
      <text>
        <r>
          <rPr>
            <sz val="10"/>
            <color rgb="FF000000"/>
            <rFont val="Arial"/>
          </rPr>
          <t>======
ID#AAAAGY8-EW0
    (2020-04-07 10:32:25)
Responder updated this value.</t>
        </r>
      </text>
    </comment>
    <comment ref="CI9" authorId="0" shapeId="0" xr:uid="{00000000-0006-0000-0200-00001C000000}">
      <text>
        <r>
          <rPr>
            <sz val="10"/>
            <color rgb="FF000000"/>
            <rFont val="Arial"/>
          </rPr>
          <t>======
ID#AAAAGY8-EYU
    (2020-04-07 10:32:25)
Responder updated this value.</t>
        </r>
      </text>
    </comment>
    <comment ref="BN15" authorId="0" shapeId="0" xr:uid="{00000000-0006-0000-0200-000012000000}">
      <text>
        <r>
          <rPr>
            <sz val="10"/>
            <color rgb="FF000000"/>
            <rFont val="Arial"/>
          </rPr>
          <t>======
ID#AAAAGY8-EZA
    (2020-04-07 10:32:25)
Responder updated this value.</t>
        </r>
      </text>
    </comment>
    <comment ref="CI15" authorId="0" shapeId="0" xr:uid="{00000000-0006-0000-0200-000002000000}">
      <text>
        <r>
          <rPr>
            <sz val="10"/>
            <color rgb="FF000000"/>
            <rFont val="Arial"/>
          </rPr>
          <t>======
ID#AAAAGY8-EaM
    (2020-04-07 10:32:25)
Responder updated this value.</t>
        </r>
      </text>
    </comment>
    <comment ref="CJ15" authorId="0" shapeId="0" xr:uid="{00000000-0006-0000-0200-00002D000000}">
      <text>
        <r>
          <rPr>
            <sz val="10"/>
            <color rgb="FF000000"/>
            <rFont val="Arial"/>
          </rPr>
          <t>======
ID#AAAAGY8-EXQ
    (2020-04-07 10:32:25)
Responder updated this value.</t>
        </r>
      </text>
    </comment>
    <comment ref="H23" authorId="0" shapeId="0" xr:uid="{00000000-0006-0000-0200-000019000000}">
      <text>
        <r>
          <rPr>
            <sz val="10"/>
            <color rgb="FF000000"/>
            <rFont val="Arial"/>
          </rPr>
          <t>======
ID#AAAAGY8-EYc
    (2020-04-07 10:32:25)
Responder updated this value.</t>
        </r>
      </text>
    </comment>
    <comment ref="G48" authorId="0" shapeId="0" xr:uid="{00000000-0006-0000-0200-000023000000}">
      <text>
        <r>
          <rPr>
            <sz val="10"/>
            <color rgb="FF000000"/>
            <rFont val="Arial"/>
          </rPr>
          <t>======
ID#AAAAGY8-EX8
    (2020-04-07 10:32:25)
Responder updated this value.</t>
        </r>
      </text>
    </comment>
    <comment ref="H48" authorId="0" shapeId="0" xr:uid="{00000000-0006-0000-0200-00003B000000}">
      <text>
        <r>
          <rPr>
            <sz val="10"/>
            <color rgb="FF000000"/>
            <rFont val="Arial"/>
          </rPr>
          <t>======
ID#AAAAGY8-EWU
    (2020-04-07 10:32:25)
Responder updated this value.</t>
        </r>
      </text>
    </comment>
    <comment ref="J48" authorId="0" shapeId="0" xr:uid="{00000000-0006-0000-0200-000026000000}">
      <text>
        <r>
          <rPr>
            <sz val="10"/>
            <color rgb="FF000000"/>
            <rFont val="Arial"/>
          </rPr>
          <t>======
ID#AAAAGY8-EXs
    (2020-04-07 10:32:25)
Responder updated this value.</t>
        </r>
      </text>
    </comment>
    <comment ref="K48" authorId="0" shapeId="0" xr:uid="{00000000-0006-0000-0200-000038000000}">
      <text>
        <r>
          <rPr>
            <sz val="10"/>
            <color rgb="FF000000"/>
            <rFont val="Arial"/>
          </rPr>
          <t>======
ID#AAAAGY8-EWo
    (2020-04-07 10:32:25)
Responder updated this value.</t>
        </r>
      </text>
    </comment>
    <comment ref="L48" authorId="0" shapeId="0" xr:uid="{00000000-0006-0000-0200-000011000000}">
      <text>
        <r>
          <rPr>
            <sz val="10"/>
            <color rgb="FF000000"/>
            <rFont val="Arial"/>
          </rPr>
          <t>======
ID#AAAAGY8-EZI
    (2020-04-07 10:32:25)
Responder updated this value.</t>
        </r>
      </text>
    </comment>
    <comment ref="Q48" authorId="0" shapeId="0" xr:uid="{00000000-0006-0000-0200-000016000000}">
      <text>
        <r>
          <rPr>
            <sz val="10"/>
            <color rgb="FF000000"/>
            <rFont val="Arial"/>
          </rPr>
          <t>======
ID#AAAAGY8-EYs
    (2020-04-07 10:32:25)
Responder updated this value.</t>
        </r>
      </text>
    </comment>
    <comment ref="R48" authorId="0" shapeId="0" xr:uid="{00000000-0006-0000-0200-000027000000}">
      <text>
        <r>
          <rPr>
            <sz val="10"/>
            <color rgb="FF000000"/>
            <rFont val="Arial"/>
          </rPr>
          <t>======
ID#AAAAGY8-EXo
    (2020-04-07 10:32:25)
Responder updated this value.</t>
        </r>
      </text>
    </comment>
    <comment ref="S48" authorId="0" shapeId="0" xr:uid="{FBC8A634-AA24-4CBF-8AFC-015363FC058B}">
      <text>
        <r>
          <rPr>
            <sz val="10"/>
            <color rgb="FF000000"/>
            <rFont val="Arial"/>
          </rPr>
          <t>======
ID#AAAAGY8-EXo
    (2020-04-07 10:32:25)
Responder updated this value.</t>
        </r>
      </text>
    </comment>
    <comment ref="T48" authorId="0" shapeId="0" xr:uid="{00000000-0006-0000-0200-00002B000000}">
      <text>
        <r>
          <rPr>
            <sz val="10"/>
            <color rgb="FF000000"/>
            <rFont val="Arial"/>
          </rPr>
          <t>======
ID#AAAAGY8-EXY
    (2020-04-07 10:32:25)
Responder updated this value.</t>
        </r>
      </text>
    </comment>
    <comment ref="V48" authorId="0" shapeId="0" xr:uid="{00000000-0006-0000-0200-000021000000}">
      <text>
        <r>
          <rPr>
            <sz val="10"/>
            <color rgb="FF000000"/>
            <rFont val="Arial"/>
          </rPr>
          <t>======
ID#AAAAGY8-EYA
    (2020-04-07 10:32:25)
Responder updated this value.</t>
        </r>
      </text>
    </comment>
    <comment ref="W48" authorId="0" shapeId="0" xr:uid="{BA6C4363-5153-4C8D-B31D-E4956A009FD9}">
      <text>
        <r>
          <rPr>
            <sz val="10"/>
            <color rgb="FF000000"/>
            <rFont val="Arial"/>
          </rPr>
          <t>======
ID#AAAAGY8-EYA
    (2020-04-07 10:32:25)
Responder updated this value.</t>
        </r>
      </text>
    </comment>
    <comment ref="X48" authorId="0" shapeId="0" xr:uid="{00000000-0006-0000-0200-000004000000}">
      <text>
        <r>
          <rPr>
            <sz val="10"/>
            <color rgb="FF000000"/>
            <rFont val="Arial"/>
          </rPr>
          <t>======
ID#AAAAGY8-EZ8
    (2020-04-07 10:32:25)
Responder updated this value.</t>
        </r>
      </text>
    </comment>
    <comment ref="Y48" authorId="0" shapeId="0" xr:uid="{0B45C097-9E53-4B14-A0D8-829CC08FEBFE}">
      <text>
        <r>
          <rPr>
            <sz val="10"/>
            <color rgb="FF000000"/>
            <rFont val="Arial"/>
          </rPr>
          <t>======
ID#AAAAGY8-EZ8
    (2020-04-07 10:32:25)
Responder updated this value.</t>
        </r>
      </text>
    </comment>
    <comment ref="Z48" authorId="0" shapeId="0" xr:uid="{00000000-0006-0000-0200-000022000000}">
      <text>
        <r>
          <rPr>
            <sz val="10"/>
            <color rgb="FF000000"/>
            <rFont val="Arial"/>
          </rPr>
          <t>======
ID#AAAAGY8-EX4
    (2020-04-07 10:32:25)
Responder updated this value.</t>
        </r>
      </text>
    </comment>
    <comment ref="AA48" authorId="0" shapeId="0" xr:uid="{E3229A68-B5CF-4D55-8BCC-3C20ED6B6532}">
      <text>
        <r>
          <rPr>
            <sz val="10"/>
            <color rgb="FF000000"/>
            <rFont val="Arial"/>
          </rPr>
          <t>======
ID#AAAAGY8-EX4
    (2020-04-07 10:32:25)
Responder updated this value.</t>
        </r>
      </text>
    </comment>
    <comment ref="AB48" authorId="0" shapeId="0" xr:uid="{00000000-0006-0000-0200-00003A000000}">
      <text>
        <r>
          <rPr>
            <sz val="10"/>
            <color rgb="FF000000"/>
            <rFont val="Arial"/>
          </rPr>
          <t>======
ID#AAAAGY8-EWY
    (2020-04-07 10:32:25)
Responder updated this value.</t>
        </r>
      </text>
    </comment>
    <comment ref="AC48" authorId="0" shapeId="0" xr:uid="{7C4DF8EA-3DD9-4C58-B02E-68D38F770D33}">
      <text>
        <r>
          <rPr>
            <sz val="10"/>
            <color rgb="FF000000"/>
            <rFont val="Arial"/>
          </rPr>
          <t>======
ID#AAAAGY8-EWY
    (2020-04-07 10:32:25)
Responder updated this value.</t>
        </r>
      </text>
    </comment>
    <comment ref="AE48" authorId="0" shapeId="0" xr:uid="{00000000-0006-0000-0200-000020000000}">
      <text>
        <r>
          <rPr>
            <sz val="10"/>
            <color rgb="FF000000"/>
            <rFont val="Arial"/>
          </rPr>
          <t>======
ID#AAAAGY8-EYI
    (2020-04-07 10:32:25)
Responder updated this value.</t>
        </r>
      </text>
    </comment>
    <comment ref="AF48" authorId="0" shapeId="0" xr:uid="{9E47E236-A18A-4757-AF9D-55F2221E69F1}">
      <text>
        <r>
          <rPr>
            <sz val="10"/>
            <color rgb="FF000000"/>
            <rFont val="Arial"/>
          </rPr>
          <t>======
ID#AAAAGY8-EYI
    (2020-04-07 10:32:25)
Responder updated this value.</t>
        </r>
      </text>
    </comment>
    <comment ref="AI48" authorId="0" shapeId="0" xr:uid="{00000000-0006-0000-0200-000029000000}">
      <text>
        <r>
          <rPr>
            <sz val="10"/>
            <color rgb="FF000000"/>
            <rFont val="Arial"/>
          </rPr>
          <t>======
ID#AAAAGY8-EXk
    (2020-04-07 10:32:25)
Responder updated this value.</t>
        </r>
      </text>
    </comment>
    <comment ref="AJ48" authorId="0" shapeId="0" xr:uid="{A9CCCB57-D17A-42C0-A9ED-C5F0EEC1DF94}">
      <text>
        <r>
          <rPr>
            <sz val="10"/>
            <color rgb="FF000000"/>
            <rFont val="Arial"/>
          </rPr>
          <t>======
ID#AAAAGY8-EXk
    (2020-04-07 10:32:25)
Responder updated this value.</t>
        </r>
      </text>
    </comment>
    <comment ref="AN48" authorId="0" shapeId="0" xr:uid="{00000000-0006-0000-0200-000005000000}">
      <text>
        <r>
          <rPr>
            <sz val="10"/>
            <color rgb="FF000000"/>
            <rFont val="Arial"/>
          </rPr>
          <t>======
ID#AAAAGY8-EZ4
    (2020-04-07 10:32:25)
Responder updated this value.</t>
        </r>
      </text>
    </comment>
    <comment ref="BN48" authorId="0" shapeId="0" xr:uid="{00000000-0006-0000-0200-00000F000000}">
      <text>
        <r>
          <rPr>
            <sz val="10"/>
            <color rgb="FF000000"/>
            <rFont val="Arial"/>
          </rPr>
          <t>======
ID#AAAAGY8-EZM
    (2020-04-07 10:32:25)
Responder updated this value.</t>
        </r>
      </text>
    </comment>
    <comment ref="BQ48" authorId="0" shapeId="0" xr:uid="{00000000-0006-0000-0200-000003000000}">
      <text>
        <r>
          <rPr>
            <sz val="10"/>
            <color rgb="FF000000"/>
            <rFont val="Arial"/>
          </rPr>
          <t>======
ID#AAAAGY8-EaI
    (2020-04-07 10:32:25)
Responder updated this value.</t>
        </r>
      </text>
    </comment>
    <comment ref="BR48" authorId="0" shapeId="0" xr:uid="{00000000-0006-0000-0200-00002E000000}">
      <text>
        <r>
          <rPr>
            <sz val="10"/>
            <color rgb="FF000000"/>
            <rFont val="Arial"/>
          </rPr>
          <t>======
ID#AAAAGY8-EXE
    (2020-04-07 10:32:25)
Responder updated this value.</t>
        </r>
      </text>
    </comment>
    <comment ref="BS48" authorId="0" shapeId="0" xr:uid="{03E95C98-AE5A-4124-A614-8B7D1BE8284B}">
      <text>
        <r>
          <rPr>
            <sz val="10"/>
            <color rgb="FF000000"/>
            <rFont val="Arial"/>
          </rPr>
          <t>======
ID#AAAAGY8-EXE
    (2020-04-07 10:32:25)
Responder updated this value.</t>
        </r>
      </text>
    </comment>
    <comment ref="BT48" authorId="0" shapeId="0" xr:uid="{00000000-0006-0000-0200-00001D000000}">
      <text>
        <r>
          <rPr>
            <sz val="10"/>
            <color rgb="FF000000"/>
            <rFont val="Arial"/>
          </rPr>
          <t>======
ID#AAAAGY8-EYM
    (2020-04-07 10:32:25)
Responder updated this value.</t>
        </r>
      </text>
    </comment>
    <comment ref="BU48" authorId="0" shapeId="0" xr:uid="{37BC5CA1-9ED2-408D-9B22-1887254C1A5F}">
      <text>
        <r>
          <rPr>
            <sz val="10"/>
            <color rgb="FF000000"/>
            <rFont val="Arial"/>
          </rPr>
          <t>======
ID#AAAAGY8-EYM
    (2020-04-07 10:32:25)
Responder updated this value.</t>
        </r>
      </text>
    </comment>
    <comment ref="CC48" authorId="0" shapeId="0" xr:uid="{00000000-0006-0000-0200-00002F000000}">
      <text>
        <r>
          <rPr>
            <sz val="10"/>
            <color rgb="FF000000"/>
            <rFont val="Arial"/>
          </rPr>
          <t>======
ID#AAAAGY8-EXI
    (2020-04-07 10:32:25)
Responder updated this value.</t>
        </r>
      </text>
    </comment>
    <comment ref="CD48" authorId="0" shapeId="0" xr:uid="{E3284ECE-D2DB-41D6-A1DF-22018E8EA22F}">
      <text>
        <r>
          <rPr>
            <sz val="10"/>
            <color rgb="FF000000"/>
            <rFont val="Arial"/>
          </rPr>
          <t>======
ID#AAAAGY8-EXI
    (2020-04-07 10:32:25)
Responder updated this value.</t>
        </r>
      </text>
    </comment>
    <comment ref="CG48" authorId="0" shapeId="0" xr:uid="{00000000-0006-0000-0200-00001E000000}">
      <text>
        <r>
          <rPr>
            <sz val="10"/>
            <color rgb="FF000000"/>
            <rFont val="Arial"/>
          </rPr>
          <t>======
ID#AAAAGY8-EYQ
    (2020-04-07 10:32:25)
Responder updated this value.</t>
        </r>
      </text>
    </comment>
    <comment ref="CH48" authorId="0" shapeId="0" xr:uid="{00000000-0006-0000-0200-000009000000}">
      <text>
        <r>
          <rPr>
            <sz val="10"/>
            <color rgb="FF000000"/>
            <rFont val="Arial"/>
          </rPr>
          <t>======
ID#AAAAGY8-EZo
    (2020-04-07 10:32:25)
Responder updated this value.</t>
        </r>
      </text>
    </comment>
    <comment ref="CJ48" authorId="0" shapeId="0" xr:uid="{00000000-0006-0000-0200-00002C000000}">
      <text>
        <r>
          <rPr>
            <sz val="10"/>
            <color rgb="FF000000"/>
            <rFont val="Arial"/>
          </rPr>
          <t>======
ID#AAAAGY8-EXM
    (2020-04-07 10:32:25)
Responder updated this value.</t>
        </r>
      </text>
    </comment>
    <comment ref="CK48" authorId="0" shapeId="0" xr:uid="{00000000-0006-0000-0200-00001F000000}">
      <text>
        <r>
          <rPr>
            <sz val="10"/>
            <color rgb="FF000000"/>
            <rFont val="Arial"/>
          </rPr>
          <t>======
ID#AAAAGY8-EYE
    (2020-04-07 10:32:25)
Responder updated this value.</t>
        </r>
      </text>
    </comment>
    <comment ref="CL48" authorId="0" shapeId="0" xr:uid="{00000000-0006-0000-0200-00002A000000}">
      <text>
        <r>
          <rPr>
            <sz val="10"/>
            <color rgb="FF000000"/>
            <rFont val="Arial"/>
          </rPr>
          <t>======
ID#AAAAGY8-EXc
    (2020-04-07 10:32:25)
Responder updated this value.</t>
        </r>
      </text>
    </comment>
    <comment ref="CN48" authorId="0" shapeId="0" xr:uid="{00000000-0006-0000-0200-000017000000}">
      <text>
        <r>
          <rPr>
            <sz val="10"/>
            <color rgb="FF000000"/>
            <rFont val="Arial"/>
          </rPr>
          <t>======
ID#AAAAGY8-EYw
    (2020-04-07 10:32:25)
Responder updated this value.</t>
        </r>
      </text>
    </comment>
    <comment ref="CO48" authorId="0" shapeId="0" xr:uid="{3C705590-AF30-4540-A435-0333A7B16AFF}">
      <text>
        <r>
          <rPr>
            <sz val="10"/>
            <color rgb="FF000000"/>
            <rFont val="Arial"/>
          </rPr>
          <t>======
ID#AAAAGY8-EYw
    (2020-04-07 10:32:25)
Responder updated this value.</t>
        </r>
      </text>
    </comment>
    <comment ref="CP48" authorId="0" shapeId="0" xr:uid="{00000000-0006-0000-0200-00001B000000}">
      <text>
        <r>
          <rPr>
            <sz val="10"/>
            <color rgb="FF000000"/>
            <rFont val="Arial"/>
          </rPr>
          <t>======
ID#AAAAGY8-EYk
    (2020-04-07 10:32:25)
Responder updated this value.</t>
        </r>
      </text>
    </comment>
    <comment ref="CS48" authorId="0" shapeId="0" xr:uid="{00000000-0006-0000-0200-000039000000}">
      <text>
        <r>
          <rPr>
            <sz val="10"/>
            <color rgb="FF000000"/>
            <rFont val="Arial"/>
          </rPr>
          <t>======
ID#AAAAGY8-EWc
    (2020-04-07 10:32:25)
Responder updated this value.</t>
        </r>
      </text>
    </comment>
    <comment ref="BT50" authorId="0" shapeId="0" xr:uid="{00000000-0006-0000-0200-00001A000000}">
      <text>
        <r>
          <rPr>
            <sz val="10"/>
            <color rgb="FF000000"/>
            <rFont val="Arial"/>
          </rPr>
          <t>======
ID#AAAAGY8-EYg
    (2020-04-07 10:32:25)
Responder updated this value.</t>
        </r>
      </text>
    </comment>
    <comment ref="BU50" authorId="0" shapeId="0" xr:uid="{CB6ADC6B-BAB9-42D7-A9E3-EC29E4E1289A}">
      <text>
        <r>
          <rPr>
            <sz val="10"/>
            <color rgb="FF000000"/>
            <rFont val="Arial"/>
          </rPr>
          <t>======
ID#AAAAGY8-EYg
    (2020-04-07 10:32:25)
Responder updated this value.</t>
        </r>
      </text>
    </comment>
    <comment ref="BV50" authorId="0" shapeId="0" xr:uid="{00000000-0006-0000-0200-000008000000}">
      <text>
        <r>
          <rPr>
            <sz val="10"/>
            <color rgb="FF000000"/>
            <rFont val="Arial"/>
          </rPr>
          <t>======
ID#AAAAGY8-EZk
    (2020-04-07 10:32:25)
Responder updated this value.</t>
        </r>
      </text>
    </comment>
    <comment ref="BW50" authorId="0" shapeId="0" xr:uid="{DEDB60AE-B04E-4C66-AC60-39820B97101D}">
      <text>
        <r>
          <rPr>
            <sz val="10"/>
            <color rgb="FF000000"/>
            <rFont val="Arial"/>
          </rPr>
          <t>======
ID#AAAAGY8-EZk
    (2020-04-07 10:32:25)
Responder updated this value.</t>
        </r>
      </text>
    </comment>
    <comment ref="BY50" authorId="0" shapeId="0" xr:uid="{00000000-0006-0000-0200-00000D000000}">
      <text>
        <r>
          <rPr>
            <sz val="10"/>
            <color rgb="FF000000"/>
            <rFont val="Arial"/>
          </rPr>
          <t>======
ID#AAAAGY8-EZU
    (2020-04-07 10:32:25)
Responder updated this value.</t>
        </r>
      </text>
    </comment>
    <comment ref="BZ50" authorId="0" shapeId="0" xr:uid="{01FBD1F4-EF79-412B-BC92-AE3D20D06251}">
      <text>
        <r>
          <rPr>
            <sz val="10"/>
            <color rgb="FF000000"/>
            <rFont val="Arial"/>
          </rPr>
          <t>======
ID#AAAAGY8-EZU
    (2020-04-07 10:32:25)
Responder updated this value.</t>
        </r>
      </text>
    </comment>
    <comment ref="BT53" authorId="0" shapeId="0" xr:uid="{00000000-0006-0000-0200-000037000000}">
      <text>
        <r>
          <rPr>
            <sz val="10"/>
            <color rgb="FF000000"/>
            <rFont val="Arial"/>
          </rPr>
          <t>======
ID#AAAAGY8-EWk
    (2020-04-07 10:32:25)
Responder updated this value.</t>
        </r>
      </text>
    </comment>
    <comment ref="BU53" authorId="0" shapeId="0" xr:uid="{7174096C-5830-49FB-B5EC-379080A4282B}">
      <text>
        <r>
          <rPr>
            <sz val="10"/>
            <color rgb="FF000000"/>
            <rFont val="Arial"/>
          </rPr>
          <t>======
ID#AAAAGY8-EWk
    (2020-04-07 10:32:25)
Responder updated this value.</t>
        </r>
      </text>
    </comment>
    <comment ref="BV53" authorId="0" shapeId="0" xr:uid="{00000000-0006-0000-0200-000032000000}">
      <text>
        <r>
          <rPr>
            <sz val="10"/>
            <color rgb="FF000000"/>
            <rFont val="Arial"/>
          </rPr>
          <t>======
ID#AAAAGY8-EW4
    (2020-04-07 10:32:25)
Responder updated this value.</t>
        </r>
      </text>
    </comment>
    <comment ref="BW53" authorId="0" shapeId="0" xr:uid="{E2BFAB81-AC60-4DC9-895C-B65C7AE181D9}">
      <text>
        <r>
          <rPr>
            <sz val="10"/>
            <color rgb="FF000000"/>
            <rFont val="Arial"/>
          </rPr>
          <t>======
ID#AAAAGY8-EW4
    (2020-04-07 10:32:25)
Responder updated this value.</t>
        </r>
      </text>
    </comment>
    <comment ref="BY53" authorId="0" shapeId="0" xr:uid="{00000000-0006-0000-0200-000007000000}">
      <text>
        <r>
          <rPr>
            <sz val="10"/>
            <color rgb="FF000000"/>
            <rFont val="Arial"/>
          </rPr>
          <t>======
ID#AAAAGY8-EZs
    (2020-04-07 10:32:25)
Responder updated this value.</t>
        </r>
      </text>
    </comment>
    <comment ref="BZ53" authorId="0" shapeId="0" xr:uid="{B3AE31DE-02F7-44FC-9DF8-3F4686519BDE}">
      <text>
        <r>
          <rPr>
            <sz val="10"/>
            <color rgb="FF000000"/>
            <rFont val="Arial"/>
          </rPr>
          <t>======
ID#AAAAGY8-EZs
    (2020-04-07 10:32:25)
Responder updated this value.</t>
        </r>
      </text>
    </comment>
    <comment ref="C62" authorId="0" shapeId="0" xr:uid="{00000000-0006-0000-0200-000001000000}">
      <text>
        <r>
          <rPr>
            <sz val="10"/>
            <color rgb="FF000000"/>
            <rFont val="Arial"/>
          </rPr>
          <t>======
ID#AAAAJa2GV7A
Elena Tricarico    (2020-04-15 10:13:43)
here I found info https://www.zastita-prirode-dnz.hr/p-z-v-prezentaciju-projekta-analiza-pojave-pajasena-peljescu-prijedlog-nacina-uklanjanja-edukaciju-lokalnih-zajednica/</t>
        </r>
      </text>
    </comment>
    <comment ref="CS65" authorId="0" shapeId="0" xr:uid="{00000000-0006-0000-0200-000018000000}">
      <text>
        <r>
          <rPr>
            <sz val="10"/>
            <color rgb="FF000000"/>
            <rFont val="Arial"/>
          </rPr>
          <t>======
ID#AAAAGY8-EYo
    (2020-04-07 10:32:25)
Responder updated this value.</t>
        </r>
      </text>
    </comment>
    <comment ref="BY71" authorId="0" shapeId="0" xr:uid="{00000000-0006-0000-0200-000030000000}">
      <text>
        <r>
          <rPr>
            <sz val="10"/>
            <color rgb="FF000000"/>
            <rFont val="Arial"/>
          </rPr>
          <t>======
ID#AAAAGY8-EW8
    (2020-04-07 10:32:25)
Responder updated this value.</t>
        </r>
      </text>
    </comment>
    <comment ref="BZ71" authorId="0" shapeId="0" xr:uid="{61CA01FD-0A1F-43F4-8423-53E8DF05B405}">
      <text>
        <r>
          <rPr>
            <sz val="10"/>
            <color rgb="FF000000"/>
            <rFont val="Arial"/>
          </rPr>
          <t>======
ID#AAAAGY8-EW8
    (2020-04-07 10:32:25)
Responder updated this value.</t>
        </r>
      </text>
    </comment>
    <comment ref="H74" authorId="0" shapeId="0" xr:uid="{00000000-0006-0000-0200-000035000000}">
      <text>
        <r>
          <rPr>
            <sz val="10"/>
            <color rgb="FF000000"/>
            <rFont val="Arial"/>
          </rPr>
          <t>======
ID#AAAAGY8-EWw
    (2020-04-07 10:32:25)
Responder updated this value.</t>
        </r>
      </text>
    </comment>
    <comment ref="T90" authorId="0" shapeId="0" xr:uid="{00000000-0006-0000-0200-000028000000}">
      <text>
        <r>
          <rPr>
            <sz val="10"/>
            <color rgb="FF000000"/>
            <rFont val="Arial"/>
          </rPr>
          <t>======
ID#AAAAGY8-EXg
    (2020-04-07 10:32:25)
Responder updated this value.</t>
        </r>
      </text>
    </comment>
    <comment ref="U90" authorId="0" shapeId="0" xr:uid="{00000000-0006-0000-0200-000034000000}">
      <text>
        <r>
          <rPr>
            <sz val="10"/>
            <color rgb="FF000000"/>
            <rFont val="Arial"/>
          </rPr>
          <t>======
ID#AAAAGY8-EWs
    (2020-04-07 10:32:25)
Responder updated this value.</t>
        </r>
      </text>
    </comment>
    <comment ref="BT90" authorId="0" shapeId="0" xr:uid="{00000000-0006-0000-0200-000006000000}">
      <text>
        <r>
          <rPr>
            <sz val="10"/>
            <color rgb="FF000000"/>
            <rFont val="Arial"/>
          </rPr>
          <t>======
ID#AAAAGY8-EZw
    (2020-04-07 10:32:25)
Responder updated this value.</t>
        </r>
      </text>
    </comment>
    <comment ref="BU90" authorId="0" shapeId="0" xr:uid="{6B1EFDCE-EB1D-4BD4-8A12-1CEDA42A9343}">
      <text>
        <r>
          <rPr>
            <sz val="10"/>
            <color rgb="FF000000"/>
            <rFont val="Arial"/>
          </rPr>
          <t>======
ID#AAAAGY8-EZw
    (2020-04-07 10:32:25)
Responder updated this value.</t>
        </r>
      </text>
    </comment>
    <comment ref="CL90" authorId="0" shapeId="0" xr:uid="{00000000-0006-0000-0200-000024000000}">
      <text>
        <r>
          <rPr>
            <sz val="10"/>
            <color rgb="FF000000"/>
            <rFont val="Arial"/>
          </rPr>
          <t>======
ID#AAAAGY8-EXw
    (2020-04-07 10:32:25)
Responder updated this value.</t>
        </r>
      </text>
    </comment>
    <comment ref="CM90" authorId="0" shapeId="0" xr:uid="{00000000-0006-0000-0200-000015000000}">
      <text>
        <r>
          <rPr>
            <sz val="10"/>
            <color rgb="FF000000"/>
            <rFont val="Arial"/>
          </rPr>
          <t>======
ID#AAAAGY8-EY0
    (2020-04-07 10:32:25)
Responder updated this value.</t>
        </r>
      </text>
    </comment>
    <comment ref="T92" authorId="0" shapeId="0" xr:uid="{00000000-0006-0000-0200-00000E000000}">
      <text>
        <r>
          <rPr>
            <sz val="10"/>
            <color rgb="FF000000"/>
            <rFont val="Arial"/>
          </rPr>
          <t>======
ID#AAAAGY8-EZQ
    (2020-04-07 10:32:25)
Responder updated this value.</t>
        </r>
      </text>
    </comment>
    <comment ref="CS92" authorId="0" shapeId="0" xr:uid="{00000000-0006-0000-0200-00000A000000}">
      <text>
        <r>
          <rPr>
            <sz val="10"/>
            <color rgb="FF000000"/>
            <rFont val="Arial"/>
          </rPr>
          <t>======
ID#AAAAGY8-EZg
    (2020-04-07 10:32:25)
Responder updated this value.</t>
        </r>
      </text>
    </comment>
    <comment ref="CI93" authorId="0" shapeId="0" xr:uid="{00000000-0006-0000-0200-00000B000000}">
      <text>
        <r>
          <rPr>
            <sz val="10"/>
            <color rgb="FF000000"/>
            <rFont val="Arial"/>
          </rPr>
          <t>======
ID#AAAAGY8-EZY
    (2020-04-07 10:32:25)
Responder updated this value.</t>
        </r>
      </text>
    </comment>
    <comment ref="U97" authorId="0" shapeId="0" xr:uid="{00000000-0006-0000-0200-000013000000}">
      <text>
        <r>
          <rPr>
            <sz val="10"/>
            <color rgb="FF000000"/>
            <rFont val="Arial"/>
          </rPr>
          <t>======
ID#AAAAGY8-EY8
    (2020-04-07 10:32:25)
Still hosts some campaigns in post-life
	-Elena Tricarico</t>
        </r>
      </text>
    </comment>
  </commentList>
  <extLst>
    <ext xmlns:r="http://schemas.openxmlformats.org/officeDocument/2006/relationships" uri="GoogleSheetsCustomDataVersion1">
      <go:sheetsCustomData xmlns:go="http://customooxmlschemas.google.com/" r:id="rId1" roundtripDataSignature="AMtx7mhFlwKzXMFetL4E49iP+jmrfpMyL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P12" authorId="0" shapeId="0" xr:uid="{00000000-0006-0000-0300-000004000000}">
      <text>
        <r>
          <rPr>
            <sz val="10"/>
            <color rgb="FF000000"/>
            <rFont val="Arial"/>
          </rPr>
          <t>======
ID#AAAAGY8-EYY
    (2020-04-07 10:32:25)
Responder updated this value.</t>
        </r>
      </text>
    </comment>
    <comment ref="AY12" authorId="0" shapeId="0" xr:uid="{00000000-0006-0000-0300-000005000000}">
      <text>
        <r>
          <rPr>
            <sz val="10"/>
            <color rgb="FF000000"/>
            <rFont val="Arial"/>
          </rPr>
          <t>======
ID#AAAAGY8-EXU
    (2020-04-07 10:32:25)
Responder updated this value.</t>
        </r>
      </text>
    </comment>
    <comment ref="BE12" authorId="0" shapeId="0" xr:uid="{00000000-0006-0000-0300-000002000000}">
      <text>
        <r>
          <rPr>
            <sz val="10"/>
            <color rgb="FF000000"/>
            <rFont val="Arial"/>
          </rPr>
          <t>======
ID#AAAAGY8-EaA
    (2020-04-07 10:32:25)
Responder updated this value.</t>
        </r>
      </text>
    </comment>
    <comment ref="N18" authorId="0" shapeId="0" xr:uid="{00000000-0006-0000-0300-000003000000}">
      <text>
        <r>
          <rPr>
            <sz val="10"/>
            <color rgb="FF000000"/>
            <rFont val="Arial"/>
          </rPr>
          <t>======
ID#AAAAGY8-EZ0
    (2020-04-07 10:32:25)
Responder updated this value.</t>
        </r>
      </text>
    </comment>
    <comment ref="Y18" authorId="0" shapeId="0" xr:uid="{00000000-0006-0000-0300-000001000000}">
      <text>
        <r>
          <rPr>
            <sz val="10"/>
            <color rgb="FF000000"/>
            <rFont val="Arial"/>
          </rPr>
          <t>======
ID#AAAAGY8-EaE
    (2020-04-07 10:32:25)
Responder updated this value.</t>
        </r>
      </text>
    </comment>
  </commentList>
  <extLst>
    <ext xmlns:r="http://schemas.openxmlformats.org/officeDocument/2006/relationships" uri="GoogleSheetsCustomDataVersion1">
      <go:sheetsCustomData xmlns:go="http://customooxmlschemas.google.com/" r:id="rId1" roundtripDataSignature="AMtx7mgaWeIS6OG4d2HsM9DVIrebjT9W2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O9" authorId="0" shapeId="0" xr:uid="{00000000-0006-0000-0500-000001000000}">
      <text>
        <r>
          <rPr>
            <sz val="10"/>
            <color rgb="FF000000"/>
            <rFont val="Arial"/>
          </rPr>
          <t>Responder updated this value.
======</t>
        </r>
      </text>
    </comment>
    <comment ref="Q9" authorId="0" shapeId="0" xr:uid="{00000000-0006-0000-0500-000002000000}">
      <text>
        <r>
          <rPr>
            <sz val="10"/>
            <color rgb="FF000000"/>
            <rFont val="Arial"/>
          </rPr>
          <t>Responder updated this value.
======</t>
        </r>
      </text>
    </comment>
    <comment ref="U9" authorId="0" shapeId="0" xr:uid="{00000000-0006-0000-0500-000003000000}">
      <text>
        <r>
          <rPr>
            <sz val="10"/>
            <color rgb="FF000000"/>
            <rFont val="Arial"/>
          </rPr>
          <t>Responder updated this value.
======</t>
        </r>
      </text>
    </comment>
    <comment ref="V9" authorId="0" shapeId="0" xr:uid="{00000000-0006-0000-0500-000004000000}">
      <text>
        <r>
          <rPr>
            <sz val="10"/>
            <color rgb="FF000000"/>
            <rFont val="Arial"/>
          </rPr>
          <t>Responder updated this value.
======</t>
        </r>
      </text>
    </comment>
    <comment ref="AB9" authorId="0" shapeId="0" xr:uid="{00000000-0006-0000-0500-000005000000}">
      <text>
        <r>
          <rPr>
            <sz val="10"/>
            <color rgb="FF000000"/>
            <rFont val="Arial"/>
          </rPr>
          <t>Responder updated this value.
======</t>
        </r>
      </text>
    </comment>
    <comment ref="AH9" authorId="0" shapeId="0" xr:uid="{00000000-0006-0000-0500-000006000000}">
      <text>
        <r>
          <rPr>
            <sz val="10"/>
            <color rgb="FF000000"/>
            <rFont val="Arial"/>
          </rPr>
          <t>Responder updated this value.
======</t>
        </r>
      </text>
    </comment>
    <comment ref="AQ9" authorId="0" shapeId="0" xr:uid="{00000000-0006-0000-0500-000007000000}">
      <text>
        <r>
          <rPr>
            <sz val="10"/>
            <color rgb="FF000000"/>
            <rFont val="Arial"/>
          </rPr>
          <t>Responder updated this value.
======</t>
        </r>
      </text>
    </comment>
    <comment ref="BC9" authorId="0" shapeId="0" xr:uid="{00000000-0006-0000-0500-000008000000}">
      <text>
        <r>
          <rPr>
            <sz val="10"/>
            <color rgb="FF000000"/>
            <rFont val="Arial"/>
          </rPr>
          <t>Responder updated this value.
======</t>
        </r>
      </text>
    </comment>
    <comment ref="AQ21" authorId="0" shapeId="0" xr:uid="{00000000-0006-0000-0500-000009000000}">
      <text>
        <r>
          <rPr>
            <sz val="10"/>
            <color rgb="FF000000"/>
            <rFont val="Arial"/>
          </rPr>
          <t>Responder updated this value.
======</t>
        </r>
      </text>
    </comment>
    <comment ref="BC21" authorId="0" shapeId="0" xr:uid="{00000000-0006-0000-0500-00000A000000}">
      <text>
        <r>
          <rPr>
            <sz val="10"/>
            <color rgb="FF000000"/>
            <rFont val="Arial"/>
          </rPr>
          <t>Responder updated this value.
======</t>
        </r>
      </text>
    </comment>
    <comment ref="BD21" authorId="0" shapeId="0" xr:uid="{00000000-0006-0000-0500-00000B000000}">
      <text>
        <r>
          <rPr>
            <sz val="10"/>
            <color rgb="FF000000"/>
            <rFont val="Arial"/>
          </rPr>
          <t>Responder updated this value.
======</t>
        </r>
      </text>
    </comment>
    <comment ref="D31" authorId="0" shapeId="0" xr:uid="{00000000-0006-0000-0500-00000C000000}">
      <text>
        <r>
          <rPr>
            <sz val="10"/>
            <color rgb="FF000000"/>
            <rFont val="Arial"/>
          </rPr>
          <t>Responder updated this value.
======</t>
        </r>
      </text>
    </comment>
    <comment ref="L45" authorId="0" shapeId="0" xr:uid="{00000000-0006-0000-0500-00000D000000}">
      <text>
        <r>
          <rPr>
            <sz val="10"/>
            <color rgb="FF000000"/>
            <rFont val="Arial"/>
          </rPr>
          <t>Responder updated this value.
======</t>
        </r>
      </text>
    </comment>
    <comment ref="AU45" authorId="0" shapeId="0" xr:uid="{00000000-0006-0000-0500-00000E000000}">
      <text>
        <r>
          <rPr>
            <sz val="10"/>
            <color rgb="FF000000"/>
            <rFont val="Arial"/>
          </rPr>
          <t>Responder updated this value.
======</t>
        </r>
      </text>
    </comment>
    <comment ref="BA45" authorId="0" shapeId="0" xr:uid="{00000000-0006-0000-0500-00000F000000}">
      <text>
        <r>
          <rPr>
            <sz val="10"/>
            <color rgb="FF000000"/>
            <rFont val="Arial"/>
          </rPr>
          <t>Responder updated this value.
======</t>
        </r>
      </text>
    </comment>
    <comment ref="C64" authorId="0" shapeId="0" xr:uid="{00000000-0006-0000-0500-000010000000}">
      <text>
        <r>
          <rPr>
            <sz val="10"/>
            <color rgb="FF000000"/>
            <rFont val="Arial"/>
          </rPr>
          <t>Responder updated this value.
======</t>
        </r>
      </text>
    </comment>
    <comment ref="D64" authorId="0" shapeId="0" xr:uid="{00000000-0006-0000-0500-000011000000}">
      <text>
        <r>
          <rPr>
            <sz val="10"/>
            <color rgb="FF000000"/>
            <rFont val="Arial"/>
          </rPr>
          <t>Responder updated this value.
======</t>
        </r>
      </text>
    </comment>
    <comment ref="F64" authorId="0" shapeId="0" xr:uid="{00000000-0006-0000-0500-000012000000}">
      <text>
        <r>
          <rPr>
            <sz val="10"/>
            <color rgb="FF000000"/>
            <rFont val="Arial"/>
          </rPr>
          <t>Responder updated this value.
======</t>
        </r>
      </text>
    </comment>
    <comment ref="G64" authorId="0" shapeId="0" xr:uid="{00000000-0006-0000-0500-000013000000}">
      <text>
        <r>
          <rPr>
            <sz val="10"/>
            <color rgb="FF000000"/>
            <rFont val="Arial"/>
          </rPr>
          <t>Responder updated this value.
======</t>
        </r>
      </text>
    </comment>
    <comment ref="H64" authorId="0" shapeId="0" xr:uid="{00000000-0006-0000-0500-000014000000}">
      <text>
        <r>
          <rPr>
            <sz val="10"/>
            <color rgb="FF000000"/>
            <rFont val="Arial"/>
          </rPr>
          <t>Responder updated this value.
======</t>
        </r>
      </text>
    </comment>
    <comment ref="L64" authorId="0" shapeId="0" xr:uid="{00000000-0006-0000-0500-000015000000}">
      <text>
        <r>
          <rPr>
            <sz val="10"/>
            <color rgb="FF000000"/>
            <rFont val="Arial"/>
          </rPr>
          <t>Responder updated this value.
======</t>
        </r>
      </text>
    </comment>
    <comment ref="M64" authorId="0" shapeId="0" xr:uid="{00000000-0006-0000-0500-000016000000}">
      <text>
        <r>
          <rPr>
            <sz val="10"/>
            <color rgb="FF000000"/>
            <rFont val="Arial"/>
          </rPr>
          <t>Responder updated this value.
======</t>
        </r>
      </text>
    </comment>
    <comment ref="N64" authorId="0" shapeId="0" xr:uid="{00000000-0006-0000-0500-000017000000}">
      <text>
        <r>
          <rPr>
            <sz val="10"/>
            <color rgb="FF000000"/>
            <rFont val="Arial"/>
          </rPr>
          <t>Responder updated this value.
======</t>
        </r>
      </text>
    </comment>
    <comment ref="P64" authorId="0" shapeId="0" xr:uid="{00000000-0006-0000-0500-000018000000}">
      <text>
        <r>
          <rPr>
            <sz val="10"/>
            <color rgb="FF000000"/>
            <rFont val="Arial"/>
          </rPr>
          <t>Responder updated this value.
======</t>
        </r>
      </text>
    </comment>
    <comment ref="Q64" authorId="0" shapeId="0" xr:uid="{00000000-0006-0000-0500-000019000000}">
      <text>
        <r>
          <rPr>
            <sz val="10"/>
            <color rgb="FF000000"/>
            <rFont val="Arial"/>
          </rPr>
          <t>Responder updated this value.
======</t>
        </r>
      </text>
    </comment>
    <comment ref="R64" authorId="0" shapeId="0" xr:uid="{00000000-0006-0000-0500-00001A000000}">
      <text>
        <r>
          <rPr>
            <sz val="10"/>
            <color rgb="FF000000"/>
            <rFont val="Arial"/>
          </rPr>
          <t>Responder updated this value.
======</t>
        </r>
      </text>
    </comment>
    <comment ref="S64" authorId="0" shapeId="0" xr:uid="{00000000-0006-0000-0500-00001B000000}">
      <text>
        <r>
          <rPr>
            <sz val="10"/>
            <color rgb="FF000000"/>
            <rFont val="Arial"/>
          </rPr>
          <t>Responder updated this value.
======</t>
        </r>
      </text>
    </comment>
    <comment ref="U64" authorId="0" shapeId="0" xr:uid="{00000000-0006-0000-0500-00001C000000}">
      <text>
        <r>
          <rPr>
            <sz val="10"/>
            <color rgb="FF000000"/>
            <rFont val="Arial"/>
          </rPr>
          <t>Responder updated this value.
======</t>
        </r>
      </text>
    </comment>
    <comment ref="W64" authorId="0" shapeId="0" xr:uid="{00000000-0006-0000-0500-00001D000000}">
      <text>
        <r>
          <rPr>
            <sz val="10"/>
            <color rgb="FF000000"/>
            <rFont val="Arial"/>
          </rPr>
          <t>Responder updated this value.
======</t>
        </r>
      </text>
    </comment>
    <comment ref="Z64" authorId="0" shapeId="0" xr:uid="{00000000-0006-0000-0500-00001E000000}">
      <text>
        <r>
          <rPr>
            <sz val="10"/>
            <color rgb="FF000000"/>
            <rFont val="Arial"/>
          </rPr>
          <t>Responder updated this value.
======</t>
        </r>
      </text>
    </comment>
    <comment ref="AQ64" authorId="0" shapeId="0" xr:uid="{00000000-0006-0000-0500-00001F000000}">
      <text>
        <r>
          <rPr>
            <sz val="10"/>
            <color rgb="FF000000"/>
            <rFont val="Arial"/>
          </rPr>
          <t>Responder updated this value.
======</t>
        </r>
      </text>
    </comment>
    <comment ref="AR64" authorId="0" shapeId="0" xr:uid="{00000000-0006-0000-0500-000020000000}">
      <text>
        <r>
          <rPr>
            <sz val="10"/>
            <color rgb="FF000000"/>
            <rFont val="Arial"/>
          </rPr>
          <t>Responder updated this value.
======</t>
        </r>
      </text>
    </comment>
    <comment ref="AS64" authorId="0" shapeId="0" xr:uid="{00000000-0006-0000-0500-000021000000}">
      <text>
        <r>
          <rPr>
            <sz val="10"/>
            <color rgb="FF000000"/>
            <rFont val="Arial"/>
          </rPr>
          <t>Responder updated this value.
======</t>
        </r>
      </text>
    </comment>
    <comment ref="AT64" authorId="0" shapeId="0" xr:uid="{00000000-0006-0000-0500-000022000000}">
      <text>
        <r>
          <rPr>
            <sz val="10"/>
            <color rgb="FF000000"/>
            <rFont val="Arial"/>
          </rPr>
          <t>Responder updated this value.
======</t>
        </r>
      </text>
    </comment>
    <comment ref="AY64" authorId="0" shapeId="0" xr:uid="{00000000-0006-0000-0500-000023000000}">
      <text>
        <r>
          <rPr>
            <sz val="10"/>
            <color rgb="FF000000"/>
            <rFont val="Arial"/>
          </rPr>
          <t>Responder updated this value.
======</t>
        </r>
      </text>
    </comment>
    <comment ref="BA64" authorId="0" shapeId="0" xr:uid="{00000000-0006-0000-0500-000024000000}">
      <text>
        <r>
          <rPr>
            <sz val="10"/>
            <color rgb="FF000000"/>
            <rFont val="Arial"/>
          </rPr>
          <t>Responder updated this value.
======</t>
        </r>
      </text>
    </comment>
    <comment ref="BB64" authorId="0" shapeId="0" xr:uid="{00000000-0006-0000-0500-000025000000}">
      <text>
        <r>
          <rPr>
            <sz val="10"/>
            <color rgb="FF000000"/>
            <rFont val="Arial"/>
          </rPr>
          <t>Responder updated this value.
======</t>
        </r>
      </text>
    </comment>
    <comment ref="BD64" authorId="0" shapeId="0" xr:uid="{00000000-0006-0000-0500-000026000000}">
      <text>
        <r>
          <rPr>
            <sz val="10"/>
            <color rgb="FF000000"/>
            <rFont val="Arial"/>
          </rPr>
          <t>Responder updated this value.
======</t>
        </r>
      </text>
    </comment>
    <comment ref="BE64" authorId="0" shapeId="0" xr:uid="{00000000-0006-0000-0500-000027000000}">
      <text>
        <r>
          <rPr>
            <sz val="10"/>
            <color rgb="FF000000"/>
            <rFont val="Arial"/>
          </rPr>
          <t>Responder updated this value.
======</t>
        </r>
      </text>
    </comment>
    <comment ref="BF64" authorId="0" shapeId="0" xr:uid="{00000000-0006-0000-0500-000028000000}">
      <text>
        <r>
          <rPr>
            <sz val="10"/>
            <color rgb="FF000000"/>
            <rFont val="Arial"/>
          </rPr>
          <t>Responder updated this value.
======</t>
        </r>
      </text>
    </comment>
    <comment ref="BH64" authorId="0" shapeId="0" xr:uid="{00000000-0006-0000-0500-000029000000}">
      <text>
        <r>
          <rPr>
            <sz val="10"/>
            <color rgb="FF000000"/>
            <rFont val="Arial"/>
          </rPr>
          <t>Responder updated this value.
======</t>
        </r>
      </text>
    </comment>
    <comment ref="BI64" authorId="0" shapeId="0" xr:uid="{00000000-0006-0000-0500-00002A000000}">
      <text>
        <r>
          <rPr>
            <sz val="10"/>
            <color rgb="FF000000"/>
            <rFont val="Arial"/>
          </rPr>
          <t>Responder updated this value.
======</t>
        </r>
      </text>
    </comment>
    <comment ref="BL64" authorId="0" shapeId="0" xr:uid="{00000000-0006-0000-0500-00002B000000}">
      <text>
        <r>
          <rPr>
            <sz val="10"/>
            <color rgb="FF000000"/>
            <rFont val="Arial"/>
          </rPr>
          <t>Responder updated this value.
======</t>
        </r>
      </text>
    </comment>
    <comment ref="AT66" authorId="0" shapeId="0" xr:uid="{00000000-0006-0000-0500-00002C000000}">
      <text>
        <r>
          <rPr>
            <sz val="10"/>
            <color rgb="FF000000"/>
            <rFont val="Arial"/>
          </rPr>
          <t>Responder updated this value.
======</t>
        </r>
      </text>
    </comment>
    <comment ref="AU66" authorId="0" shapeId="0" xr:uid="{00000000-0006-0000-0500-00002D000000}">
      <text>
        <r>
          <rPr>
            <sz val="10"/>
            <color rgb="FF000000"/>
            <rFont val="Arial"/>
          </rPr>
          <t>Responder updated this value.
======</t>
        </r>
      </text>
    </comment>
    <comment ref="AW66" authorId="0" shapeId="0" xr:uid="{00000000-0006-0000-0500-00002E000000}">
      <text>
        <r>
          <rPr>
            <sz val="10"/>
            <color rgb="FF000000"/>
            <rFont val="Arial"/>
          </rPr>
          <t>Responder updated this value.
======</t>
        </r>
      </text>
    </comment>
    <comment ref="J69" authorId="0" shapeId="0" xr:uid="{00000000-0006-0000-0500-00002F000000}">
      <text>
        <r>
          <rPr>
            <sz val="10"/>
            <color rgb="FF000000"/>
            <rFont val="Arial"/>
          </rPr>
          <t>Responder updated this value.
======</t>
        </r>
      </text>
    </comment>
    <comment ref="U69" authorId="0" shapeId="0" xr:uid="{00000000-0006-0000-0500-000030000000}">
      <text>
        <r>
          <rPr>
            <sz val="10"/>
            <color rgb="FF000000"/>
            <rFont val="Arial"/>
          </rPr>
          <t>Responder updated this value.
======</t>
        </r>
      </text>
    </comment>
    <comment ref="AT70" authorId="0" shapeId="0" xr:uid="{00000000-0006-0000-0500-000031000000}">
      <text>
        <r>
          <rPr>
            <sz val="10"/>
            <color rgb="FF000000"/>
            <rFont val="Arial"/>
          </rPr>
          <t>Responder updated this value.
======</t>
        </r>
      </text>
    </comment>
    <comment ref="AU70" authorId="0" shapeId="0" xr:uid="{00000000-0006-0000-0500-000032000000}">
      <text>
        <r>
          <rPr>
            <sz val="10"/>
            <color rgb="FF000000"/>
            <rFont val="Arial"/>
          </rPr>
          <t>Responder updated this value.
======</t>
        </r>
      </text>
    </comment>
    <comment ref="AW70" authorId="0" shapeId="0" xr:uid="{00000000-0006-0000-0500-000033000000}">
      <text>
        <r>
          <rPr>
            <sz val="10"/>
            <color rgb="FF000000"/>
            <rFont val="Arial"/>
          </rPr>
          <t>Responder updated this value.
======</t>
        </r>
      </text>
    </comment>
    <comment ref="BL85" authorId="0" shapeId="0" xr:uid="{00000000-0006-0000-0500-000034000000}">
      <text>
        <r>
          <rPr>
            <sz val="10"/>
            <color rgb="FF000000"/>
            <rFont val="Arial"/>
          </rPr>
          <t>Responder updated this value.
======</t>
        </r>
      </text>
    </comment>
    <comment ref="AW95" authorId="0" shapeId="0" xr:uid="{00000000-0006-0000-0500-000035000000}">
      <text>
        <r>
          <rPr>
            <sz val="10"/>
            <color rgb="FF000000"/>
            <rFont val="Arial"/>
          </rPr>
          <t>Responder updated this value.
======</t>
        </r>
      </text>
    </comment>
    <comment ref="D98" authorId="0" shapeId="0" xr:uid="{00000000-0006-0000-0500-000036000000}">
      <text>
        <r>
          <rPr>
            <sz val="10"/>
            <color rgb="FF000000"/>
            <rFont val="Arial"/>
          </rPr>
          <t>Responder updated this value.
======</t>
        </r>
      </text>
    </comment>
    <comment ref="N115" authorId="0" shapeId="0" xr:uid="{00000000-0006-0000-0500-000037000000}">
      <text>
        <r>
          <rPr>
            <sz val="10"/>
            <color rgb="FF000000"/>
            <rFont val="Arial"/>
          </rPr>
          <t>Responder updated this value.
======</t>
        </r>
      </text>
    </comment>
    <comment ref="O115" authorId="0" shapeId="0" xr:uid="{00000000-0006-0000-0500-000038000000}">
      <text>
        <r>
          <rPr>
            <sz val="10"/>
            <color rgb="FF000000"/>
            <rFont val="Arial"/>
          </rPr>
          <t>Responder updated this value.
======</t>
        </r>
      </text>
    </comment>
    <comment ref="AT115" authorId="0" shapeId="0" xr:uid="{00000000-0006-0000-0500-000039000000}">
      <text>
        <r>
          <rPr>
            <sz val="10"/>
            <color rgb="FF000000"/>
            <rFont val="Arial"/>
          </rPr>
          <t>Responder updated this value.
======</t>
        </r>
      </text>
    </comment>
    <comment ref="BF115" authorId="0" shapeId="0" xr:uid="{00000000-0006-0000-0500-00003A000000}">
      <text>
        <r>
          <rPr>
            <sz val="10"/>
            <color rgb="FF000000"/>
            <rFont val="Arial"/>
          </rPr>
          <t>Responder updated this value.
======</t>
        </r>
      </text>
    </comment>
    <comment ref="BG115" authorId="0" shapeId="0" xr:uid="{00000000-0006-0000-0500-00003B000000}">
      <text>
        <r>
          <rPr>
            <sz val="10"/>
            <color rgb="FF000000"/>
            <rFont val="Arial"/>
          </rPr>
          <t>Responder updated this value.
======</t>
        </r>
      </text>
    </comment>
    <comment ref="N117" authorId="0" shapeId="0" xr:uid="{00000000-0006-0000-0500-00003C000000}">
      <text>
        <r>
          <rPr>
            <sz val="10"/>
            <color rgb="FF000000"/>
            <rFont val="Arial"/>
          </rPr>
          <t>Responder updated this value.
======</t>
        </r>
      </text>
    </comment>
    <comment ref="BL117" authorId="0" shapeId="0" xr:uid="{00000000-0006-0000-0500-00003D000000}">
      <text>
        <r>
          <rPr>
            <sz val="10"/>
            <color rgb="FF000000"/>
            <rFont val="Arial"/>
          </rPr>
          <t>Responder updated this value.
======</t>
        </r>
      </text>
    </comment>
    <comment ref="BC118" authorId="0" shapeId="0" xr:uid="{00000000-0006-0000-0500-00003E000000}">
      <text>
        <r>
          <rPr>
            <sz val="10"/>
            <color rgb="FF000000"/>
            <rFont val="Arial"/>
          </rPr>
          <t>Responder updated this value.
======</t>
        </r>
      </text>
    </comment>
  </commentList>
</comments>
</file>

<file path=xl/sharedStrings.xml><?xml version="1.0" encoding="utf-8"?>
<sst xmlns="http://schemas.openxmlformats.org/spreadsheetml/2006/main" count="18661" uniqueCount="2358">
  <si>
    <t>Project #</t>
  </si>
  <si>
    <t>Exclusions? PB follow-up note</t>
  </si>
  <si>
    <t>Include (yes/no)_ADDED</t>
  </si>
  <si>
    <t>Biosecurity_regime_ADDED</t>
  </si>
  <si>
    <t>Timestamp</t>
  </si>
  <si>
    <t>Email Address</t>
  </si>
  <si>
    <t>Responsible person</t>
  </si>
  <si>
    <t>Project name</t>
  </si>
  <si>
    <t>Do you lead this project?</t>
  </si>
  <si>
    <t>Web site of the project</t>
  </si>
  <si>
    <t>Project host contact</t>
  </si>
  <si>
    <t>Project description</t>
  </si>
  <si>
    <t>Geographic extent</t>
  </si>
  <si>
    <t xml:space="preserve">Country </t>
  </si>
  <si>
    <t>Language</t>
  </si>
  <si>
    <t>Project host</t>
  </si>
  <si>
    <t>Organisation type</t>
  </si>
  <si>
    <t>Start year</t>
  </si>
  <si>
    <t>End year</t>
  </si>
  <si>
    <t>Funding</t>
  </si>
  <si>
    <t>If funded, by what type of funding entity?</t>
  </si>
  <si>
    <t>Target Citizen Scientists</t>
  </si>
  <si>
    <t>Target taxonomic group</t>
  </si>
  <si>
    <t>Alien-focused?</t>
  </si>
  <si>
    <t>Aim of the project</t>
  </si>
  <si>
    <t>Type of data collected</t>
  </si>
  <si>
    <t xml:space="preserve">Environment type </t>
  </si>
  <si>
    <t>Policy relevance</t>
  </si>
  <si>
    <t>In you answered "Yes" to the previous question, please provide brief details.</t>
  </si>
  <si>
    <t>Invasive Alien Species of Union Concern</t>
  </si>
  <si>
    <t>Design</t>
  </si>
  <si>
    <t>Engagement method</t>
  </si>
  <si>
    <t>Social media</t>
  </si>
  <si>
    <t>Skills / knowledge needed</t>
  </si>
  <si>
    <t>Contribution frequency</t>
  </si>
  <si>
    <t>Species ID materials</t>
  </si>
  <si>
    <t>Guidelines</t>
  </si>
  <si>
    <t>Training</t>
  </si>
  <si>
    <t>Sightings map</t>
  </si>
  <si>
    <t>Active informing</t>
  </si>
  <si>
    <t>Feedback</t>
  </si>
  <si>
    <t xml:space="preserve">Support </t>
  </si>
  <si>
    <t>Validation</t>
  </si>
  <si>
    <t>Validators</t>
  </si>
  <si>
    <t>Registration type</t>
  </si>
  <si>
    <t>Method of recording</t>
  </si>
  <si>
    <t>Open Data</t>
  </si>
  <si>
    <t>Citizen Scientists' access to data</t>
  </si>
  <si>
    <t>Data form</t>
  </si>
  <si>
    <t>Data standards</t>
  </si>
  <si>
    <t>Data management plan</t>
  </si>
  <si>
    <t>If you answered "Yes" to the previous question, please upload the file</t>
  </si>
  <si>
    <t>License</t>
  </si>
  <si>
    <t xml:space="preserve">Origin of organism(s) </t>
  </si>
  <si>
    <t>Occurrence status of organism(s)</t>
  </si>
  <si>
    <t xml:space="preserve">Degree of establishment of organism(s) </t>
  </si>
  <si>
    <t xml:space="preserve">Pathway of introduction of organism(s) </t>
  </si>
  <si>
    <t>Usage of App</t>
  </si>
  <si>
    <t>Number of participants</t>
  </si>
  <si>
    <t>Number of alien or invasive alien species records</t>
  </si>
  <si>
    <t>Learning assessed</t>
  </si>
  <si>
    <t>Number of publications</t>
  </si>
  <si>
    <t>If there are publications using data from (or related to) the project, please add the list of publications here.</t>
  </si>
  <si>
    <t>Publication type 1</t>
  </si>
  <si>
    <t>Publication type 2</t>
  </si>
  <si>
    <t>Google Translate</t>
  </si>
  <si>
    <t>Follow-up survey</t>
  </si>
  <si>
    <t>Notes / observations</t>
  </si>
  <si>
    <t>GBIF datasetKey (filled by Tim &amp; Lien)</t>
  </si>
  <si>
    <t>yes</t>
  </si>
  <si>
    <t>Biodiversity</t>
  </si>
  <si>
    <t>rlgazda@cyf-kr.edu.pl</t>
  </si>
  <si>
    <t>Anna Gazda</t>
  </si>
  <si>
    <t>Alien species of the Polesie National Park</t>
  </si>
  <si>
    <t>Yes</t>
  </si>
  <si>
    <t>under construction</t>
  </si>
  <si>
    <t>We try to encourage visitors/tourists visiting the National Park to help us collecting data on the occurrence of alien species within the protected area. We will meet visitors and involve them to use the iNaturalist App, and Invasive Alien Species (JRC) to track alien species within this area. Tourists use to move along different routes very similar to alien species, so they may follow them to monitor the distribution and dispersal of these species.</t>
  </si>
  <si>
    <t>Regional</t>
  </si>
  <si>
    <t>Poland</t>
  </si>
  <si>
    <t>Polish</t>
  </si>
  <si>
    <t>University of Agriculture in Krakow in cooperation with the Polesie National Park</t>
  </si>
  <si>
    <t>University (U)</t>
  </si>
  <si>
    <t>Still running</t>
  </si>
  <si>
    <t>No</t>
  </si>
  <si>
    <t>Anyone (general public)</t>
  </si>
  <si>
    <t>All</t>
  </si>
  <si>
    <t>Mapping of alien species, Prevention, Monitoring or surveillance, Early warning, Education</t>
  </si>
  <si>
    <t>Species presence and/or abundance, Early detection, Rate of spread</t>
  </si>
  <si>
    <t>Freshwater, Terrestrial</t>
  </si>
  <si>
    <t>Included = species of Union Concern included amongst other species</t>
  </si>
  <si>
    <t>Contributory = scientists only</t>
  </si>
  <si>
    <t>Live training, e.g., courses or workshops</t>
  </si>
  <si>
    <t>Facebook</t>
  </si>
  <si>
    <t>Limited</t>
  </si>
  <si>
    <t>One-off</t>
  </si>
  <si>
    <t>Partially</t>
  </si>
  <si>
    <t>Group training, e.g., workshops, courses, etc.</t>
  </si>
  <si>
    <t>Experts</t>
  </si>
  <si>
    <t>Facebook, Google account</t>
  </si>
  <si>
    <t>App (Android, iOS, Windows), Sent by email</t>
  </si>
  <si>
    <t>GBIF</t>
  </si>
  <si>
    <t>Excel</t>
  </si>
  <si>
    <t>Darwin Core</t>
  </si>
  <si>
    <t>CC BY</t>
  </si>
  <si>
    <t>Introduced, Alien, Non-native, Non-indigenous</t>
  </si>
  <si>
    <t>Present, Established, Invasive</t>
  </si>
  <si>
    <t>Established, Casual, Naturalized, Invasive, Transformer</t>
  </si>
  <si>
    <t>Unknown</t>
  </si>
  <si>
    <t>Info not available</t>
  </si>
  <si>
    <t>katrin.schneider@ufu.de</t>
  </si>
  <si>
    <t>Katrin Schneider</t>
  </si>
  <si>
    <t>KORINA</t>
  </si>
  <si>
    <t>www.korina.info</t>
  </si>
  <si>
    <t>KORINA is aiming to support stakeholders to manage plant invasions. It provides an information system, which enables authorities, managers, citizens to collect, access and disseminate information about alien invasive plants in Germany, especially in Saxony Anhalt.</t>
  </si>
  <si>
    <t>Sub-national</t>
  </si>
  <si>
    <t>Germany</t>
  </si>
  <si>
    <t>German</t>
  </si>
  <si>
    <t>Unabhängiges Institut für Umweltfragen e. V.</t>
  </si>
  <si>
    <t>Non-governmental Organisation (NGO)</t>
  </si>
  <si>
    <t>Government</t>
  </si>
  <si>
    <t>Plants</t>
  </si>
  <si>
    <t>Mapping of alien species, Prevention, Monitoring or surveillance, Early warning, Effectiveness of management, Education, Awareness raising</t>
  </si>
  <si>
    <t>Species presence and/or abundance, Changes in abundance, Early detection, Rate of spread</t>
  </si>
  <si>
    <t>Freshwater, Terrestrial, Urban</t>
  </si>
  <si>
    <t>All of them are impacted.</t>
  </si>
  <si>
    <t>Indirectly = general invasive alien species focus so may find some species of Union Concern</t>
  </si>
  <si>
    <t>Collaborative = Citizen Scientists input possible</t>
  </si>
  <si>
    <t>Newsletters, Social media, Website, School engagement</t>
  </si>
  <si>
    <t>Twitter</t>
  </si>
  <si>
    <t>Plant identification</t>
  </si>
  <si>
    <t>Direct project registration (e.g. website)</t>
  </si>
  <si>
    <t>App (Android, iOS, Windows), Online form, Sent by email</t>
  </si>
  <si>
    <t>PostgreSQL</t>
  </si>
  <si>
    <t>ABCD</t>
  </si>
  <si>
    <t>Neophyten</t>
  </si>
  <si>
    <t>Present, Absent, Established</t>
  </si>
  <si>
    <t>Established</t>
  </si>
  <si>
    <t>eingeschleppt, eingeführt</t>
  </si>
  <si>
    <t>11-25%</t>
  </si>
  <si>
    <t>101 - 500</t>
  </si>
  <si>
    <t>2001 - 5000</t>
  </si>
  <si>
    <t>1 - 5</t>
  </si>
  <si>
    <t>https://drive.google.com/open?id=1SP4_uzLqXvuqU3rjEo6KX0ReK0iHCurx</t>
  </si>
  <si>
    <t>Scientific peer-reviewed, Science communication (i.e., aimed at the general public)</t>
  </si>
  <si>
    <t>Descriptive, Mixed</t>
  </si>
  <si>
    <t>(Previous comment: 1 INCLUDE Project filled-in as NOT alien-focused, but appears to be)</t>
  </si>
  <si>
    <t>bakiurigers@gmail.com</t>
  </si>
  <si>
    <t>Rigers Bakiu</t>
  </si>
  <si>
    <t>Invasive Species in Albanian Coastal Areas/Speciet Invazive ne Bregdetin Shqipetar</t>
  </si>
  <si>
    <t>https://www.facebook.com/acepsd2017/</t>
  </si>
  <si>
    <t>albaniancenterforepsd@gmail.com</t>
  </si>
  <si>
    <t>Water Invasive Species reporting website for the species encountered at the coastal areas of Albania.</t>
  </si>
  <si>
    <t>National</t>
  </si>
  <si>
    <t>Albania</t>
  </si>
  <si>
    <t>Albanian and English language</t>
  </si>
  <si>
    <t>Albanian Center for Environmental Protection and Sustainable Development</t>
  </si>
  <si>
    <t>Anyone (general public), Fishermen, University students, Scientists, e.g, biologists, etc.</t>
  </si>
  <si>
    <t>All, fish</t>
  </si>
  <si>
    <t>No (alien data received but this is not the main target)</t>
  </si>
  <si>
    <t>Mapping of alien species, Monitoring or surveillance, Early warning, Education, Awareness raising, Fun</t>
  </si>
  <si>
    <t>Species presence and/or abundance, Collecting lists of species, Measuring impacts, Early detection</t>
  </si>
  <si>
    <t>Marine</t>
  </si>
  <si>
    <t>Facebook, Twitter, Instagram</t>
  </si>
  <si>
    <t>Irregular</t>
  </si>
  <si>
    <t>Online training</t>
  </si>
  <si>
    <t>Online form, Facebook</t>
  </si>
  <si>
    <t>Hard drive of project organiser</t>
  </si>
  <si>
    <t>Alien</t>
  </si>
  <si>
    <t>Invasive</t>
  </si>
  <si>
    <t>Lesepsian migration</t>
  </si>
  <si>
    <t>6-10%</t>
  </si>
  <si>
    <t>1 - 50</t>
  </si>
  <si>
    <t>51 - 100</t>
  </si>
  <si>
    <t>Data</t>
  </si>
  <si>
    <t xml:space="preserve">PB 11/5: previous doubts over inclusion. Definite IAS focus, and species mapping is part of project objectives, with database responses clearly suggesting citizen science involvement (though their role is unclear from website). Aspects of project probably still being developed. </t>
  </si>
  <si>
    <t>PB note 11/5/20: NB the included projects have changed a bit since this sheet was generated, so this is out of date but is retained for now for reference.</t>
  </si>
  <si>
    <t>Line</t>
  </si>
  <si>
    <t>baduarte@fc.ul.pt</t>
  </si>
  <si>
    <t>Bernardo Duarte</t>
  </si>
  <si>
    <t>RESTAURA2020</t>
  </si>
  <si>
    <t>Reason 1</t>
  </si>
  <si>
    <t>Reason 2</t>
  </si>
  <si>
    <t>Reason 3</t>
  </si>
  <si>
    <t>Reason 4</t>
  </si>
  <si>
    <t>Reason 5</t>
  </si>
  <si>
    <t>Reason 6</t>
  </si>
  <si>
    <t>https://restaura2020.wixsite.com/homepage</t>
  </si>
  <si>
    <t>Reason 7</t>
  </si>
  <si>
    <t>Reason 8</t>
  </si>
  <si>
    <t>Count of Type of data collected</t>
  </si>
  <si>
    <t>Species presence and/or abundance</t>
  </si>
  <si>
    <t xml:space="preserve"> Changes in abundance</t>
  </si>
  <si>
    <t xml:space="preserve"> Collecting lists of species</t>
  </si>
  <si>
    <t xml:space="preserve"> Early detection</t>
  </si>
  <si>
    <t xml:space="preserve"> Measuring impacts</t>
  </si>
  <si>
    <t xml:space="preserve"> Evidence of impacts on biodiversity</t>
  </si>
  <si>
    <t xml:space="preserve"> Rate of spread</t>
  </si>
  <si>
    <t xml:space="preserve"> Experimental data</t>
  </si>
  <si>
    <t>This project aims to evaluate the impacts of Spartina patens in estuarine trophic webs and endemic flora as well as to develop non-chemical removal techniques for this invasive halophytic grass.</t>
  </si>
  <si>
    <t>Portugal</t>
  </si>
  <si>
    <t>Portuguese</t>
  </si>
  <si>
    <t>MARE - Centro de Ciências do Mar e do Ambiente</t>
  </si>
  <si>
    <t>Fishermen, School students, University students, Scientists, e.g, biologists, etc.</t>
  </si>
  <si>
    <t>Mapping of alien species, Monitoring or surveillance, Effectiveness of management, Engagement</t>
  </si>
  <si>
    <t>Species presence and/or abundance, Changes in abundance, Collecting lists of species, Measuring impacts, Evidence of impacts on biodiversity, Rate of spread, Experimental data</t>
  </si>
  <si>
    <t>No = not at all</t>
  </si>
  <si>
    <t>Website, Exhibitions, Live training, e.g., courses or workshops, School engagement</t>
  </si>
  <si>
    <t>Facebook, YouTube</t>
  </si>
  <si>
    <t>Available on request</t>
  </si>
  <si>
    <t>Actions with general public will be undertaken to collect volunteers</t>
  </si>
  <si>
    <t>Still under development</t>
  </si>
  <si>
    <t>Non-indigenous</t>
  </si>
  <si>
    <t>51-75%</t>
  </si>
  <si>
    <t>Scientific peer-reviewed</t>
  </si>
  <si>
    <t>this project was duplicated - see also #18 (excluded)</t>
  </si>
  <si>
    <t>emarchante@uc.pt</t>
  </si>
  <si>
    <t>Elizabete Marchante</t>
  </si>
  <si>
    <t>Invasoras.pt</t>
  </si>
  <si>
    <t>http://invasoras.pt/ (direct: http://invasoras.pt/mapa-de-avistamentos/)</t>
  </si>
  <si>
    <t>hmarchante@esac.pt</t>
  </si>
  <si>
    <t>This is a citizen-science platform for the mapping of invasive plants in Portugal. The main goals are to raise awareness about biological invasions, make known the different invasive plants in Portugal and stimulate public participation in the mapping of invasive species, the control of plant populations and education. For that, and to support the citizen-science platform, we have created comprehensive profiles of the invasive plant species in Portugal, and provide useful tools and information for managers, scientific community and anyone interested in the topic. In addition, we offer support material for environmental education, for teachers and informal action groups.</t>
  </si>
  <si>
    <t>Portuguese (and a part in English)</t>
  </si>
  <si>
    <t>Centre for Functional Ecology of University of Coimbra, and Escola Superior Agrária of Instituto Politécnico de Coimbra</t>
  </si>
  <si>
    <t>Public, Government</t>
  </si>
  <si>
    <t>Mapping of alien species</t>
  </si>
  <si>
    <t>Although not designed for such purpose, it may have impacts in prevention, early-detection and surveillance.</t>
  </si>
  <si>
    <t>Social media, Website, Live training, e.g., courses or workshops, School engagement, Talk, science fairs, sporadic colaboration with conventional media, etc.</t>
  </si>
  <si>
    <t>Facebook, Instagram</t>
  </si>
  <si>
    <t>Group training, e.g., workshops, courses, etc., They are not required to participate, but we do workshops, courses, etc.</t>
  </si>
  <si>
    <t>App (Android, iOS, Windows), Online form</t>
  </si>
  <si>
    <t>GBIF, Hard drive of project organiser, GoogleFusion Table</t>
  </si>
  <si>
    <t>Excel, CVS</t>
  </si>
  <si>
    <t>Measuring impacts</t>
  </si>
  <si>
    <t>Not applicable</t>
  </si>
  <si>
    <t>501 - 1000</t>
  </si>
  <si>
    <t>10001 - 50000</t>
  </si>
  <si>
    <t>https://drive.google.com/open?id=1gA1dclIJHPwoPCObiC8ksh9JMYOabPR_</t>
  </si>
  <si>
    <t>Scientific peer-reviewed, Scientific not peer-reviewed</t>
  </si>
  <si>
    <t>Descriptive, Data, Mixed</t>
  </si>
  <si>
    <t>Changes in abundance</t>
  </si>
  <si>
    <t>Collecting lists of species</t>
  </si>
  <si>
    <t>Early detection</t>
  </si>
  <si>
    <t>include, on H. halys, in agricultural ecosystem (previously 0 EXCLUDE, but check with Beta. Appears not to be alien-focused)</t>
  </si>
  <si>
    <t>Evidence of impacts on biodiversity</t>
  </si>
  <si>
    <t>Rate of spread</t>
  </si>
  <si>
    <t>Experimental data</t>
  </si>
  <si>
    <t>Plant health</t>
  </si>
  <si>
    <t>jloureiro@bot.uc.pt</t>
  </si>
  <si>
    <t>João Loureiro</t>
  </si>
  <si>
    <t>i9Kiwi</t>
  </si>
  <si>
    <t>https://i9kiwi.pt/</t>
  </si>
  <si>
    <t>jcosta@uc.pt</t>
  </si>
  <si>
    <t>Development of strategies that promote the sustainability of the kiwi production by promoting the creation of high value product. This project includes 2 CS initiatives: 1) ask citizens to report the presence of Halyomorpha halys (IAS); 2) ask farmers to collect insects in kiwi orchards in order to evaluate insect diversity (does not target IAS, but includes some species)</t>
  </si>
  <si>
    <t>Portuguse</t>
  </si>
  <si>
    <t>Instituto Pedro Nunes</t>
  </si>
  <si>
    <t>Private non-profit organisation</t>
  </si>
  <si>
    <t>Public</t>
  </si>
  <si>
    <t>Anyone (general public), Land managers, Scientists, e.g, biologists, etc.</t>
  </si>
  <si>
    <t>Insects</t>
  </si>
  <si>
    <t>Prevention, Monitoring or surveillance, Early warning, Awareness raising</t>
  </si>
  <si>
    <t>Species presence and/or abundance, Early detection</t>
  </si>
  <si>
    <t>Terrestrial, Urban</t>
  </si>
  <si>
    <t>If detected, governmental bodies should take action</t>
  </si>
  <si>
    <t>Newsletters, Social media, Website, Live training, e.g., courses or workshops</t>
  </si>
  <si>
    <t>Regular</t>
  </si>
  <si>
    <t>Group training, e.g., workshops, courses, etc., Online training</t>
  </si>
  <si>
    <t>Sent by email, Samples</t>
  </si>
  <si>
    <t>GBIF, Institutional repository, Hard drive of project organiser</t>
  </si>
  <si>
    <t>Alien, Non-native</t>
  </si>
  <si>
    <t>Casual, Invasive</t>
  </si>
  <si>
    <t>6 - 10</t>
  </si>
  <si>
    <t>Scientific not peer-reviewed, Science communication (i.e., aimed at the general public)</t>
  </si>
  <si>
    <t>Engagement, Descriptive</t>
  </si>
  <si>
    <t>requin.blanc@hotmail.it</t>
  </si>
  <si>
    <t>Paolo Balistreri</t>
  </si>
  <si>
    <t>Progetto Aliens in the sea</t>
  </si>
  <si>
    <t>https://www.facebook.com/Progetto-Aliens-in-the-sea-699458823457040/?ref=bookmarks</t>
  </si>
  <si>
    <t xml:space="preserve">“Aliens in the sea”, a scientific-cultural Project, has the aim of making aware citizens and the mainly interested stakeholders (fishermen, divers, boaters) to the biological invasion phenomenon through a correct information and active participation. </t>
  </si>
  <si>
    <t>Italy</t>
  </si>
  <si>
    <t>English and Italian</t>
  </si>
  <si>
    <t>UNIPA</t>
  </si>
  <si>
    <t>Exlusion criterium</t>
  </si>
  <si>
    <t>Mixed</t>
  </si>
  <si>
    <t xml:space="preserve"> Algae, plants, molluscs, crustaceans, fish, jellyfish</t>
  </si>
  <si>
    <t>None</t>
  </si>
  <si>
    <t>Sent by email, Facebook</t>
  </si>
  <si>
    <t>Ecological Metadata Language (EML)</t>
  </si>
  <si>
    <t>Cryptogenic, Introduced, Alien, Non-native, Non-indigenous</t>
  </si>
  <si>
    <t>Present, Absent, Established, Invasive</t>
  </si>
  <si>
    <t>Human health</t>
  </si>
  <si>
    <t>a.richter@creaf.uab.cat</t>
  </si>
  <si>
    <t>Alex Richter-Boix</t>
  </si>
  <si>
    <t>http://www.mosquitoalert.com/en/</t>
  </si>
  <si>
    <t>profs@mosquitoalert.com</t>
  </si>
  <si>
    <t>Citizen science to investigate and control mosquito-borne diseases. We bring citizens, scientists and managers of public health and the environment to fight against the tiger mosquito and the yellow fever mosquito, vectors of Zika, Dengue and Chikungunya.</t>
  </si>
  <si>
    <t>Spain</t>
  </si>
  <si>
    <t>Spanish, Catalan, English</t>
  </si>
  <si>
    <t>CEAB-CSIC, CREAF</t>
  </si>
  <si>
    <t>Public Research Organisation (PRO)</t>
  </si>
  <si>
    <t>Public, Private, Mixed</t>
  </si>
  <si>
    <t>Anyone (general public), School students</t>
  </si>
  <si>
    <t>Mapping of alien species, Monitoring or surveillance, Early warning, Effectiveness of management, Education, Testing scientific hypothesis</t>
  </si>
  <si>
    <t>early-detection, surveillance, bring citizens, scientists and managers of public health and the environment to fight against the tiger mosquito and the yellow fever mosquito, vectors of Zika, Dengue and Chikungunya</t>
  </si>
  <si>
    <t>Yes = this is the direct focus of the project</t>
  </si>
  <si>
    <t>Newsletters, Social media, Website, Exhibitions, Live training, e.g., courses or workshops, School engagement, Gaming</t>
  </si>
  <si>
    <t>Facebook, Twitter</t>
  </si>
  <si>
    <t>Group training, e.g., workshops, courses, etc., Online training, None</t>
  </si>
  <si>
    <t>app</t>
  </si>
  <si>
    <t>App (Android, iOS, Windows)</t>
  </si>
  <si>
    <t>GBIF, Zenodo, Hard drive of project organiser, GitHub, GitLab, www.MosquitoAlert.com</t>
  </si>
  <si>
    <t>Excel, CSV</t>
  </si>
  <si>
    <t>Yes, http://www.mosquitoalert.com/en/project/what-is-mosquito-alert/</t>
  </si>
  <si>
    <t>Introduced, Alien, Non-native</t>
  </si>
  <si>
    <t>Established, Invasive</t>
  </si>
  <si>
    <t>&gt; 10000</t>
  </si>
  <si>
    <t>5001 - 10000</t>
  </si>
  <si>
    <t>11 - 20</t>
  </si>
  <si>
    <t>info@iastracker.ic5team.org</t>
  </si>
  <si>
    <t>ARIADNA JUST</t>
  </si>
  <si>
    <t>IASTRACKER</t>
  </si>
  <si>
    <t>0 General portal collecting biodv info - probably to keep out</t>
  </si>
  <si>
    <t>iastracker.ic5team.org</t>
  </si>
  <si>
    <t>no</t>
  </si>
  <si>
    <t>h.e.groenewoud@nvwa.nl</t>
  </si>
  <si>
    <t>Henk Groenewoud</t>
  </si>
  <si>
    <t>Netwerk Ecologische Monitoring</t>
  </si>
  <si>
    <t>http://www.netwerkecologischemonitoring.nl/</t>
  </si>
  <si>
    <t>IASTracker is an application used to locate Invasive Allien Species, whether animal or plants, focused in Catalonia and Belgium but scalable to any other region of Europe. The user feedback can be managed, view, and controlled from the geoportal IAStracker.</t>
  </si>
  <si>
    <t>Macro-regional (i.e. multiple countries)</t>
  </si>
  <si>
    <t>Spain, Belgium, Mexico</t>
  </si>
  <si>
    <t>English, Spanish, French, Catalan</t>
  </si>
  <si>
    <t>IC5TEAM</t>
  </si>
  <si>
    <t>Plants, Mammals, Birds, Insects</t>
  </si>
  <si>
    <t>Mapping of alien species, Education, Awareness raising</t>
  </si>
  <si>
    <t>Social media, Live training, e.g., courses or workshops</t>
  </si>
  <si>
    <t>ruud.bink@wur.nl</t>
  </si>
  <si>
    <t>GBIF, Institutional repository</t>
  </si>
  <si>
    <t>POSTGRES</t>
  </si>
  <si>
    <t>Monitoring of species</t>
  </si>
  <si>
    <t>Present</t>
  </si>
  <si>
    <t>Netherlands</t>
  </si>
  <si>
    <t>1001 - 2000</t>
  </si>
  <si>
    <t>Wageningen University (coördination)</t>
  </si>
  <si>
    <t>Before 1990</t>
  </si>
  <si>
    <t>Scientists, e.g, biologists, etc., National nature reporting</t>
  </si>
  <si>
    <t>Mapping of alien species, Monitoring or surveillance, Reporting</t>
  </si>
  <si>
    <t>Species presence and/or abundance, Changes in abundance, Collecting lists of species, Rate of spread</t>
  </si>
  <si>
    <t>anast@uevora.pt</t>
  </si>
  <si>
    <t xml:space="preserve">Species data are collected especially for policy purposes such as planning, reporting, issuing permits, monitoring results of policies </t>
  </si>
  <si>
    <t>Pedro Anastácio</t>
  </si>
  <si>
    <t>FRISK</t>
  </si>
  <si>
    <t>https://www.facebook.com/FRISKPROJECT/</t>
  </si>
  <si>
    <t>Unknown, Species organizations involve citizens for monitoring of their species / groups</t>
  </si>
  <si>
    <t>Advanced</t>
  </si>
  <si>
    <t>fmvribeiro@gmail.com</t>
  </si>
  <si>
    <t>A project dedicated to the dispersal routes of freshwater invasive fish species</t>
  </si>
  <si>
    <t>Portugal, Spain</t>
  </si>
  <si>
    <t>FcienciasID</t>
  </si>
  <si>
    <t>Experts, Peers (citizens)</t>
  </si>
  <si>
    <t>Direct contact with coördinators of species organizations</t>
  </si>
  <si>
    <t>Anyone (general public), Fishermen, School students, University students, Scientists, e.g, biologists, etc.</t>
  </si>
  <si>
    <t>fish</t>
  </si>
  <si>
    <t xml:space="preserve">App (Android, iOS, Windows), Online form, paper forms </t>
  </si>
  <si>
    <t>Mapping of alien species, Prevention, Monitoring or surveillance, Early warning, Testing scientific hypothesis</t>
  </si>
  <si>
    <t>Species presence and/or abundance, Collecting lists of species, Early detection, Rate of spread</t>
  </si>
  <si>
    <t>National repository</t>
  </si>
  <si>
    <t>Freshwater</t>
  </si>
  <si>
    <t>Unknown, see https://www.ndff.nl/ for the data management organization</t>
  </si>
  <si>
    <t>Introduced, Non-native</t>
  </si>
  <si>
    <t>Hard drive of project organiser, Unknown</t>
  </si>
  <si>
    <t>Present, Invasive</t>
  </si>
  <si>
    <t>not applicable</t>
  </si>
  <si>
    <t>Not applicable, information from the NDFF database is used for nearly all government nature reports</t>
  </si>
  <si>
    <t>At http://www.netwerkecologischemonitoring.nl/organisatie you see the organisation of the monitoring. 
At http://www.soortennl.nl/soortenorganisaties you see the species organisations with &gt;15.000 volunteers. 
At https://www.ndff.nl/overdendff/ you see the database with over 100.000.000 sigthings of species, amongst which IAS.</t>
  </si>
  <si>
    <t>esraper@yahoo.com</t>
  </si>
  <si>
    <t>Esra Per</t>
  </si>
  <si>
    <t>The Parakeet Census of Turkey</t>
  </si>
  <si>
    <t>http://trpapagansayimlari.blogspot.com/</t>
  </si>
  <si>
    <t>0 EXCLUDE General biodiversity portal, not alien-focused</t>
  </si>
  <si>
    <t>www.waarneming.nl</t>
  </si>
  <si>
    <t>The aim of this research is to determine parakeet population, habitat selection and interaction between other species</t>
  </si>
  <si>
    <t>Turkey</t>
  </si>
  <si>
    <t>Turkish</t>
  </si>
  <si>
    <t>-</t>
  </si>
  <si>
    <t>I am scientist at the Gazi University but this is my independent project</t>
  </si>
  <si>
    <t>Birds</t>
  </si>
  <si>
    <t>Mapping of alien species, Monitoring or surveillance, Early warning, Awareness raising</t>
  </si>
  <si>
    <t>Species presence and/or abundance, Changes in abundance, Collecting lists of species, Measuring impacts, Evidence of impacts on biodiversity, Early detection, Rate of spread, Experimental data</t>
  </si>
  <si>
    <t>monitoring, prevention, early-detection, surveillance</t>
  </si>
  <si>
    <t>https://waarneming.nl/</t>
  </si>
  <si>
    <t>Newsletters, Social media, Website, Newspapers and TV news, Bird watching networks</t>
  </si>
  <si>
    <t>Facebook, YouTube, blogger,</t>
  </si>
  <si>
    <t>Direct project registration (e.g. website), Google Docs, phone</t>
  </si>
  <si>
    <t>Online form, Sent by email</t>
  </si>
  <si>
    <t>IUCN Standards</t>
  </si>
  <si>
    <t>info@waarneming.nl</t>
  </si>
  <si>
    <t>There is no license</t>
  </si>
  <si>
    <t>Database set up by volunteers for all to share sightings in nature</t>
  </si>
  <si>
    <t>Introduced</t>
  </si>
  <si>
    <t>Present, Established</t>
  </si>
  <si>
    <t xml:space="preserve">They have established breeding populations  as a consequence of intentional or accidental introductions. This alien species has been widely traded as a cage bird in Turkey, which has obviously provided a greater opportunity for its accidental escapes. </t>
  </si>
  <si>
    <t>Nederlands</t>
  </si>
  <si>
    <t>https://drive.google.com/open?id=1pX4h8kQcjj6ld9ry1fOR-DL3Lfc6ZVpQ</t>
  </si>
  <si>
    <t>Non native parakeets are illegally collected from the wild in Ankara, İzmir, and İstanbul. Some people are want to sell as a pet. Therefore citizens can not reach the data set.</t>
  </si>
  <si>
    <t>mapping of all species, sharing sightings in nature</t>
  </si>
  <si>
    <t>IAS sightings are used for rapid response actions</t>
  </si>
  <si>
    <t>designed and operated by citizens</t>
  </si>
  <si>
    <t>hanna.koivula@ymparisto.fi</t>
  </si>
  <si>
    <t>Hanna Koivula</t>
  </si>
  <si>
    <t>Newsletters, Social media, Website</t>
  </si>
  <si>
    <t>DIAS</t>
  </si>
  <si>
    <t>https://www.kareliacbc.fi/en/projects/collaborative-data-and-information-exchange-network-managing-invasive-alien-species-dias</t>
  </si>
  <si>
    <t>Experts, Peers (citizens), Automated systems</t>
  </si>
  <si>
    <t>The project targets creating a sustainable, interoperable and open data and knowledge exchange network between Finnish and Karelian government officials, researchers and citizen (NGOs), to tackle threats posed by invasive alien species.</t>
  </si>
  <si>
    <t>Finland, Russia</t>
  </si>
  <si>
    <t>Unknown, Alle data are sent to National nature database NDFF https://www.ndff.nl/</t>
  </si>
  <si>
    <t>Finnish, Russian, English</t>
  </si>
  <si>
    <t>Finnish Environment Institute (SYKE)</t>
  </si>
  <si>
    <t>Governmental Organisation (GO)</t>
  </si>
  <si>
    <t>Public, EU ENI CBC programme</t>
  </si>
  <si>
    <t>Anyone (general public), Land managers, School students, Scientists, e.g, biologists, etc.</t>
  </si>
  <si>
    <t>Mapping of alien species, Monitoring or surveillance, Early warning, Engagement, Awareness raising</t>
  </si>
  <si>
    <t>Species presence and/or abundance, Measuring impacts, success of eradication methods</t>
  </si>
  <si>
    <t>On Finnish side IAS-portal was developed in collaboration with CS, but in Russia the project builds ict-infra leaning on Finnish experiences, but with scientists only</t>
  </si>
  <si>
    <t>Social media, Live training, e.g., courses or workshops, School engagement</t>
  </si>
  <si>
    <t>Facebook, Twitter, VKontacte in Russia</t>
  </si>
  <si>
    <t>Group training, e.g., workshops, courses, etc., Short info about the area and target species before eradication events</t>
  </si>
  <si>
    <t>Online form, Sent by mail (paper sheet), In Russia experts collect the data from participants on paper (to be added later to the newly eshtablished IPT)</t>
  </si>
  <si>
    <t>Yes, https://laji.fi/en/about/43 (In Russia there is no plan or policy yet)</t>
  </si>
  <si>
    <t>Not applicable, data is stored in the NDFF, that data is used for nearly all government nature reports</t>
  </si>
  <si>
    <t xml:space="preserve">Within waarneming.nl we created a special IAS project. </t>
  </si>
  <si>
    <t>The questions worked well inside EU, but collaboration cross the outer border of EU is challenging and many times it would be essential to create knowledge exchange between EU- and non-EU countries. Europe is geographically larger than EU...</t>
  </si>
  <si>
    <t>0 EXCLUDE Biodiversity portal for ladybirds, not alien-focused</t>
  </si>
  <si>
    <t>renatocalado@hotmail.com</t>
  </si>
  <si>
    <t>Hugo Renato Marques Garcia Calado</t>
  </si>
  <si>
    <t>Joaninhas dos Açores</t>
  </si>
  <si>
    <t>Biodiversity, Plant health</t>
  </si>
  <si>
    <t>daniel.doerler@boku.ac.at</t>
  </si>
  <si>
    <t>Daniel Dörler</t>
  </si>
  <si>
    <t>https://joaninhasdosacores.wordpress.com/</t>
  </si>
  <si>
    <t>BOKUArion</t>
  </si>
  <si>
    <t>https://forschung.boku.ac.at/fis/suchen.projekt_uebersicht?sprache_in=en&amp;ansicht_in=&amp;menue_id_in=300&amp;id_in=10437</t>
  </si>
  <si>
    <t>joaninhasdosacores@outlook.com</t>
  </si>
  <si>
    <t>This project aims to establish a link between the common citizen and the scientific community regarding the research of the Ladybirds existing in the Azores Islands</t>
  </si>
  <si>
    <t>Português</t>
  </si>
  <si>
    <t>Santa Casa da Misericórdia da Ribeira Grande</t>
  </si>
  <si>
    <t>The project investigated aspects regarding the ecology and the effect of past and current rainfall and temperature on the abundance of Arion vulgaris assessed via a citizen science approach in Austrian gardens.</t>
  </si>
  <si>
    <t>Austria</t>
  </si>
  <si>
    <t>German and English</t>
  </si>
  <si>
    <t>University of Natural Resources and Life Sciences, Vienna</t>
  </si>
  <si>
    <t>Mapping of alien species, Prevention, Monitoring or surveillance, Early warning, Engagement, Education, Fun</t>
  </si>
  <si>
    <t>Species presence and/or abundance, Collecting lists of species, Early detection</t>
  </si>
  <si>
    <t>University students</t>
  </si>
  <si>
    <t>Molluscs</t>
  </si>
  <si>
    <t>Mapping of alien species, Testing scientific hypothesis</t>
  </si>
  <si>
    <t>Species presence and/or abundance, Changes in abundance</t>
  </si>
  <si>
    <t>Urban</t>
  </si>
  <si>
    <t>Social media, Website, Exhibitions, BioBlitzes, School engagement</t>
  </si>
  <si>
    <t>Live training, e.g., courses or workshops, direct e-mail contact</t>
  </si>
  <si>
    <t>data collection at 3 times during the study period (spring of the years 2014 and 2015); each participant had to assess slug numbers on three different days in their gardens by using artifical slug shelters that were inspected after two days</t>
  </si>
  <si>
    <t>Group training, e.g., workshops, courses, etc., Support by e-mail</t>
  </si>
  <si>
    <t>BioBlitz</t>
  </si>
  <si>
    <t>Import of earth and plant materials and the use of timber packaging</t>
  </si>
  <si>
    <t>76-100%</t>
  </si>
  <si>
    <t>Facebook, Direct project registration (e.g. website)</t>
  </si>
  <si>
    <t>https://drive.google.com/open?id=1YqZVwQcqn3fu4gCbWYjJ38uR_zNb3d6t</t>
  </si>
  <si>
    <t>Hard drive of project organiser, Google MyMaps</t>
  </si>
  <si>
    <t>Excel, CSV file</t>
  </si>
  <si>
    <t>Darwin Core, Unknown</t>
  </si>
  <si>
    <t>Established, Casual, Naturalized, Invasive</t>
  </si>
  <si>
    <t>Scientific peer-reviewed, Report to the funder, press releases in media outlets</t>
  </si>
  <si>
    <t>Descriptive, Data</t>
  </si>
  <si>
    <t>https://drive.google.com/open?id=1m4MhDFMvbHlkSxXq6q9s0pCwVkvQ3Aei</t>
  </si>
  <si>
    <t>PB 21/4: Include as long as OK in terms of being hosted on iNaturalist but with its own project page (but with v. little info. except a species list). Same issue with project 25.</t>
  </si>
  <si>
    <t>jurga.motiejunaite@gamtc.lt</t>
  </si>
  <si>
    <t>Jurga Motiejūnaitė</t>
  </si>
  <si>
    <t>Lietuvos invaziniai augalai</t>
  </si>
  <si>
    <t>https://www.inaturalist.org/projects/lietuvos-invaziniai-augalai</t>
  </si>
  <si>
    <t>Science communication (i.e., aimed at the general public), Not applicable</t>
  </si>
  <si>
    <t>https://www.inaturalist.org/people/tomasp</t>
  </si>
  <si>
    <t>monica.mt.moura@uac.pt</t>
  </si>
  <si>
    <t>Data is collected following the official list of plant species considered as invasive in Lithuania (https://www.e-tar.lt/portal/lt/legalAct/TAR.7B6390A69C91/awhZwCpsxs). Project is based on inaturalist.org platform.</t>
  </si>
  <si>
    <t>Mónica Moura</t>
  </si>
  <si>
    <t>Lithuania</t>
  </si>
  <si>
    <t>eAZFlora</t>
  </si>
  <si>
    <t>Lithuanian and English (in parts)</t>
  </si>
  <si>
    <t>eAZFlora.org</t>
  </si>
  <si>
    <t>inaturalist.org</t>
  </si>
  <si>
    <t>Social media platform</t>
  </si>
  <si>
    <t>eAZFlora aims to develop an electronic vascular flora of the Azores while using cutting-edge digital tools for species distribution and identification.</t>
  </si>
  <si>
    <t>Mapping of alien species, Engagement, Education, Fun</t>
  </si>
  <si>
    <t>Species presence and/or abundance, Collecting lists of species</t>
  </si>
  <si>
    <t>PT and EN</t>
  </si>
  <si>
    <t>Active local users of inaturalist.org join voluntarily, or data of the species list is collected automatically from an account of any any user</t>
  </si>
  <si>
    <t>Universidade dos Açores / Fundação Gaspar Frutuoso</t>
  </si>
  <si>
    <t>Any inaturalist.org user can actively register as the project participant or their data will be collected automatically</t>
  </si>
  <si>
    <t>Anyone (general public), School students, Scientists, e.g, biologists, etc.</t>
  </si>
  <si>
    <t>Education, Awareness raising, Testing scientific hypothesis</t>
  </si>
  <si>
    <t>Standard phrase used by inaturalist.org: introduced, arrived in the region via anthropogenic means</t>
  </si>
  <si>
    <t>Terrestrial</t>
  </si>
  <si>
    <t>This project is the only viable citizen science project dealing with alien/invasive species in Lithuania. One or two other existing CS projects deal with species recording and do not target on or even largely deal with alien or invasive organisms.</t>
  </si>
  <si>
    <t>Social media, Website, App</t>
  </si>
  <si>
    <t>(Previous comment: 1 INCLUDE as strong link to ash dieback)</t>
  </si>
  <si>
    <t>Michelle.Cleary@slu.se</t>
  </si>
  <si>
    <t>Save the Ash</t>
  </si>
  <si>
    <t xml:space="preserve">https://internt.slu.se/nyheter-originalen/2019/5/hjalp-till-att-radda-asken/?utm_campaign=unspecified&amp;fbclid=IwAR3guwmDXIulzxTuU5kvOSX_Y1BWk78dYdFVJobd0r_Lmeb4usZ1lhm8dy8 </t>
  </si>
  <si>
    <t>Yes, TOS under development</t>
  </si>
  <si>
    <t>TOS under development</t>
  </si>
  <si>
    <t>We are seeking help fromt the public to report on the location of healthy ash trees. The information provided by the public is followed up with site visits and selected trees are added to our national inventory database of resistant ash genotypes. Material is subsequently sampled, propagated and tested in clonal field trials to screen for resistance against the ash dieback pathogen Hymenoscyphus fraxineus.</t>
  </si>
  <si>
    <t>The project is ongoing</t>
  </si>
  <si>
    <t>Sweden</t>
  </si>
  <si>
    <t>Swedish</t>
  </si>
  <si>
    <t>Skogforsk and the Swedish University of Agricultural Sciences</t>
  </si>
  <si>
    <t>University (U), Public Research Organisation (PRO)</t>
  </si>
  <si>
    <t>The apps (android and ios) are being completed, as well as the web platform. We expect to have these resources operational for beta testing by November.</t>
  </si>
  <si>
    <t>Private</t>
  </si>
  <si>
    <t>Effectiveness of management, Awareness raising, finding resistance in the population of European ash trees affected by the alien invasive fungal pathogen causing ash dieback</t>
  </si>
  <si>
    <t xml:space="preserve">the work is relevant for policies and responsible agencies when it comes to invasive species management as it affects native biodiversity. ash is a keystone species in temperate broadleaf forest and currently there are hundreds of other species that are threatened because they have large reliance on ash in supporting their critical habitat. </t>
  </si>
  <si>
    <t>N/A = question not applicable</t>
  </si>
  <si>
    <t>PB 20/4: see project 5. (Previous note: EXCLUDE - REPEATED)</t>
  </si>
  <si>
    <t>Sent by email</t>
  </si>
  <si>
    <t>Institutional repository, Hard drive of project organiser</t>
  </si>
  <si>
    <t>Introduced, Alien</t>
  </si>
  <si>
    <t>plants for planting</t>
  </si>
  <si>
    <t>no for #18 - included as #5</t>
  </si>
  <si>
    <t>tarsommc@gmail.com</t>
  </si>
  <si>
    <t>TARSO COSTA</t>
  </si>
  <si>
    <t>INVASORAS.PT</t>
  </si>
  <si>
    <t>sofie.desmedt@plantentuinmeise.be</t>
  </si>
  <si>
    <t>Sofie De Smedt</t>
  </si>
  <si>
    <t>Groene Pioniers</t>
  </si>
  <si>
    <t>http://invasoras.pt/</t>
  </si>
  <si>
    <t>www.groenepioniers.be</t>
  </si>
  <si>
    <t>tarso.costa@spea.pt</t>
  </si>
  <si>
    <t>Our objective is to alert to the problem of biological invasions, to make known invasive plants at national level and to stimulate active public participation both in mapping these species and in control and dissemination activities.</t>
  </si>
  <si>
    <t>portuguese and english</t>
  </si>
  <si>
    <t>Escola Superior Agrária de Coimbra e Centro de Ecologia Funcional da Universidade de Coimbra</t>
  </si>
  <si>
    <t>sofie.meeus@plantentuinmeise.be</t>
  </si>
  <si>
    <t xml:space="preserve">Using our herbarium specimens to increase awareness on invasive plant species and increase the quality and quantity of data on invasive plant species using our crowdsourcing platform www.doedat.be. Next to this we want to inform people (school children and working people) by organising visiteering events and a Bioblitz. </t>
  </si>
  <si>
    <t>Belgium</t>
  </si>
  <si>
    <t>Mapping of alien species, Prevention, Awareness raising</t>
  </si>
  <si>
    <t>Dutch</t>
  </si>
  <si>
    <t>Meise Botanic Garden</t>
  </si>
  <si>
    <t>early-detection</t>
  </si>
  <si>
    <t>Social media, Website, Live training, e.g., courses or workshops</t>
  </si>
  <si>
    <t>Prevention, Monitoring or surveillance, Engagement, Education, Awareness raising, Fun</t>
  </si>
  <si>
    <t>Data will be used for monitoring through Trias project funded by the Belgian Science Policy office</t>
  </si>
  <si>
    <t>Social media, Website, Live training, e.g., courses or workshops, BioBlitzes, School engagement</t>
  </si>
  <si>
    <t>Facebook, Twitter, YouTube, Instagram</t>
  </si>
  <si>
    <t>plataform on app and/or website</t>
  </si>
  <si>
    <t>BioBlitz, Group training, e.g., workshops, courses, etc., Online training</t>
  </si>
  <si>
    <t>Engagement</t>
  </si>
  <si>
    <t>PB 12/5: Beta had no response from organiser and thinks exclude, as does Elena. PB 21/4: Not CS? Check with Beta. Alien focus (alien plants affecting rare bird) and public dissemination but no clear CS involvement obvious. Tim: I think no</t>
  </si>
  <si>
    <t>rui.botelho@spea.pt</t>
  </si>
  <si>
    <t>Rui Botelho</t>
  </si>
  <si>
    <t>LIFE+ Terras do Priolo</t>
  </si>
  <si>
    <t>http://life-terrasdopriolo.spea.pt/pt/</t>
  </si>
  <si>
    <t>acores@spea.pt</t>
  </si>
  <si>
    <t>O Projeto LIFE+ Terras do Priolo (LIFE12 NAT/PT/000527)  Pretende contribuir para a gestão do sítios da Rede Natura 2000 ZPE Pico da Vara/ Ribeira do Guilherme e SIC Serra da Tronqueira/Planalto dos Graminhais, através da implementação de medidas inovadoras de gestão e restauração da floresta Laurissilva, monitorização da biodiversidade, gestão do uso público, sensibilização das populações e promoção da sustentabilidade a longo prazo.</t>
  </si>
  <si>
    <t>Portugês/Inglês</t>
  </si>
  <si>
    <t>Sociedade Portuguesa para o Estudo das Aves</t>
  </si>
  <si>
    <t>Fundos Europeus - Programa LIFE</t>
  </si>
  <si>
    <t>Plants, Birds</t>
  </si>
  <si>
    <t>Mapping of alien species, Prevention, Effectiveness of management, Awareness raising</t>
  </si>
  <si>
    <t>Species presence and/or abundance, Changes in abundance, Measuring impacts, Evidence of impacts on biodiversity</t>
  </si>
  <si>
    <t>Criação de Estratégia para o combate a Espécies Exóticas Invasoras na ZPE Pico da Vara/ Ribeira do Guilherme; Mapa de riscos de invasão; etc (para mais informação ver o site do projeto)</t>
  </si>
  <si>
    <t>Newsletters, Social media, Website, Exhibitions, Live training, e.g., courses or workshops, School engagement</t>
  </si>
  <si>
    <t>Facebook, YouTube, Instagram</t>
  </si>
  <si>
    <t>Facebook, Google account, Direct project registration (e.g. website)</t>
  </si>
  <si>
    <t>App (Android, iOS, Windows), Sent by email, Facebook</t>
  </si>
  <si>
    <t>IUCN Standards, Inspire Directive</t>
  </si>
  <si>
    <t>26-50%</t>
  </si>
  <si>
    <t>Science communication (i.e., aimed at the general public)</t>
  </si>
  <si>
    <t>karel.chobot@nature.cz</t>
  </si>
  <si>
    <t>Karel Chobot</t>
  </si>
  <si>
    <t>BioLog</t>
  </si>
  <si>
    <t>biolog.nature.cz</t>
  </si>
  <si>
    <t>Mobile app (and web interface) for species recording  aiming at public.</t>
  </si>
  <si>
    <t>Czech Republic</t>
  </si>
  <si>
    <t>Czech / English</t>
  </si>
  <si>
    <t>Nature Conservation Agency of the Czech Republic</t>
  </si>
  <si>
    <t>Anyone (general public), University students, Scientists, e.g, biologists, etc.</t>
  </si>
  <si>
    <t>Monitoring or surveillance</t>
  </si>
  <si>
    <t>The collected data are after expert revision incorporated into national biodiversity database, therefore available to all relevant authorities. NCA CZ itself is responsible for monitoring and surveillance of species</t>
  </si>
  <si>
    <t xml:space="preserve">The species needs to determined/recognized. </t>
  </si>
  <si>
    <t>Every type of frequence possible</t>
  </si>
  <si>
    <t>Oracle Dbase</t>
  </si>
  <si>
    <t>Descriptive</t>
  </si>
  <si>
    <t xml:space="preserve">0 EXCLUDE http://www.natrix.org.pl/ This is Association of Polish Herpetologists. You have to pay fee, and no records are visible. There are focused mainly on native species.
</t>
  </si>
  <si>
    <t>Google account, Direct project registration (e.g. website)</t>
  </si>
  <si>
    <t>App (Android, iOS, Windows), www.doedat.be</t>
  </si>
  <si>
    <t>institutional database</t>
  </si>
  <si>
    <t>we have a data management plan but it is not publicly available</t>
  </si>
  <si>
    <t>Established, Naturalized, Invasive</t>
  </si>
  <si>
    <t>human, horticulture, transport,...</t>
  </si>
  <si>
    <t>karolina.bacela@biol.uni.lodz.pl</t>
  </si>
  <si>
    <t>Karolina Bacela-Spychalska</t>
  </si>
  <si>
    <t>Natrix</t>
  </si>
  <si>
    <t>https://www.facebook.com/groups/przyrodnicy/permalink/1834305416599287/</t>
  </si>
  <si>
    <t>(Previous comment: 1 First of two entries for this project (lines 23 and 78) but some responses vary, so check)</t>
  </si>
  <si>
    <t>pkleitou@merresearch.com</t>
  </si>
  <si>
    <t>Periklis Kleitou</t>
  </si>
  <si>
    <t>RELIONMED</t>
  </si>
  <si>
    <t>http://relionmed.eu/</t>
  </si>
  <si>
    <t>m.me/th.natrix</t>
  </si>
  <si>
    <t>info@merresearch.com</t>
  </si>
  <si>
    <t>The project aims to tackle the invasive lionfish in the Mediterranean through the direct participation and engagement of the public</t>
  </si>
  <si>
    <t>Cyprus</t>
  </si>
  <si>
    <t>English</t>
  </si>
  <si>
    <t>Marine and Environmental Research (MER) Lab, Enalia Physis, University of Cyprus, University of Plymouth, Department of Fisheries and Marine Research (CY)</t>
  </si>
  <si>
    <t>Includes all. Coordinator entity is a University</t>
  </si>
  <si>
    <t>LIFE EU</t>
  </si>
  <si>
    <t>Fishermen, Scientists, e.g, biologists, etc., DIVERS</t>
  </si>
  <si>
    <t>Lionfish (Marine fin-fish)</t>
  </si>
  <si>
    <t>Mapping of alien species, Prevention, Monitoring or surveillance, Early warning, Effectiveness of management, Engagement, Education, Awareness raising, Testing scientific hypothesis</t>
  </si>
  <si>
    <t>Monitoring of Herpetofauna of Wroclaw city including alien species.</t>
  </si>
  <si>
    <t>City</t>
  </si>
  <si>
    <t>Surveillance and early-detection (depending on the reporters area)</t>
  </si>
  <si>
    <t>Newsletters, Social media, Website, Exhibitions, Live training, e.g., courses or workshops</t>
  </si>
  <si>
    <t>Towarzystwo Herpetologiczne NATRIX</t>
  </si>
  <si>
    <t>App (Android, iOS, Windows), Online form, Sent by email, Sent by mail (paper sheet), Facebook, Other social media, Samples, Telephone, message, direct communication</t>
  </si>
  <si>
    <t>Excel, The platform has just being developed - so no real data exist yet</t>
  </si>
  <si>
    <t>Reptilia, Amphibia</t>
  </si>
  <si>
    <t>Mapping of alien species, Monitoring or surveillance, Education</t>
  </si>
  <si>
    <t>Not applicable, The citizen-science monitoring scheme has just being developed so no adequate information exist</t>
  </si>
  <si>
    <t>RELIONMED has just started collecting sighting data from citizens so no adequate information exist for this scheme. In Cyprus we conduct also a general citizen-science program as part of iSea's project (Is it alien? Share it!!!) which collects data for rare or non-indigenous species of Cyprus and Greece. Although I am one of the main researchers of the project, I will ask the coordinator to complete the survey for that one.</t>
  </si>
  <si>
    <t>ioannis.giovos@isea.com.gr</t>
  </si>
  <si>
    <t>Ioannis Giovos</t>
  </si>
  <si>
    <t>Is it Alien to you? Share it!!!</t>
  </si>
  <si>
    <t>https://isea.com.gr/activities/programs/alien-species/is-it-alien-to-you-share-it/?lang=en</t>
  </si>
  <si>
    <t>Peers (citizens), Unknown</t>
  </si>
  <si>
    <t>Institutional repository</t>
  </si>
  <si>
    <t>https://drive.google.com/open?id=1pDj6ZVPZrcOo_2p9OqtLR8cuhnVI1TME, https://drive.google.com/open?id=1dl4IhpLRFWFum4KYPXUUqQ_G7rYZcmSJ</t>
  </si>
  <si>
    <t>info@isea.com.gr</t>
  </si>
  <si>
    <t>The project aims to monitor the expansion and establishment of aquatic alien species in Greece and neighbouring countries of the Eastern Mediterranean. The observations are provided by non-experts while a team of experts performs the identifications.</t>
  </si>
  <si>
    <t>Cyprus, Greece</t>
  </si>
  <si>
    <t>Greek, English</t>
  </si>
  <si>
    <t>iSea</t>
  </si>
  <si>
    <t>release by aquaria owners</t>
  </si>
  <si>
    <t>Anyone (general public), Fishermen, University students, Scientists, e.g, biologists, etc., Divers, Photographers</t>
  </si>
  <si>
    <t>Mapping of alien species, Monitoring or surveillance, Early warning, Engagement, Education, Awareness raising</t>
  </si>
  <si>
    <t>Freshwater, Marine</t>
  </si>
  <si>
    <t>Social media, Website, BioBlitzes</t>
  </si>
  <si>
    <t>BioBlitz, Online training</t>
  </si>
  <si>
    <t>Online form, Sent by email, Facebook, Other social media, Samples</t>
  </si>
  <si>
    <t>https://drive.google.com/open?id=165mshX8rka2PvMU1AdF0vWFzL6ZT0TmE</t>
  </si>
  <si>
    <t>0 EXCLUDE? Appears to be general biodiversity portal but website doesn't translate</t>
  </si>
  <si>
    <t>oferst@npa.org.il</t>
  </si>
  <si>
    <t>Ofer Steinitz</t>
  </si>
  <si>
    <t>TIMI - Integrated information system for conservation management  - Israel Nature and Parks Authorityfield data collection and analysis package  (INPA) - field</t>
  </si>
  <si>
    <t>timi.parks.org.il</t>
  </si>
  <si>
    <t>Information system for conservation management based on field data collection application (CyberTracker) and analysis package (developed in the INPA). Among other conservation relevant issues, alien invasive species are documented in the database.</t>
  </si>
  <si>
    <t>Engagement, Mixed</t>
  </si>
  <si>
    <t>Israel</t>
  </si>
  <si>
    <t>Hebrew</t>
  </si>
  <si>
    <t>Israel Nature and Parks Authority (INPA)</t>
  </si>
  <si>
    <t>Government, The field data collection application is funded by donors</t>
  </si>
  <si>
    <t>PB 21/4: similar issue as project 20</t>
  </si>
  <si>
    <t>Land managers, Scientists, e.g, biologists, etc., Rangers, Eradication team</t>
  </si>
  <si>
    <t>thomgevans@gmail.com</t>
  </si>
  <si>
    <t>Tom Evans</t>
  </si>
  <si>
    <t>eBird Aliens</t>
  </si>
  <si>
    <t>Mapping of alien species, Monitoring or surveillance, Early warning, Effectiveness of management</t>
  </si>
  <si>
    <t>A collaboration with eBird to engage with the global birdwatching community to monitor the distribution of alien birds</t>
  </si>
  <si>
    <t xml:space="preserve">Species presence and/or abundance, Changes in abundance, Early detection, Rate of spread, Documentation of management methods, management success  </t>
  </si>
  <si>
    <t>Global</t>
  </si>
  <si>
    <t>United Kingdom, United States of America</t>
  </si>
  <si>
    <t>Free University of Berlin</t>
  </si>
  <si>
    <t xml:space="preserve">For priority species the records reported within the project are highly relevant to policy because they are followed by direct management action for early detection, for mapping distribution for planning and prioritizing eradication actions and for monitoring management success. </t>
  </si>
  <si>
    <t>The project was designed by scientists, IT personnel, UX experts closely working with land managers, rangers and eradication team.</t>
  </si>
  <si>
    <t>Birdwatchers</t>
  </si>
  <si>
    <t xml:space="preserve">Mixed advanced and limited </t>
  </si>
  <si>
    <t>Mixed regular, irregular and one-off</t>
  </si>
  <si>
    <t xml:space="preserve">Count of Country </t>
  </si>
  <si>
    <t>Mapping of alien species, Monitoring or surveillance, Engagement, Education, Awareness raising</t>
  </si>
  <si>
    <t>Mixed countries?</t>
  </si>
  <si>
    <t>Species presence and/or abundance, Changes in abundance, Collecting lists of species, Early detection, Rate of spread</t>
  </si>
  <si>
    <t>Multiple</t>
  </si>
  <si>
    <t>mix</t>
  </si>
  <si>
    <t>The project is still being developed but it is a collaboration with eBird (a citizen science organisation)</t>
  </si>
  <si>
    <t>United Kingdom</t>
  </si>
  <si>
    <t>To be decided</t>
  </si>
  <si>
    <t>France</t>
  </si>
  <si>
    <t>eBird</t>
  </si>
  <si>
    <t>Croatia</t>
  </si>
  <si>
    <t>Hungary</t>
  </si>
  <si>
    <t>Apologies for all the ‘unknown’ responses! This project is still being developed and has yet to receive formal funding.</t>
  </si>
  <si>
    <t>Romania</t>
  </si>
  <si>
    <t>Bulgaria</t>
  </si>
  <si>
    <t>include, IAS focus, anglers etc. (previously 0 EXCLUDE http://projekty.gdos.gov.pl/igo-trachemys-scripta - this is project founded by our gaverment and EU, conducted by our Ministry - not citizen science)</t>
  </si>
  <si>
    <t>Ireland</t>
  </si>
  <si>
    <t>Present, Absent, Invasive</t>
  </si>
  <si>
    <t>Luxembourg</t>
  </si>
  <si>
    <t>Finland</t>
  </si>
  <si>
    <t>Greece</t>
  </si>
  <si>
    <t>Norway</t>
  </si>
  <si>
    <t>Serbia</t>
  </si>
  <si>
    <t>Slovakia</t>
  </si>
  <si>
    <t>monitoring of Trachemys scripta elegans</t>
  </si>
  <si>
    <t>Slovenia</t>
  </si>
  <si>
    <t>http://www.salamandra.org.pl/obcekampania.html</t>
  </si>
  <si>
    <t>Ukraine</t>
  </si>
  <si>
    <t># IAS. 0 EXCLUDE? General biodiversity portal for gelatinous organisms. Check with Beta</t>
  </si>
  <si>
    <t>Count of Start year</t>
  </si>
  <si>
    <t>plancton@ipma.pt</t>
  </si>
  <si>
    <t>Antonina dos Santos</t>
  </si>
  <si>
    <t>GelAvista</t>
  </si>
  <si>
    <t>gelavista.ipma.pt</t>
  </si>
  <si>
    <t>biuro@salamandra.org.pl</t>
  </si>
  <si>
    <t xml:space="preserve">The aim of the project is to update knowledge upon existing sites of occurence of Trachemys scripta elegans in Poland. </t>
  </si>
  <si>
    <t>Polskie Towarzystwo Ochrony Przyrody „Salamandra”</t>
  </si>
  <si>
    <t>The aim of the project is to involve the community in the development of science, increasing ocean literacy and filling the limited knowledge that exists in Portugal about the biology and ecology of gelatinous organisms. And, to acquire knowledge about the diversity, distribution or dynamics of the populations of gelatinous organisms, but also, to build predictive models of its occurrence to various parts of the Portuguese coast.</t>
  </si>
  <si>
    <t xml:space="preserve">Trachemys scripta </t>
  </si>
  <si>
    <t>Count of End year</t>
  </si>
  <si>
    <t>IPMA</t>
  </si>
  <si>
    <t>Mapping of alien species, Monitoring or surveillance, Early warning, Education, Awareness raising</t>
  </si>
  <si>
    <t>Jellyfish</t>
  </si>
  <si>
    <t>Count of If funded, by what type of funding entity?</t>
  </si>
  <si>
    <t>Monitoring or surveillance, Early warning, Education, Awareness raising, Testing scientific hypothesis</t>
  </si>
  <si>
    <t>LIFE program</t>
  </si>
  <si>
    <t>NGO</t>
  </si>
  <si>
    <t>Social media, Website, Exhibitions, School engagement, Gaming</t>
  </si>
  <si>
    <t>EC JRC</t>
  </si>
  <si>
    <t>EU</t>
  </si>
  <si>
    <t>University</t>
  </si>
  <si>
    <t>Online form</t>
  </si>
  <si>
    <t>Count of Target taxonomic group</t>
  </si>
  <si>
    <t>Group</t>
  </si>
  <si>
    <t>https://drive.google.com/open?id=1vN0V6825IupdI9jtyynoAIeqD6MGGMbn, https://drive.google.com/open?id=1uGavX_sBNpvJkBFNl0WKCpzFfQGpDIbM</t>
  </si>
  <si>
    <t>Mammals</t>
  </si>
  <si>
    <t>App (Android, iOS, Windows), Sent by email, Facebook, Other social media</t>
  </si>
  <si>
    <t>Fish</t>
  </si>
  <si>
    <t>release of individuals by aquaria owners</t>
  </si>
  <si>
    <t>Amphibians and reptiles</t>
  </si>
  <si>
    <t>Crayfish</t>
  </si>
  <si>
    <t>Crustaceans</t>
  </si>
  <si>
    <t>https://drive.google.com/open?id=1QOM5gMhgZvDAJYuItgKw97Lcj7fLE_C4</t>
  </si>
  <si>
    <t>Other invertebrates</t>
  </si>
  <si>
    <t>Other</t>
  </si>
  <si>
    <t xml:space="preserve">Count of Environment type </t>
  </si>
  <si>
    <t>ladislav.pekarik@gmail.com</t>
  </si>
  <si>
    <t>Ladislav Pekarik</t>
  </si>
  <si>
    <t>VISITOR</t>
  </si>
  <si>
    <t>http://visitor.sav.sk/</t>
  </si>
  <si>
    <t>Count of Geographic extent</t>
  </si>
  <si>
    <t>visitor@savba.sk</t>
  </si>
  <si>
    <t xml:space="preserve">Project is focused on the records of 32 non-native species occurring in Slovakia with the aim to make campaigns for selected species and to extend to any non-native species in the near future.  </t>
  </si>
  <si>
    <t>specific IAS engagement lacking. 0 EXCLUDE General biodiversity portal, not alien-focused</t>
  </si>
  <si>
    <t>Slovak and English in the near future</t>
  </si>
  <si>
    <t>Plant Science and Biodiversity Center</t>
  </si>
  <si>
    <t>Neighbourhood</t>
  </si>
  <si>
    <t>toril.moen@artsdatabanken.no</t>
  </si>
  <si>
    <t>Mapping of alien species, Engagement, Education, Awareness raising</t>
  </si>
  <si>
    <t>Toril Loennechen Moen</t>
  </si>
  <si>
    <t>Artsobservasjoner/Species Observations Service</t>
  </si>
  <si>
    <t>Count of Design</t>
  </si>
  <si>
    <t>Social media, Website, Gaming</t>
  </si>
  <si>
    <t>https://www.artsobservasjoner.no</t>
  </si>
  <si>
    <t>Count of Skills / knowledge needed</t>
  </si>
  <si>
    <t>Database</t>
  </si>
  <si>
    <t>no data standards were applied</t>
  </si>
  <si>
    <t>Non-native</t>
  </si>
  <si>
    <t xml:space="preserve">The Species Observations Service is an online service where everyone who is interested in species may register species sightings in Norway. Observations of alien and redlisted species are of special interest and have focus when sightings are being validated. </t>
  </si>
  <si>
    <t>Count of Validation</t>
  </si>
  <si>
    <t>Several answers were based on the large upgrade of the project website and smartphone app that is in the final stage of testing and will be released in few weeks.</t>
  </si>
  <si>
    <t>Norwegian and English</t>
  </si>
  <si>
    <t>Norwegian Biodiversity Information Centre (NBIC)/Artsdatabanken</t>
  </si>
  <si>
    <t>Count of Usage of App</t>
  </si>
  <si>
    <t>include (previously 0 https://zaborskipark.pl/aktualnosci-10/obce-gatunki-inwazyjne-nie-dziekuje-akcja-edukacyjna-w-szkolach/ This is homepage of Educators. They have not collect any records - not citizen science)</t>
  </si>
  <si>
    <t>Mapping of alien species, Monitoring or surveillance, Early warning, Engagement</t>
  </si>
  <si>
    <t xml:space="preserve">All sightings are shared with the Species Map Service for Norway and then with GBIF. The Norwegian Environment Agency as well as counties and municipalities are using these maps daily whan working with biodiversity management and land-use changes. </t>
  </si>
  <si>
    <t>Social media, Website, Live training, e.g., courses or workshops, BioBlitzes, There is a support system where the users can report bugs, ask questions and suggest changes to the system.</t>
  </si>
  <si>
    <t>Obce Gatunki Inwazyjne? Nie Dziękujemy</t>
  </si>
  <si>
    <t>Facebook, Twitter, YouTube</t>
  </si>
  <si>
    <t>https://zaborskipark.pl/aktualnosci-10/obce-gatunki-inwazyjne-nie-dziekuje-akcja-edukacyjna-w-szkolach/</t>
  </si>
  <si>
    <t>1-5%</t>
  </si>
  <si>
    <t>BioBlitz, Group training, e.g., workshops, courses, etc., YouTube videos</t>
  </si>
  <si>
    <t>GBIF, National repository</t>
  </si>
  <si>
    <t>Zaborski Park Krajobrazowy, zpk@pomorskieparki.pl</t>
  </si>
  <si>
    <t>SQL database</t>
  </si>
  <si>
    <t>Darwin Core, IUCN Standards</t>
  </si>
  <si>
    <t xml:space="preserve">The project involves pupils of primary schools to learn about invasive species, to be able to recognise them and to fight with them. Its a kind of competition among differenet schools from the region. </t>
  </si>
  <si>
    <t xml:space="preserve">Not applicable, There is an open data policy and other policies in place, but not gathered in a data management plan. </t>
  </si>
  <si>
    <t>Data is CC BY. For pictures the user may choose between No licence , CC BY 4.0, CC BY-SA or CC BY-NC-SA.</t>
  </si>
  <si>
    <t>Zaborski Park Krajobrazowy</t>
  </si>
  <si>
    <t>Count of Number of participants</t>
  </si>
  <si>
    <t>Separates between unspontaneous and spontaneous findings.</t>
  </si>
  <si>
    <t>Uses international standards for definitions, vocabulary and classification: CBD 2014 - Pathways of introduction of invasive species, their prioritization and management. UNEP/CBD/SBSTTA/18/9/Add.1.</t>
  </si>
  <si>
    <t>Government, Wojewódzkiego Funduszu Ochrony Środowiska i Gospodarki Wodnej w Gdańsku</t>
  </si>
  <si>
    <t>100001 - 500000</t>
  </si>
  <si>
    <t>School students</t>
  </si>
  <si>
    <t>Mapping of alien species, Prevention, Early warning, Engagement, Education, Awareness raising</t>
  </si>
  <si>
    <t>Species presence and/or abundance, Collecting lists of species, Evidence of impacts on biodiversity, Early detection</t>
  </si>
  <si>
    <t>Data, Unknown</t>
  </si>
  <si>
    <t>education and prevention</t>
  </si>
  <si>
    <t>Count of Number of alien or invasive alien species records</t>
  </si>
  <si>
    <t>specific IAS engagement lacking. 0 EXCLUDE Wetland project, not alien-focused</t>
  </si>
  <si>
    <t>Social media, Website, Live training, e.g., courses or workshops, School engagement, Gaming</t>
  </si>
  <si>
    <t xml:space="preserve">Toril Loennechen Moen </t>
  </si>
  <si>
    <t>BioWet – Biological Diversity in Wetlands</t>
  </si>
  <si>
    <t>https://wli.wwt.org.uk/regions/europe/europe-regional-initiatives/biowet-erasmus-project-2018-21/</t>
  </si>
  <si>
    <t>50001 - 100000</t>
  </si>
  <si>
    <t>App (Android, iOS, Windows), Sent by email, Sent by mail (paper sheet), Facebook, maps, reports</t>
  </si>
  <si>
    <t>500001 - 1000000</t>
  </si>
  <si>
    <t>wli@wwt.org.uk</t>
  </si>
  <si>
    <t>Introduced, Alien, Non-indigenous</t>
  </si>
  <si>
    <t>&gt; 1000001</t>
  </si>
  <si>
    <t>The project aims to develop a monitoring tool that allows students visiting wetland centres to collect and upload data, showing the impacts of climate change on local wetlands.</t>
  </si>
  <si>
    <t>all</t>
  </si>
  <si>
    <t>Norway, Portugal, Spain, United Kingdom</t>
  </si>
  <si>
    <t>Wetland Link International (WLI) led by the Wildfowl and Wetlands Trust, UK</t>
  </si>
  <si>
    <t>Count of Number of publications</t>
  </si>
  <si>
    <t>EU's Erasmus programme</t>
  </si>
  <si>
    <t>Plants, Mammals, Birds, Crayfish, Insects</t>
  </si>
  <si>
    <t>21 - 50</t>
  </si>
  <si>
    <t xml:space="preserve">Species presence and/or abundance, measuring impacts of climate change </t>
  </si>
  <si>
    <t>&gt; 100</t>
  </si>
  <si>
    <t>School engagement, Unknown</t>
  </si>
  <si>
    <t>Jitka.Svobodova@vuv.cz</t>
  </si>
  <si>
    <t>Instagram, Unknown</t>
  </si>
  <si>
    <t>Jitka Svobodová</t>
  </si>
  <si>
    <t>Raci v ČR</t>
  </si>
  <si>
    <t>https://heis.vuv.cz/projekty/raci2017</t>
  </si>
  <si>
    <t>Group training, e.g., workshops, courses, etc., Unknown</t>
  </si>
  <si>
    <t>The general aim of the project is to make control of invasive fish and crayfish species more effective and thus decrease their negative effects on the aquatic environment.</t>
  </si>
  <si>
    <t>Czech</t>
  </si>
  <si>
    <t>VUV TGM, v. v. i.</t>
  </si>
  <si>
    <t>Anyone (general public), Fishermen, the authorities</t>
  </si>
  <si>
    <t>Mapping of alien species, Prevention, Monitoring or surveillance, Early warning, Effectiveness of management, Education, Testing scientific hypothesis</t>
  </si>
  <si>
    <t>Species presence and/or abundance, Changes in abundance, Measuring impacts, Evidence of impacts on biodiversity, Early detection</t>
  </si>
  <si>
    <t>To develop a formally certified decision methodology for control and eradication of populations of invasive aquatic animals (crayfish and fish).</t>
  </si>
  <si>
    <t>Social media, Website, School engagement</t>
  </si>
  <si>
    <t>Oracle</t>
  </si>
  <si>
    <t>Alien, Non-native, Non-indigenous, invasive</t>
  </si>
  <si>
    <t>malin.strand@slu.se</t>
  </si>
  <si>
    <t>Malin Strand</t>
  </si>
  <si>
    <t>invasivaarter.nu</t>
  </si>
  <si>
    <r>
      <t xml:space="preserve">PB 11/5: Queried with Rumen Tomov 21/4 and no response. Lots of the responses here indicate that this will generate data from the public, so perhaps should be included, BUT Beta's comment seems accurate, so exclude: (EM: by the description it seems its going to evaluate CS initiatives, </t>
    </r>
    <r>
      <rPr>
        <sz val="10"/>
        <color rgb="FFFF0000"/>
        <rFont val="Arial"/>
      </rPr>
      <t>but it is not a CS project...it is the Bulgarian participation in Alien CSI...)</t>
    </r>
  </si>
  <si>
    <t>rtomov@yahoo.com</t>
  </si>
  <si>
    <t>Rumen Tomov</t>
  </si>
  <si>
    <t>State and perspectives of citizen science for invasive alien species in Bulgaria</t>
  </si>
  <si>
    <t>In construction</t>
  </si>
  <si>
    <t>University of forestry, 10 Kliment Ohridski blvd, 1797 Sofia, Bulgaria,  https://ltu.bg/bg/, rtomov@yahoo.com</t>
  </si>
  <si>
    <t xml:space="preserve">The project aims at studying the state of the CS on IAS in Bulgaria and integrate the results obtained in the analysis at European level, within the framework of CA17122 COST Action Alien CSI (WG1, WG2 and WG4). Specific objectives are: Inventory and analyze the existing initiatives, activities and strategies implemented in Bulgaria to engage citizens in the problem related to alien species; Assessment the level of IAS awareness of different groups of society and their motivation to participate in the early detection of AS, and identification the most appropriate approaches for engaging them with Citizen science; IAS awareness rising of different groups of society. </t>
  </si>
  <si>
    <t>https://artfakta.se/rapportera/invasiva-arter</t>
  </si>
  <si>
    <t>Bulgarian</t>
  </si>
  <si>
    <t>University of forestry</t>
  </si>
  <si>
    <t>observations on EU:s IAS can be reported by anyone</t>
  </si>
  <si>
    <t>Anyone (general public), Land managers, School students, University students, Scientists, e.g, biologists, etc., authorities (governmental organisations), non-governmental organisations, business</t>
  </si>
  <si>
    <t>Mapping of alien species, Early warning, Engagement, Education, Awareness raising</t>
  </si>
  <si>
    <t>Species presence and/or abundance, Data related to CS initiatives in Bulgaria, early detection of IAS species of EU concern</t>
  </si>
  <si>
    <t>Swedish Species Information Centre</t>
  </si>
  <si>
    <t>Will contribute to the implementation of the Regulation (EU) No 1143/2014, as well as regional and national IAS policies in Bulgaria.</t>
  </si>
  <si>
    <t>Website, information campaigns, training</t>
  </si>
  <si>
    <t>Mapping of alien species, Early warning</t>
  </si>
  <si>
    <t>currently under investigation and experimental</t>
  </si>
  <si>
    <t>Newsletters, Website, working groups with members from many NGO:s that reach different communities</t>
  </si>
  <si>
    <t>Inspire Directive</t>
  </si>
  <si>
    <t>will be developed</t>
  </si>
  <si>
    <t>Alien, translocated</t>
  </si>
  <si>
    <t>Established, Casual</t>
  </si>
  <si>
    <t>Established, Casual, Invasive</t>
  </si>
  <si>
    <t>This is a collaboration between firstly the Swedish EPA and the Swedish agency for marine and water management and the system is run by the Swedish Species Information Centre (Swedish University of Agricultural Sciences). It is under development and we will evaluate initial parts of development activities and functionality in August.</t>
  </si>
  <si>
    <t>PB 11/5: Queried with Rumen Tomov 21/4 but no response. Exclude as pilot study and poss. doubles up on #49. This one is closed so I think considered a discreet project to 49, which is newer. (EM: I'm also confused... as the project above, they will use JRC App, but adapting to a different region (Danube)... should it be considered twice?)</t>
  </si>
  <si>
    <t>Pilot-study (data collection) on invasive alien species in the Danube Region with a smartphone application developed by the JRC (Danube-IASapp), Contract No. 650084</t>
  </si>
  <si>
    <t>jirislavskuhrovec@gmail.com</t>
  </si>
  <si>
    <t>Jiri Skuhrovec</t>
  </si>
  <si>
    <t>No website</t>
  </si>
  <si>
    <t>trichkova@gmail.com</t>
  </si>
  <si>
    <t>Najdi je!</t>
  </si>
  <si>
    <t>The project aimed to test the practical use of the smartphone application ‘Invasive Alien Species Europe’ developed by JRC, within the frame of the Danube Region Invasive Alien Species network (DIAS), in order to complement environmental monitoring and early warning of invasive alien species occurrences in the Danube River basin and the Danube Region and provide input to ongoing data validation mechanisms.</t>
  </si>
  <si>
    <t>Bulgaria, Romania, Serbia</t>
  </si>
  <si>
    <t>English and native languages (Bulgarian, Romanian, Serbian)</t>
  </si>
  <si>
    <t>www.najdije.cz</t>
  </si>
  <si>
    <t>Institute of Biodiversity and Ecosystem Research, Bulgarian Academy of Sciences</t>
  </si>
  <si>
    <t>Anyone (general public), Fishermen, University students, Scientists, e.g, biologists, etc., authorities (governmental organisations), non-governmental organisations, business</t>
  </si>
  <si>
    <t>Awareness raising, testing the practical use of the smartphone application ‘Invasive Alien Species Europe’ developed by JRC</t>
  </si>
  <si>
    <t>Contributed to carry out early practical tests, provide feedback about the feasibility and possible challenges when intending to use the smartphone application ‘Invasive Alien Species Europe’ for early detection, early warning and monitoring purposes, and provide input to ongoing data validation mechanisms. Thus the project supported the implementation of the aims of the Regulation (EU) No 1143/2014 and the DIAS Strategy.</t>
  </si>
  <si>
    <t>information campaigns, training in the field</t>
  </si>
  <si>
    <t xml:space="preserve">registration was not needed </t>
  </si>
  <si>
    <t>EASIN, CS Platform</t>
  </si>
  <si>
    <t xml:space="preserve">Recently many invertebrate species extend areas of geographic distribution beyond their natural limits. The start and progress of this spread are difficult to record by available scientific methods. Citizen science is a useful method for monitoring invertebrate invasions. We propose to explore methods to implement citizen science for tracking the spread of some selected invertebrates in the Czech Republic. </t>
  </si>
  <si>
    <t>EASIN</t>
  </si>
  <si>
    <t>Crop Research Institute</t>
  </si>
  <si>
    <t>Public, Mixed</t>
  </si>
  <si>
    <t>Anyone (general public), School students, University students, Scientists, e.g, biologists, etc.</t>
  </si>
  <si>
    <t>Insects, Invertebrates</t>
  </si>
  <si>
    <t>Conference abstracts</t>
  </si>
  <si>
    <t>Mapping of alien species, Monitoring or surveillance, Early warning, Education, Testing scientific hypothesis</t>
  </si>
  <si>
    <t>Species presence and/or abundance, Changes in abundance, Measuring impacts, Evidence of impacts on biodiversity, Early detection, Rate of spread, Experimental data</t>
  </si>
  <si>
    <t>Early detection, prevention,....</t>
  </si>
  <si>
    <t>Muggenradar.nl</t>
  </si>
  <si>
    <t>will be solved in Autumn (probably - direct project registration)</t>
  </si>
  <si>
    <t>Online form, Later also via Social media, e-mail and app</t>
  </si>
  <si>
    <t>MySQL</t>
  </si>
  <si>
    <t>Naturalized, Invasive</t>
  </si>
  <si>
    <t>0 EXCLUDE General (arthropod) biodiversity portal, not alien-focused</t>
  </si>
  <si>
    <t>We start it now. The first version of web page will be done in August, and this autumn (September) we start with program.</t>
  </si>
  <si>
    <t>ZanzaMapp.it</t>
  </si>
  <si>
    <t>karolyi.balazs@gmail.com</t>
  </si>
  <si>
    <t>Balázs Károlyi</t>
  </si>
  <si>
    <t>izeltlabuak.hu</t>
  </si>
  <si>
    <t>coflynn@biodiversityireland.ie</t>
  </si>
  <si>
    <t>Colette O'Flynn</t>
  </si>
  <si>
    <t>Mückenatlas</t>
  </si>
  <si>
    <t>Irelands Invasive Species</t>
  </si>
  <si>
    <t>www.biodiversityireland.ie/projects/invasive-species/</t>
  </si>
  <si>
    <t>https://www.izeltlabuak.hu</t>
  </si>
  <si>
    <t xml:space="preserve">Project focused on encouraging and supporting recording of invasive species in Ireland. Includes delivery of identification workshops, recording schemes and awareness campaigns on invasive species.   </t>
  </si>
  <si>
    <t>National Biodiversity Data Centre</t>
  </si>
  <si>
    <t>Anyone (general public), Fishermen, Land managers, Scientists, e.g, biologists, etc., Public bodies</t>
  </si>
  <si>
    <t>Mapping of alien species, Prevention, Monitoring or surveillance, Early warning, Engagement, Awareness raising, Offical reporting</t>
  </si>
  <si>
    <t>On the site anyone can record sighting data about arthropods, upload images and provide additional information. These findings are validated by experts. All data are open, and can be used for any publication or scientific research project.</t>
  </si>
  <si>
    <t>Social media, Website, Exhibitions, Live training, e.g., courses or workshops, BioBlitzes</t>
  </si>
  <si>
    <t>Mostly national, but not restricted</t>
  </si>
  <si>
    <t>Hungarian</t>
  </si>
  <si>
    <t>Individual</t>
  </si>
  <si>
    <t>App (Android, iOS, Windows), Online form, Sent by email, Sent by mail (paper sheet)</t>
  </si>
  <si>
    <t>GBIF, National repository, Hard drive of project organiser</t>
  </si>
  <si>
    <t>SQL. Excel for specific desktop uses.</t>
  </si>
  <si>
    <t>Darwin Core, Inspire Directive</t>
  </si>
  <si>
    <t xml:space="preserve">No, Datasets are published through Biodiversity Maps in two ways. First, datasets that are licenced as open data under what is termed a Creative Commons - with attribution (CC-BY) licence, are available to download and use by third parties, provided the data publisher is given due attribution when the data are being used. Second, datasets that are licensed as restricted are available to be mapped and queried online, but it is not permitted to download the dataset. Use of the dataset must be obtained from the data publisher, whose contact details are provided in the metadata. </t>
  </si>
  <si>
    <t>Cryptogenic, Alien, Non-native</t>
  </si>
  <si>
    <t>The CBD pathways categorisation for the introduction of alien species (from UNEP/CBD/SBSTTA/18/9/Add.1)</t>
  </si>
  <si>
    <t>Crayfish, Insects, Arachnids</t>
  </si>
  <si>
    <t>Scientific peer-reviewed, Scientific not peer-reviewed, Science communication (i.e., aimed at the general public)</t>
  </si>
  <si>
    <t xml:space="preserve">Project website: http://www.biodiversityireland.ie/projects/invasive-species/   Biodiversity Maps portal: https://maps.biodiversityireland.ie/ </t>
  </si>
  <si>
    <t>Mapping of alien species, Monitoring or surveillance, Early warning, Engagement, Education, Fun</t>
  </si>
  <si>
    <t>Valeria.Lencioni@muse.it</t>
  </si>
  <si>
    <t>Valeria Lencioni</t>
  </si>
  <si>
    <t>Aedes albopictus Citizen Science project</t>
  </si>
  <si>
    <t>Social media, Website</t>
  </si>
  <si>
    <t>https://www.muse.it/it/La-Ricerca/Zoologia-invertebrati-idrobiologia/Azioni-sul-territorio/Pagine/ghost_monitoraggio_zanzara_tigre_a_trento.aspx</t>
  </si>
  <si>
    <t>Up to participants</t>
  </si>
  <si>
    <t>App (Android, iOS, Windows), Online form, Sent by email, Facebook, unique imports from external source</t>
  </si>
  <si>
    <t>Seasonal monitoring of Aedes albopictus in sites above 600 m s. l.</t>
  </si>
  <si>
    <t>Italian</t>
  </si>
  <si>
    <t>MUSE- Science Museum of Trento-</t>
  </si>
  <si>
    <t>No data standards used, own solution created.</t>
  </si>
  <si>
    <t>https://www.izeltlabuak.hu/adatvedelem</t>
  </si>
  <si>
    <t>Mapping of alien species, Monitoring or surveillance, Early warning, Education, Awareness raising, Testing scientific hypothesis</t>
  </si>
  <si>
    <t>The government develops action to control/eradicate the mosquitoes on the basis of the Citizen Science Project records</t>
  </si>
  <si>
    <t xml:space="preserve"> asking the inhabitants of the monitoring sites personally</t>
  </si>
  <si>
    <t xml:space="preserve">personal information about how to manage the mosquitoes eggs-traps </t>
  </si>
  <si>
    <t>CC BY 4.0 by default, but users can decide to set their own license for their data.</t>
  </si>
  <si>
    <t>Samples</t>
  </si>
  <si>
    <t>business, globalization, economy, human immigration, trades</t>
  </si>
  <si>
    <t>https://drive.google.com/open?id=15mnj8OsIYp4h2QW-QM4SVR1ZZTPYp9HP</t>
  </si>
  <si>
    <t>https://drive.google.com/open?id=1Rco2URG0lY8wIercLhAoekcocW2BWOct</t>
  </si>
  <si>
    <t>The focus of the project is to teach good practices for preventing the spread of the Aedes albopictus mosquitoes  to the citizenship and to monitor the altitudinal migration of this species due to the climate change in sites located above 600 m s.l.</t>
  </si>
  <si>
    <t>All collected data are available and exportable to everyone. It can be used for any Research and publication purposes. When the authors use data from the project, they don't have to give feedback to me, or to the collector. I can't give proper answers to these questions. (35, 57, 58, 59) The website provides unique, widespread information about Hungarian arthropods, including checklists, descriptions, taxonomic statuses, distribution maps. Users get a photo album, collection diary, taxonomic list about their sightings, data validation by experts.</t>
  </si>
  <si>
    <t>Pozsgaig@coleoptera.hu</t>
  </si>
  <si>
    <t>Gabor Pozsgai</t>
  </si>
  <si>
    <t>Hungarian Harlequin Ladybird Project</t>
  </si>
  <si>
    <t>www.coleoptera.hu/harlekin</t>
  </si>
  <si>
    <t>PB 21/4: Queried with Dinka dinkam@sumins.hr: '#55 Blue Eye app, it does NOT have explicit targeting of aliens, but on marine organisim and polution in general, so this should not be included. This does not exclude alien organisms, but it is not solely designed for alien marine species. (PB 20/4: Beta unsure. Presumably excluded as not aliens-focused.) (Previous note: 1 INCLUDE? as focus on problematic (though not necessarily alien) marine biodiversity). EM: I could not find any focus on IAS</t>
  </si>
  <si>
    <t>milvana@prirodoslovni.com</t>
  </si>
  <si>
    <t>Milvana Arko-Pijevac</t>
  </si>
  <si>
    <t>The Blue Eye App</t>
  </si>
  <si>
    <t>www.plavo.oko.hr</t>
  </si>
  <si>
    <t>harlekin@coleoptera.hu</t>
  </si>
  <si>
    <t>The aim of the Project is to monitor the spread and distribution of the invasive harlequin ladybird (Harmonia axyridis) in Hungary with the involvement of the general public. The site also aims to support the inventory of the native Hungarian ladybirds species.</t>
  </si>
  <si>
    <t>Private in collaboration with the Fóti Boglárka Endowment and, at an earlier stage, with the Domberdő Nature Conservation Association (Both NGO-s)</t>
  </si>
  <si>
    <t>Non-governmental Organisation (NGO), private site</t>
  </si>
  <si>
    <t>plavo.oko@prirodoslovni.com</t>
  </si>
  <si>
    <t xml:space="preserve">In order to transform classical communication into interaction, the Blue Eye application is designed to systematically record data on marine organisms and marine pollution in order to increase awareness of the sea and its effective protection. It is available for PCs and mobile devices. </t>
  </si>
  <si>
    <t>Anyone (general public), Scientists, e.g, biologists, etc.</t>
  </si>
  <si>
    <t>Croatian</t>
  </si>
  <si>
    <t>RI ING NET</t>
  </si>
  <si>
    <t>Public Research Organisation (PRO), Natural History Museum Rijeka</t>
  </si>
  <si>
    <t>Mixed, the museum's own resources</t>
  </si>
  <si>
    <t xml:space="preserve">record data on marine organisms and marine pollution </t>
  </si>
  <si>
    <t>Prevention, Monitoring or surveillance, Early warning, Engagement, Education</t>
  </si>
  <si>
    <t>By signing up for the Blue Eye application and filling out the information, the user will receive professional feedback on their observation in the shortest possible time. At the same time, the data recorded provides experts with useful information for further research. All information is permanently recorded in a system which is being upgraded according to user and expert requirements. Uploaded photos and verified data, when approved, become visible to all users, which further contributes to the users’ knowledge and development, and their active involvement in professional and scientific research</t>
  </si>
  <si>
    <t>Newsletters, Website, Exhibitions, School engagement</t>
  </si>
  <si>
    <t>Online form, Sent by email, Sent by mail (paper sheet), Samples</t>
  </si>
  <si>
    <t>Hard drive of project organiser, Dropbox, FTP server</t>
  </si>
  <si>
    <t>MySQL database</t>
  </si>
  <si>
    <t>Spread, transferred, introduced</t>
  </si>
  <si>
    <t>https://drive.google.com/open?id=1t0BDwiUIO2JwM-Y6p5QYpevhztZ2qBRN</t>
  </si>
  <si>
    <t>SQL</t>
  </si>
  <si>
    <t>Casual, Naturalized, Invasive</t>
  </si>
  <si>
    <t>The application administrator provides direct communication of users with Croatian experts. The purpose of the application is mutual, fast, and superior exchange of information, education and development of the public, and the efficient functioning of services and experts responsible for addressing the problems in the protection of the Adriatic Sea. The application allows the implementation of differently designed projects, from photo contests to tracking specific invasive or protected species</t>
  </si>
  <si>
    <t>Scientific not peer-reviewed, Science communication (i.e., aimed at the general public), B.Sc. and M.Sc. theses</t>
  </si>
  <si>
    <t>Engagement, Descriptive, Data, Mixed</t>
  </si>
  <si>
    <t xml:space="preserve">Although I claimed at one of the questions the Project has stopped in 2015, this is only partly true. Due to the complete lack of funding (and/or personal support) and the limited time I could spend with it, the website has not been updated recently but email inquiries are still answered and there is plan to revitalize the Project. </t>
  </si>
  <si>
    <t>0 NOTE: it is a general biodiversty database, not focused on IAS</t>
  </si>
  <si>
    <t>ondrej.zicha@gmail.com</t>
  </si>
  <si>
    <t>Ondřej Zicha</t>
  </si>
  <si>
    <t>BioLib.cz</t>
  </si>
  <si>
    <t>Alien Invasive Species in Israel - Citizen Science Project of The Society for the Protection of Nature in Israel (SPNI)</t>
  </si>
  <si>
    <t>https://www.teva.org.il/polshim</t>
  </si>
  <si>
    <t>https://www.biolib.cz/</t>
  </si>
  <si>
    <t>polshim@spni.org.il</t>
  </si>
  <si>
    <t>Web form for reporting sightings of alien invasive plants and animals in Israel</t>
  </si>
  <si>
    <t>The Society for the Protection of Nature in Israel (SPNI)</t>
  </si>
  <si>
    <t>International encyclopedia of plants, fungi and animals that allows contribution of data by its users. It is also platform with tools for mapping distribution, managing common names and many other functions.</t>
  </si>
  <si>
    <t>Czech Republic, Taxonomic focus global, mapping currently limited to Czech Republic.</t>
  </si>
  <si>
    <t>Czech, English</t>
  </si>
  <si>
    <t>Website</t>
  </si>
  <si>
    <t>BioLib, z. s.</t>
  </si>
  <si>
    <t>Monitoring or surveillance, Early warning, Education, Awareness raising, Primary function is a taxonomic database with gallery, species mapping is however one of major functions used by public and by scientific community.</t>
  </si>
  <si>
    <t>Data is sent to database of government agency for nature protection or used directly by scientific community involved in the mapping of particular species.</t>
  </si>
  <si>
    <t>nagy.elte@gmail.com</t>
  </si>
  <si>
    <t>Sándor Nagy</t>
  </si>
  <si>
    <t>Buxus FB Cp map</t>
  </si>
  <si>
    <t>https://www.facebook.com/groups/buxus1/</t>
  </si>
  <si>
    <t>SQL database, automatically transferred to government agency database</t>
  </si>
  <si>
    <t>own structure expanded upon needs of scientific community</t>
  </si>
  <si>
    <t>Members of the FB group Buxus have been asked to submit location and date of first encounter with the damage caused by Cydalima perspectalis on voluntary basis. The leader of the project (Sándor Nagy, administrator) uploaded the data to the following Google map:  https://www.google.com/maps/d/viewer?mid=1gWXhe6XYXvQjBquECH9kHiTSFOY&amp;fbclid=IwAR34K5GupaTGfqCqyY3HESaHGxGTHgpWBMMA0oIv95J0O1njiq7gmiRgeos&amp;ll=47.19570610253751%2C19.398765600000047&amp;z=7</t>
  </si>
  <si>
    <t>Data used in accordance with user agreement, some information might be protected and visible only to experts and authors.</t>
  </si>
  <si>
    <t>It's a FB site. No organisation is involved. Resposibility of Sándor Nagy.</t>
  </si>
  <si>
    <t>None. It is purely a citizen project.</t>
  </si>
  <si>
    <t>Species presence and/or abundance, Rate of spread</t>
  </si>
  <si>
    <t>Species invasive in Czech republic are only a small part (cca 40 species) of list of species mapped on BioLib.cz, list itself limited only to taxa proposed by experts who are validating the records. No plants are not currently mapped, although we are planning to expand the list of mapped species in near future.</t>
  </si>
  <si>
    <t>Via the Buxus FB group</t>
  </si>
  <si>
    <t>0 Second entry for this project (lines 23 and 78) but some responses vary, so check</t>
  </si>
  <si>
    <t>Google map - https://www.google.com/maps/d/edit?mid=1gWXhe6XYXvQjBquECH9kHiTSFOY&amp;fbclid=IwAR34K5GupaTGfqCqyY3HESaHGxGTHgpWBMMA0oIv95J0O1njiq7gmiRgeos&amp;ll=47.19570610253753%2C19.398765600000047&amp;z=7</t>
  </si>
  <si>
    <t>no for #78 - included as #23</t>
  </si>
  <si>
    <t>A paper to be published by Gábor Vétek et al. titled "Invasion by the box tree moth, Cydalima perspectalis (Lepidoptera: Crambidae), in southeastern Europe" makes also use of most of the data points collected by the participants of this project.</t>
  </si>
  <si>
    <t>nchartos@gmail.com</t>
  </si>
  <si>
    <t>Niki Chartosia</t>
  </si>
  <si>
    <t>(Previous comment: 1 INCLUDE - strong alien-focus)</t>
  </si>
  <si>
    <t xml:space="preserve">RELIONMED - repeated - check </t>
  </si>
  <si>
    <t>sonja.desnica@mzoe.hr</t>
  </si>
  <si>
    <t>Sonja Desnica</t>
  </si>
  <si>
    <t>not a separate project, just a regular work of the Ministry of Environment and Energy (Croatia)</t>
  </si>
  <si>
    <t>http://www.invazivnevrste.hr/?page_id=56</t>
  </si>
  <si>
    <t xml:space="preserve">The Ministry enables citizens to report any observation of alien species in Croatia through its currently active web page. </t>
  </si>
  <si>
    <t>Preventing a lionfish invasion in the Mediterranean through early response and targeted Removal.</t>
  </si>
  <si>
    <t>Ministry of the Environment and Energy</t>
  </si>
  <si>
    <t>English, Greek, Spanish, French</t>
  </si>
  <si>
    <t>IUCN-MEDMIS</t>
  </si>
  <si>
    <t>Mapping of alien species, Prevention, Early warning, Awareness raising</t>
  </si>
  <si>
    <t>The International Union for Conservation of Nature (IUCN) is a membership Union uniquely composed of both government and civil society organisations</t>
  </si>
  <si>
    <t>employers of the Ministry</t>
  </si>
  <si>
    <t>This is a citizen-science platform for the mapping of invasive plants in Portugal. The main goals are to raise awareness about biological invasions, make known the different invasive plants in Portugal and stimulate public participation in the mapping of invasive species, the control of plant populations and education.
For that, and to support the citizen-science platform, we have created comprehensive profiles of the invasive plant species in Portugal, and provide useful tools and information for managers, scientific community and anyone interested in the topic. In addition, we offer support material for environmental education, for teachers and informal action groups.</t>
  </si>
  <si>
    <t>LIFE project</t>
  </si>
  <si>
    <t>Lionfish</t>
  </si>
  <si>
    <t>e-mail address</t>
  </si>
  <si>
    <t>files in folders</t>
  </si>
  <si>
    <t>Unknown, the data are not being standardised</t>
  </si>
  <si>
    <t>Monitoring or surveillance, Early warning</t>
  </si>
  <si>
    <t>Alien, invasive</t>
  </si>
  <si>
    <t xml:space="preserve">The risk assessment of the species that it is under revision was a result of the project. </t>
  </si>
  <si>
    <t>The Ministry is currently developing mobile application for IAS and an upgrade is planned for existing on-line form as a part of the EU funded project „Establishment of the National Monitoring System for Invasive Alien Species“ (KK.06.5.1.01.0001).</t>
  </si>
  <si>
    <t>Newsletters, Social media, Website, Exhibitions, Live training, e.g., courses or workshops, Removals of lionfish through Derbies and Removal actions.</t>
  </si>
  <si>
    <t>PB 21/4: Queried with Dinka dinkam@sumins.hr: '#42 does include acitve participation of citizens. On their website is a form and you can send your find if you find anything. The experts will evaluate it and record it. They also have workshops and education, especially in schools. So citizens are contributing the data on invasive species in this project.' (PB 20/4: Beta unsure. Could include, as includes mapping of some species, with data presumably from public?) (EM: As far as I understand (but I can only see a ruff google translation), it is not CS - citizens do not collect info; the project has many actions with citizens, but the collection of data is done by tecnitians and scientists)</t>
  </si>
  <si>
    <t>mirela@iptpo.hr</t>
  </si>
  <si>
    <t>Mirela Uzelac</t>
  </si>
  <si>
    <t>Invasive Species Centre</t>
  </si>
  <si>
    <t>email and name details</t>
  </si>
  <si>
    <t>http://civ.iptpo.hr/</t>
  </si>
  <si>
    <t>barbara@iptpo.hr</t>
  </si>
  <si>
    <t>The Invasive Species Centre (ISC) has emerged out of necessity for a coordinated approach to research, education and raising public awareness of the importance of invasive species problems. The aim of CIV is to actively involve all relevant institutions in Porec and beyond, as well as children and citizens in the preservation of health and our unique and extremely valuable natural heritage. CIV is located in the premises of the Institute for Agriculture and Tourism in Poreč. In addition to the staff of the Institute, CIV’s work is supported by numerous external associates, volunteers, students,  teachers and all interested citizens.</t>
  </si>
  <si>
    <t>Croatian, English, Italian</t>
  </si>
  <si>
    <t>Institute of Agriculture and Tourism</t>
  </si>
  <si>
    <t>Plants, Insects, invasive species generally (marine species, plants, insects, fish, crayfish..)</t>
  </si>
  <si>
    <t>Mapping of alien species, Prevention, Monitoring or surveillance, Early warning, Engagement, Education, Awareness raising, Testing scientific hypothesis, Fun</t>
  </si>
  <si>
    <t>Lessepsian migrant, aquarium release.</t>
  </si>
  <si>
    <t>Species presence and/or abundance, Collecting lists of species, Early detection, Experimental data</t>
  </si>
  <si>
    <t>Early detection of invasive species and prevenetion, education for citizens, monitoring of invasive species</t>
  </si>
  <si>
    <t>Development of strategies that promote the sustainability of the kiwi production by promoting the creation of high value product</t>
  </si>
  <si>
    <t>Social media, Website, Live training, e.g., courses or workshops, Mapping of invasive species, field work and gis workshops</t>
  </si>
  <si>
    <t>https://drive.google.com/open?id=169h9izrKroZUS5dy0r9x7GcTHTT9sCqI</t>
  </si>
  <si>
    <t>Group training, e.g., workshops, courses, etc., Educational workshops</t>
  </si>
  <si>
    <t>Participants use specialized gis apps on their smart phones</t>
  </si>
  <si>
    <t>Partially in excel and gis apps</t>
  </si>
  <si>
    <t>Established, Naturalized</t>
  </si>
  <si>
    <t>fredrik.dahl@jagareforbundet.se</t>
  </si>
  <si>
    <t>Fredrik Dahl</t>
  </si>
  <si>
    <t>PB 20/4: I agree with Elena - exclude. (ELENA: 2) project 80 INVALIS: it is an interreg project for improving policy on IAS, more devoted to administrations, no "signs" of CS, so I would exclude it)</t>
  </si>
  <si>
    <t>Mårdhundsprojektet</t>
  </si>
  <si>
    <t>NO</t>
  </si>
  <si>
    <t>www.mardhund.se</t>
  </si>
  <si>
    <t>joanateixeiraribeiro@gmail.com</t>
  </si>
  <si>
    <t>Luís Reino</t>
  </si>
  <si>
    <t>BIRDTRADE/ALIENTRADE/Interreg Europe INVALIS</t>
  </si>
  <si>
    <t>https://www.interregeurope.eu/invalis/</t>
  </si>
  <si>
    <t>Eradication/confinement of raccoon dog in Sweden.</t>
  </si>
  <si>
    <t>“Aliens in the sea”, a scientific-cultural Project, has the aim of making aware citizens and the mainly interested stakeholders (fishermen, divers, boaters) to the biological invasion phenomenon through a correct information and active participation.</t>
  </si>
  <si>
    <t>luis.reino@cibio.up.pt</t>
  </si>
  <si>
    <t>Swedish Association for Hunting and Wildlife Management</t>
  </si>
  <si>
    <t>Protecting European Biodiversity from Invasive Alien Species</t>
  </si>
  <si>
    <t>France, Greece, Italy, Latvia, Portugal, Spain</t>
  </si>
  <si>
    <t>Anyone (general public), Hunters</t>
  </si>
  <si>
    <t>Greek partners (check website)</t>
  </si>
  <si>
    <t>Mapping of alien species, Monitoring or surveillance, Early warning, Effectiveness of management, Awareness raising, Management, Eradication</t>
  </si>
  <si>
    <t>Species presence and/or abundance, Changes in abundance, Collecting lists of species, Evidence of impacts on biodiversity, Early detection, Rate of spread, Experimental data</t>
  </si>
  <si>
    <t>Early detection, management, eradication, monitoring</t>
  </si>
  <si>
    <t>Prevention, Monitoring or surveillance, Early warning, Effectiveness of management, Engagement, Education, Awareness raising</t>
  </si>
  <si>
    <t>Authorities' part</t>
  </si>
  <si>
    <t>Newsletters, Social media, Website, Exhibitions, School engagement, Newspapers, radio, television</t>
  </si>
  <si>
    <t>Provide suggestions to improve authorities action EU wide</t>
  </si>
  <si>
    <t>regional governmental authorities and a scientific partner</t>
  </si>
  <si>
    <t>Sent by email, Sent by mail (paper sheet), Facebook, Samples, Telephone</t>
  </si>
  <si>
    <t>National repository, Hard drive of project organiser</t>
  </si>
  <si>
    <t>Excel, Word</t>
  </si>
  <si>
    <t>Unknown, Own standard at host, other unknown at national repository</t>
  </si>
  <si>
    <t>Secondary expansion</t>
  </si>
  <si>
    <t>Mosquito Alert</t>
  </si>
  <si>
    <t>https://drive.google.com/open?id=1-lLhFV4zJc3Fc4qpIriHXNg2MBwGF489</t>
  </si>
  <si>
    <t>Citizen science to investigate and control mosquito-borne diseases.
We bring citizens, scientists and managers of public health and the environment to fight against the tiger mosquito and the yellow fever mosquito, vectors of Zika, Dengue and Chikungunya.</t>
  </si>
  <si>
    <t>0 EXCLUDE General (plant) biodiversity portal, not alien-focused</t>
  </si>
  <si>
    <t>komives.tamas@gmail.com</t>
  </si>
  <si>
    <t>Tamas Komives</t>
  </si>
  <si>
    <t>Mapping Database on the Flora of Hungary</t>
  </si>
  <si>
    <t>https://floraatlasz.uni-sopron.hu/index.php?database</t>
  </si>
  <si>
    <t>Er det pukkellaks i DIN elv?</t>
  </si>
  <si>
    <t>https://nina.no/Aktuelt/Nyhetsartikkel/ArticleId/4808/Er-det-pukkellaks-i-DIN-elv?fbclid=IwAR3aFTX1PDZkldIErwTCsgOlbC-2Gjj8_EvAKblNHJqmDbgjoDJNPPcs96g</t>
  </si>
  <si>
    <t>Miklós Bán</t>
  </si>
  <si>
    <t>Mapping of the Hungarian flora took place between 2002 and 2015, and was led by the Institute of Botany and Conservation of the University of Sopron. The aim of the project is to build a database on the distribution data of plant species occurring in Hungary.</t>
  </si>
  <si>
    <t>National Research Council of Hungary, project no. NKFP 0050/3B/2002</t>
  </si>
  <si>
    <t>frode.fossoy@nina.no</t>
  </si>
  <si>
    <t xml:space="preserve">Oncorhynchus gorbuscha is invading Norwegian rivers. Citizens are invited to map its distribution and are given free sampling kits using eDNA to contribute. </t>
  </si>
  <si>
    <t>Norwegian</t>
  </si>
  <si>
    <t>Norwegian Institute for Nature Research (NINA)</t>
  </si>
  <si>
    <t>Research institution for applied ecological research</t>
  </si>
  <si>
    <t>Fish (one species Oncorhynchus gorbuscha)</t>
  </si>
  <si>
    <t>Mapping of alien species, Monitoring or surveillance, Engagement</t>
  </si>
  <si>
    <t>Samples using sampling equipment for eDNA is sent by mail.</t>
  </si>
  <si>
    <t>jpencarnacao@ualg.pt</t>
  </si>
  <si>
    <t>João Encarnação</t>
  </si>
  <si>
    <t>NEMA - Novas Espécies Marinhas do Algarve</t>
  </si>
  <si>
    <t>facebook.com/NEMAlgarve; instagram.com/NEMAlgarve; twitter.com/NEMAlgarve; biodiversity4all.org/projects/nemalgarve; Base homepage under construction inside CCMAR webpage (ccmar.ualg.pt)</t>
  </si>
  <si>
    <t>nemalgarve@gmail.com</t>
  </si>
  <si>
    <t>To map and better understand colonization processes of non-indigenous species in south Portugal (Algarve), through participation of local citizens, including fishermen, divers, etc. Not limited to invasive species.</t>
  </si>
  <si>
    <t>Firstly Portuguese, but also English.</t>
  </si>
  <si>
    <t>CCMAR, Algarve University</t>
  </si>
  <si>
    <t>Anyone (general public), Fishermen, School students, University students, Scientists, e.g, biologists, etc., SCUBA divers, freedivers</t>
  </si>
  <si>
    <t>All, Marine fauna in general, specially target invertebrates (cnidarians, molluks, worms, crustacean) and vertebrates (fishes and megafauna)</t>
  </si>
  <si>
    <t>Marine, Brackish</t>
  </si>
  <si>
    <t>Introduction of mitigation measures towards rapid spreading invasive species. Measures to maintain ecological flow regimes in estuarine systems regulated by dams in order to prevent establishement of more invasive species.</t>
  </si>
  <si>
    <t>Social media, Website, Presentations on public events (fishing tournaments, etc)</t>
  </si>
  <si>
    <t>Online training, future workshops are being prepared.</t>
  </si>
  <si>
    <t>Facebook, Twitter, Registration in biodiversity4all.org, or sending by E-mail (nemalgarve@gmail.com) or social media</t>
  </si>
  <si>
    <t>App (Android, iOS, Windows), Online form, Sent by email, Facebook, Other social media, Samples</t>
  </si>
  <si>
    <t>Established, Naturalized, time scale: before 1950; 1950-1990; after 1990</t>
  </si>
  <si>
    <t>Not specified</t>
  </si>
  <si>
    <t>Introduced, Non-indigenous, Invasive</t>
  </si>
  <si>
    <t>Regarding invasive species, mainly "human-mediated", "ballast waters".</t>
  </si>
  <si>
    <t>https://drive.google.com/open?id=1wDnv4Cx96qtGhTAq4_1KPdl7pENwgj2C</t>
  </si>
  <si>
    <t>https://drive.google.com/open?id=17ZPpjpDdauNVkRyy2MHBUMQVIaTytxTJ</t>
  </si>
  <si>
    <t>General portal collecting biodv info - probably to keep out</t>
  </si>
  <si>
    <t>PB 20/4: I agree with Elena - exclude. (ELENA: 3) project 87 UkrBIN: it is a portal for biodiversity data, on which you can upload data also on alien species, but "navigating" in the website I was not able to find any dedicated page or sheets to aliens; so I will exclude it as we did for Ornitho)</t>
  </si>
  <si>
    <t>PB 11/5: Queried with Rumen Tomov 21/4 and no response, but I think should be included. (EM: I'm confused... by the description it seems they are going to use EASIN App to map IAS, but in the registration type they say "Participants will be invited, registration will not be needed" and this App needs people to register...)</t>
  </si>
  <si>
    <t>marina.golivets@gmail.com</t>
  </si>
  <si>
    <t>Marina Golivets</t>
  </si>
  <si>
    <t>UkrBIN</t>
  </si>
  <si>
    <t>Increasing understanding of alien species through citizen science (Alien-CSI): Approaches to citizen science, data management and standards (Bulgaria)</t>
  </si>
  <si>
    <t>http://ukrbin.com/</t>
  </si>
  <si>
    <t>The project aims at implementing activities under WG2: Approaches to CS and WG3: Data management and standards of CA17122 COST Action Alien CSI in Bulgaria. One of the objectives of the project is to translate the software of the smartphone application ‘Invasive Alien Species Europe’ developed by JRC into Bulgarian and to train citizens to work with the app at national level.</t>
  </si>
  <si>
    <t xml:space="preserve">Bulgarian and English </t>
  </si>
  <si>
    <t>Mapping of alien species, Early warning, Awareness raising, translation and practical use of the smartphone application ‘Invasive Alien Species Europe’ developed by JRC in Bulgaria</t>
  </si>
  <si>
    <t>Species presence and/or abundance, Data related to CS initiatives in Bulgaria</t>
  </si>
  <si>
    <t>n.yunakov@gmail.com</t>
  </si>
  <si>
    <t xml:space="preserve">UkrBIN is a voluntary initiative by a group of Ukrainian researchers to collect biodiversity data through citizen science.  UkrBIN has organized several online campaigns to collect data on alien species that occur in Ukraine. </t>
  </si>
  <si>
    <t>Mostly national (Ukraine), but other countries are represented as well</t>
  </si>
  <si>
    <t>English, Ukrainian, Russian</t>
  </si>
  <si>
    <t xml:space="preserve">Participants will be invited, registration will not be needed </t>
  </si>
  <si>
    <t>National repository, National database, ESENIAS, EASIN, CS Platform</t>
  </si>
  <si>
    <t>will be applied</t>
  </si>
  <si>
    <t>Institutional repository, and GBIF in 2020</t>
  </si>
  <si>
    <t>Darwin Core will be implemented in 2020</t>
  </si>
  <si>
    <t>Each data contributor can choose the type of license for their data</t>
  </si>
  <si>
    <t>markus.seppala@sll.fi</t>
  </si>
  <si>
    <t>Markus Seppälä</t>
  </si>
  <si>
    <t>Finvasive (VieKas) LIFE</t>
  </si>
  <si>
    <t>www.sll.fi/viekas-life</t>
  </si>
  <si>
    <t>specific IAS engagement lacking. 0 EXCLUDE General (bird) biodiversity portal, not alien-focused</t>
  </si>
  <si>
    <t>kati.salovaara@sll.fi</t>
  </si>
  <si>
    <t>IAS awareness building by using communication, citizen science data gathering and multi-stakeholder cooperation to survey and control invasive alien species in Finland.</t>
  </si>
  <si>
    <t>Finnish, abbreviated in english</t>
  </si>
  <si>
    <t>sandro.bertolino@unito.it</t>
  </si>
  <si>
    <t>Finnish Association for Nature Conservation FANC</t>
  </si>
  <si>
    <t>Sandro Bertolino</t>
  </si>
  <si>
    <t>www.ornitho.it</t>
  </si>
  <si>
    <t>Anyone (general public), Land managers, School students, Home gardeners</t>
  </si>
  <si>
    <t>Mapping of alien species, Prevention, Monitoring or surveillance, Engagement, Education, Awareness raising</t>
  </si>
  <si>
    <t>Species presence and/or abundance, Control measures (date, time, methods used, how many people and for how long)</t>
  </si>
  <si>
    <t>All of the examples given above.</t>
  </si>
  <si>
    <t>Newsletters, Social media, Website, Live training, e.g., courses or workshops, School engagement</t>
  </si>
  <si>
    <t>Group training, e.g., workshops, courses, etc., Online training will be added later on</t>
  </si>
  <si>
    <t>Facebook, Google account, Registration as laji.fi -database user is also an alternative to FB or Google -registration.</t>
  </si>
  <si>
    <t>Smart-phone optimised online form</t>
  </si>
  <si>
    <t>GBIF, First laji.fi -&gt; GBIF</t>
  </si>
  <si>
    <t>https://www.ornitho.it/</t>
  </si>
  <si>
    <t xml:space="preserve">https://laji.fi/en/about/848 </t>
  </si>
  <si>
    <t>gdc@ornitho.it</t>
  </si>
  <si>
    <t>It is a web portal used to collect records on many taxa. It is not focused on aliens species, but it does maintain information on many of these species</t>
  </si>
  <si>
    <t>Established, Invasive, Transformer</t>
  </si>
  <si>
    <t xml:space="preserve">Land-based, water-based, moving topsoil, illegal plant waste skip, </t>
  </si>
  <si>
    <t>Science communication (i.e., aimed at the general public), Unknown</t>
  </si>
  <si>
    <t>Italian, species are translated in English, German and French</t>
  </si>
  <si>
    <t>The web site is managed by a group of Associations involved in different taxa</t>
  </si>
  <si>
    <t>Mammals, Birds, Insects, amphibians and reptiles</t>
  </si>
  <si>
    <t>lakatos.ferenc@uni-sopron.hu</t>
  </si>
  <si>
    <t>Ferenc Lakatos</t>
  </si>
  <si>
    <t>INvasives</t>
  </si>
  <si>
    <t>http://emevi.emk.nyme.hu/index.php/22542/?&amp;L=1</t>
  </si>
  <si>
    <t>Mapping of alien species, The aim of the project is to map all species for a group of taxa</t>
  </si>
  <si>
    <t>There is a management group which include scientists anìs well as Citizen Scientists</t>
  </si>
  <si>
    <t>They should be able to recognize some species; data are validated by experts</t>
  </si>
  <si>
    <t>to track the range expansion of Cydalima perspectalis</t>
  </si>
  <si>
    <t xml:space="preserve">Among the thousands of contributors there are all cases, from one-off, to irregular and regular </t>
  </si>
  <si>
    <t>Institute of Silviculture and Forest Protection, University of Sopron</t>
  </si>
  <si>
    <t>early detection</t>
  </si>
  <si>
    <t xml:space="preserve">
This project aims to establish a link between the common citizen and the scientific community regarding the research of the Ladybirds existing in the Azores Islands</t>
  </si>
  <si>
    <t>human-assisted species distribution expansion</t>
  </si>
  <si>
    <t>the origin of the species is not reported</t>
  </si>
  <si>
    <t>karel.schoonvaere@inbo.be</t>
  </si>
  <si>
    <t>Karel Schoonvaere</t>
  </si>
  <si>
    <t>Vespa-Watch</t>
  </si>
  <si>
    <t>https://vespawatch.be/</t>
  </si>
  <si>
    <t>tim.adriaens@inbo.be</t>
  </si>
  <si>
    <t xml:space="preserve">Vespa-Watch centralizes the monitoring and managemant of the invasive Vespa velutina in Flanders (Belgium). It closely involves bee keepers, nature lovers, schools, nest eradicaters and the broad public in surveilling the occurences of the Asian hornet and searching for nests by continuous follow-up and nest searching activities (ivy blitzes). </t>
  </si>
  <si>
    <t>Dutch, English</t>
  </si>
  <si>
    <t>Research Institute Nature and Forest</t>
  </si>
  <si>
    <t xml:space="preserve">The project has been funded for 1 year (2018-2019) in context of a Citizen Science projects call of the Flemish Government. </t>
  </si>
  <si>
    <t>Anyone (general public), Land managers, School students, Scientists, e.g, biologists, etc., beekeepers, nature enthusiasts</t>
  </si>
  <si>
    <t>Mapping of alien species, Monitoring or surveillance, Early warning, Effectiveness of management, Education, Awareness raising</t>
  </si>
  <si>
    <t>Species presence and/or abundance, Measuring impacts, Early detection, Rate of spread</t>
  </si>
  <si>
    <t>Terrestrial, rural to semi-urban</t>
  </si>
  <si>
    <t>Toril L. Moen</t>
  </si>
  <si>
    <t>Vespa-Watch is involved in the Belgian IAS body. It also supports field operators and nest eradicators by transferring the latest experiences and scientific knowledge to date. Vespa-Watch is also active participant in drawing long-term mitigation strategies for Vespa velutina population control in Belgium.</t>
  </si>
  <si>
    <t>The project was designed without prior citizen consultation. During the project participant feedback was taken into account in the set up of the website.</t>
  </si>
  <si>
    <t>Artsjakten</t>
  </si>
  <si>
    <t>Newsletters, Social media, Website, Exhibitions, Live training, e.g., courses or workshops, BioBlitzes, School engagement</t>
  </si>
  <si>
    <t>Most of the participants are one-off type. Around 100 participants are more closely involved in surveillance and regularly questioned relating to Vv observations.</t>
  </si>
  <si>
    <t>App "Artsjakten" in Google Play and App Store</t>
  </si>
  <si>
    <t>BioBlitz, Online training, Specific training is organized for beekeepers. This does not involve the broad public (for this we organize bioblitzes).</t>
  </si>
  <si>
    <t>helene.jensen@sabima.no</t>
  </si>
  <si>
    <t xml:space="preserve">An app for observations of 100 selected species, 4 of them alien. Data delivered to the Norwegian Species Observations Service (artsobservasjoner.no). </t>
  </si>
  <si>
    <t>Online form, Sent by email, Facebook, regional observation portal: www.waarnemingen.be</t>
  </si>
  <si>
    <t>GBIF, Hard drive of project organiser</t>
  </si>
  <si>
    <t>No, No DMP but there is a data policy at hand: https://www.inbo.be/en/open-data-policy</t>
  </si>
  <si>
    <t>Sabima</t>
  </si>
  <si>
    <t>CC0</t>
  </si>
  <si>
    <t>Shipping and transport of (wood, soil, pottery) cargo during months October to March. Both international and national translocation have been recorded.</t>
  </si>
  <si>
    <t>First publication is in preparation</t>
  </si>
  <si>
    <t xml:space="preserve">Please carbon copy tim.adriaens@inbo.be in all conversations relating to Vespa-Watch. </t>
  </si>
  <si>
    <t>Engagement, Education</t>
  </si>
  <si>
    <t xml:space="preserve">Data collected will be available and used in governmental management. </t>
  </si>
  <si>
    <t>The project investigated aspects regarding the ecology and the effect of past and current rainfall and temperature on the abundance of A. vulgaris assessed via a citizen science approach in Austrian gardens.</t>
  </si>
  <si>
    <t>ab6340@coventry.ac.uk</t>
  </si>
  <si>
    <t>Katharina Dehnen-Schmutz</t>
  </si>
  <si>
    <t>PlantAlert</t>
  </si>
  <si>
    <t>www.plantalert.org</t>
  </si>
  <si>
    <t xml:space="preserve">Validation is done in the Norwegian Species Observations System after data is delivered there. </t>
  </si>
  <si>
    <t>Needs to register a user in the Norwegian Species Observations Service (artsobservasjoner.no) where the data is delivered from the app.</t>
  </si>
  <si>
    <t>A project for gardeners reporting ornamental plants spreading and difficult to control in their gardens and at risk to spread outside gardens. Longterm project.</t>
  </si>
  <si>
    <t>Botanical Society of Britain and Ireland (BSBI) in collaboration with Coventry University</t>
  </si>
  <si>
    <t>Non-governmental Organisation (NGO), University (U)</t>
  </si>
  <si>
    <t>Anyone (general public), gardeners</t>
  </si>
  <si>
    <t>Data is delivered to the Norwegian Observations Service (artsobservasjoner.no) where data is CC BY.</t>
  </si>
  <si>
    <t>Prevention, Monitoring or surveillance, Early warning, Engagement, Education, Awareness raising</t>
  </si>
  <si>
    <t>Species presence and/or abundance, evidence of ornamental plants spreading in gardens that are difficult to control</t>
  </si>
  <si>
    <t>one of the aims is to identify species that could be put forward to risk assessments</t>
  </si>
  <si>
    <t>Experts, this is the plan (project just started)</t>
  </si>
  <si>
    <t>Twitter, Direct project registration (e.g. website)</t>
  </si>
  <si>
    <t>BSBI database (marked as PlantAlert records) for plant recording in Britain and Ireland. As records are from gardens, unlikely they will go into national recording scheme.</t>
  </si>
  <si>
    <t>"ornamental plants that are spreading in your garden and are difficult to control"</t>
  </si>
  <si>
    <t>ornamental plants that are spreading in your garden and are difficult to control"</t>
  </si>
  <si>
    <t>ornamental garden plant</t>
  </si>
  <si>
    <t>https://drive.google.com/open?id=17UbZDhmo58u2E_VyjQDQow37fvTq_ejO</t>
  </si>
  <si>
    <t># IAS. 0 EXCLUDE General biodiversity portal, not alien-focused</t>
  </si>
  <si>
    <t>philippe.jourde@lpo.fr</t>
  </si>
  <si>
    <t>project just started. based on pilot study. Could not upload second publication in BSBI News.</t>
  </si>
  <si>
    <t>Philippe Jourde</t>
  </si>
  <si>
    <t>Faune-France</t>
  </si>
  <si>
    <t>https://www.faune-france.org</t>
  </si>
  <si>
    <t>diemer.vercayie@natuurpunt.be</t>
  </si>
  <si>
    <t>Diemer Vercayie</t>
  </si>
  <si>
    <t>Waarschuwingssysteem Invasieve Exoten</t>
  </si>
  <si>
    <t>www.waarnemingen.be/exoten</t>
  </si>
  <si>
    <t xml:space="preserve">Faune-France is a national portal concerning the Fauna of French metropolitain and overseas territories. Records are collected by citizen and professional naturalists from more than 50 nature protection NGOs.  </t>
  </si>
  <si>
    <t>French</t>
  </si>
  <si>
    <t>studie@natuurpunt.be</t>
  </si>
  <si>
    <t xml:space="preserve">Early warning system for invasive alien species. Citizen scientists add observations through the website waarnemingen.be or the apps ObsMapp or iObs and anyone can subscribe to be warned when certain species are seen in certain areas (any combination possible). </t>
  </si>
  <si>
    <t>LPO</t>
  </si>
  <si>
    <t>Dutch &amp; French</t>
  </si>
  <si>
    <t>Natuurpunt Studie vzw &amp; Natagora asbl</t>
  </si>
  <si>
    <t>Mammals, Birds, Crayfish, Insects, 29 faunistic groups including Molluscs, Spiders, Reptiles, Amphibians...</t>
  </si>
  <si>
    <t xml:space="preserve">Early warning system. Anyone (including government agencies, landowners or managers, nature conservation ngo's, …) can subscribe to get warnings of certain alien species in certain areas. They get a daily or weekly overview by automatically generated e-mail.  </t>
  </si>
  <si>
    <t>Mapping of alien species, Prevention, Monitoring or surveillance, Early warning, Effectiveness of management, Engagement, Education, Awareness raising, Testing scientific hypothesis, Fun</t>
  </si>
  <si>
    <t>Species presence and/or abundance, Changes in abundance, Collecting lists of species</t>
  </si>
  <si>
    <t>none needed to start, fact sheets for identification are provided to learn how to identify them</t>
  </si>
  <si>
    <t>it is up to the participant to decide how often they want to contribute</t>
  </si>
  <si>
    <t>automated species identification software based on image upload and feedback from validators</t>
  </si>
  <si>
    <t>Newsletters, Social media, Website, Live training, e.g., courses or workshops, BioBlitzes</t>
  </si>
  <si>
    <t>sql server</t>
  </si>
  <si>
    <t>Depends on the type on contribution (from none to advanced)</t>
  </si>
  <si>
    <t>chosen by user</t>
  </si>
  <si>
    <t>presence/absence map</t>
  </si>
  <si>
    <t>alarm list (non r occasional presence), established list, upcoming list (expanding)</t>
  </si>
  <si>
    <t>https://drive.google.com/open?id=11K4AqBFn_fPh3c6a0lComMmTPNFrFi7d</t>
  </si>
  <si>
    <t>Hard drive of project organiser, A substantial part of the records are shared with SINP and GBIF</t>
  </si>
  <si>
    <t>To be published soon.</t>
  </si>
  <si>
    <t>Introduced/escaped</t>
  </si>
  <si>
    <t>maarrten.degroot@gozdis.si</t>
  </si>
  <si>
    <t>Maarten de Groot</t>
  </si>
  <si>
    <t>LIFE ARTEMIS</t>
  </si>
  <si>
    <t>https://www.tujerodne-vrste.info/</t>
  </si>
  <si>
    <t>life-artemis@tujerodne-vrste.info</t>
  </si>
  <si>
    <t>This project is developing an early warning and rapid response system against invasive alien species in forests in Slovenia. The aim of this project is to increase awareness, developing a early warning and rapid response system and increase the knowledge of IAS by forest professionals and volunteers.</t>
  </si>
  <si>
    <t>Slovenian</t>
  </si>
  <si>
    <t>Slovenian Forestry Institute</t>
  </si>
  <si>
    <t># IAS. 0 EXCLUDE General (marine) biodiversity portal, not alien-focused</t>
  </si>
  <si>
    <t>Government, EU</t>
  </si>
  <si>
    <t>Anyone (general public), forest professionals</t>
  </si>
  <si>
    <t>Plants, Mammals, Insects, fungi</t>
  </si>
  <si>
    <t>Early warning, Education, Awareness raising</t>
  </si>
  <si>
    <t>esthug@mba.ac.uk</t>
  </si>
  <si>
    <t>Help with the implementation of the EU IAS legislation</t>
  </si>
  <si>
    <t>Esther Hughes</t>
  </si>
  <si>
    <t>Sealife Survey</t>
  </si>
  <si>
    <t>http://www.mba.ac.uk/recording</t>
  </si>
  <si>
    <t>GBIF, Institutional repository, EASIN</t>
  </si>
  <si>
    <t>SQL, but can be downloaded in different formats</t>
  </si>
  <si>
    <t>release in nature, escape from confinement, transport - contaminant, transport - stowaway, natural dispersal</t>
  </si>
  <si>
    <t>recording@mba.ac.uk</t>
  </si>
  <si>
    <t>Marine Biological Association's recording scheme for marine biodiversity records</t>
  </si>
  <si>
    <t>Marine Biological Association</t>
  </si>
  <si>
    <t>Charity</t>
  </si>
  <si>
    <t>Tim Adriaens</t>
  </si>
  <si>
    <t xml:space="preserve">Rinse That's Invasive! </t>
  </si>
  <si>
    <t>http://www.rinse-europe.eu/</t>
  </si>
  <si>
    <t>Mapping of alien species, Monitoring or surveillance, Early warning, Effectiveness of management, Engagement, Education, Awareness raising, Testing scientific hypothesis, Fun</t>
  </si>
  <si>
    <t>Social media, Website, BioBlitzes, School engagement</t>
  </si>
  <si>
    <t>Norfolk County Council, Mike.Sutton-Croft@defra.gsi.gov.uk or martin.horlock@norfolk.gov.uk</t>
  </si>
  <si>
    <t>The RINSE project (Reducing the Impact of Invasive Non-Native Species in Europe) sought to improve the management of IAS in the 2 Seas Region.The project developed a smartphone application named “That’s Invasive!”. The app collects georeferenced photographs of a selection of 36 IAS and uploads these to the online recording platform iRecord.</t>
  </si>
  <si>
    <t>Belgium, France, Netherlands, United Kingdom</t>
  </si>
  <si>
    <t>English, French, Dutch</t>
  </si>
  <si>
    <t>Norfolk County Council</t>
  </si>
  <si>
    <t>Plants, Mammals, Birds, Crayfish, Insects, amphibians</t>
  </si>
  <si>
    <t>Mapping of alien species, Engagement, Awareness raising, improve identification skills</t>
  </si>
  <si>
    <t>prevention through awareness raising</t>
  </si>
  <si>
    <t>Newsletters, Social media, Website, Live training, e.g., courses or workshops, workshops, events</t>
  </si>
  <si>
    <t>Online form, Sent by email, Sent by mail (paper sheet), Facebook, Other social media, Samples</t>
  </si>
  <si>
    <t>GBIF, OBIS, National repository</t>
  </si>
  <si>
    <t>Experts, Automated systems</t>
  </si>
  <si>
    <t>they download the app (does not require registration)</t>
  </si>
  <si>
    <t>NBN standards</t>
  </si>
  <si>
    <t>Yes, https://nbn.org.uk/the-national-biodiversity-network/archive-information/nbn-model-data-sharing-and-use-policy/</t>
  </si>
  <si>
    <t>Alien, Non-native, INNS - Invasive Non-Native Species</t>
  </si>
  <si>
    <t>https://drive.google.com/open?id=14hWuqAIBchadKcASQr0Ha-bNq6yETw9w</t>
  </si>
  <si>
    <t>Introduced, appeared, spread, accidental introduction, via ballast water</t>
  </si>
  <si>
    <t>Currently the website is down for maintenance, we are planning on getting it back up and running asap.</t>
  </si>
  <si>
    <t>the project is finished and the app has been decommissioned but records are still coming in from people that have the app on their phone</t>
  </si>
  <si>
    <t>specific IAS engagement lacking</t>
  </si>
  <si>
    <t>iMammalia</t>
  </si>
  <si>
    <t>https://european-mammals.brc.ac.uk/</t>
  </si>
  <si>
    <t>iNaturalist - IAS of Union Concern</t>
  </si>
  <si>
    <t>https://www.inaturalist.org/projects/invasive-alien-species-of-union-concern</t>
  </si>
  <si>
    <t>UK, Poland, Spain, Craatia</t>
  </si>
  <si>
    <t xml:space="preserve">iNaturalist survey for IAS of Union Concern in Europe. The purpose of this project is to stimulate recording of observations of Invasive Alien Species of EU concern through iNaturalist through a dedicated record collection for these species. </t>
  </si>
  <si>
    <t>continental (Europe)</t>
  </si>
  <si>
    <t>Albania, Austria, Belgium, Bosnia and Herzegovina, Bulgaria, Croatia, Cyprus, Czech Republic, Denmark, Estonia, Finland, France, Germany, Greece, Hungary, Iceland, Ireland, Israel, Italy, Latvia, Lithuania, Luxembourg, Malta, Montenegro, Netherlands, North Macedonia, Norway, Poland, Portugal, Romania, Serbia, Slovakia, Slovenia, Spain, Sweden, Switzerland, Turkey, United Kingdom</t>
  </si>
  <si>
    <t>Albanian, Arabic, Basque, Breton, Bulgarian, Catalan, Chinese, Czech, English, Estonian, Danish, Dutch, Finnish, French, Galician, German, Greek, Indonesian, Italian, Japanese, Korean, Luxembourgish, Macedonian, Occitan, Portuguese, Russian, Spanish</t>
  </si>
  <si>
    <t>private initiative (iNaturalist)</t>
  </si>
  <si>
    <t>private person</t>
  </si>
  <si>
    <t>Mapping of alien species, Awareness raising</t>
  </si>
  <si>
    <t>anyone can become a project manager</t>
  </si>
  <si>
    <t>Peers (citizens), Automated systems</t>
  </si>
  <si>
    <t>late addition from Tim but after discussion we agreed to exclude</t>
  </si>
  <si>
    <t>.csv</t>
  </si>
  <si>
    <t>creative commons to be determined by observers themselves</t>
  </si>
  <si>
    <t>there might have been publications with the data from this survey they can perhaps be found through GBIF</t>
  </si>
  <si>
    <t>af.martinou@gmail.com</t>
  </si>
  <si>
    <t>Kelly Martinou</t>
  </si>
  <si>
    <t>Pollinator Monitoring Scheme of Kypros</t>
  </si>
  <si>
    <t>https://www.ris-ky.eu/poms-ky</t>
  </si>
  <si>
    <t>We are looking at the effects that native and non-native plants on pollinators and we either record data together with citizens or we ask them to collect their data (flower insect counts) on their own. Inspired by POMS, CEH UK</t>
  </si>
  <si>
    <t>English but also Greek</t>
  </si>
  <si>
    <t>Joint Services Health Unit Cyprus, Akrotiri Environmental Education Centre</t>
  </si>
  <si>
    <t>Governmental Organisation (GO), Public Research Organisation (PRO)</t>
  </si>
  <si>
    <t>Plants, Insects</t>
  </si>
  <si>
    <t>Education, Awareness raising, Testing scientific hypothesis, Fun</t>
  </si>
  <si>
    <t>Online form, Sent by mail (paper sheet)</t>
  </si>
  <si>
    <t>af.martinou@tgmail.com</t>
  </si>
  <si>
    <t>Bug Alert Cyprus</t>
  </si>
  <si>
    <t>https://martinoulab.weebly.com/bug-alert-cyprus.html</t>
  </si>
  <si>
    <t>Looking for the Brown Marmorated Stink bug it was developed by Gabor Vetek, and we have set up an alert letter and an email account and we ask citizens to report the pest. We have also informed the relevant. Gabor was funded by the COST Action Alien CSI in order to set the project</t>
  </si>
  <si>
    <t>English and Greek</t>
  </si>
  <si>
    <t>Joint Services Health Unit</t>
  </si>
  <si>
    <t>Early warning, Awareness raising</t>
  </si>
  <si>
    <t xml:space="preserve">http://projekty.gdos.gov.pl/igo-trachemys-scripta - this is project founded by our gaverment and EU, conducted by our Ministry - not citizen science
</t>
  </si>
  <si>
    <t>It is not really policy relevant as the brown Marmorated stink bug is not included un the list of EU concern</t>
  </si>
  <si>
    <t>as often as people encounter stink bugs</t>
  </si>
  <si>
    <t>benoit.pisanu@mnhn.fr</t>
  </si>
  <si>
    <t>Jean-Louis Chapuis</t>
  </si>
  <si>
    <t>Les écureuils en France</t>
  </si>
  <si>
    <t>https://ecureuils.mnhn.fr/</t>
  </si>
  <si>
    <t>Collect distributional, morphological, and habitat description on native and invasive species of squirrels in France (Continental and Insular territory)</t>
  </si>
  <si>
    <t>National Museum of National History</t>
  </si>
  <si>
    <t>Mapping of alien species, Monitoring or surveillance, Early warning</t>
  </si>
  <si>
    <t>To cope with the French National Strategy (set in 2017) dedicated to IAS - to follow EU 2014/1143</t>
  </si>
  <si>
    <t>National Inventory of Natural Heritage</t>
  </si>
  <si>
    <t>Escape from captivity (owners or private shops)</t>
  </si>
  <si>
    <t xml:space="preserve">http://www.natrix.org.pl/ This is Association of Polish Herpetologists. You have to pay fee, and no records are visible. There are focused mainly on native species.
</t>
  </si>
  <si>
    <t>AF.MARTINOU@GMAIL.COM</t>
  </si>
  <si>
    <t>http://mosquitoeswithoutborders.com/</t>
  </si>
  <si>
    <t>Citizens have been provided with BG sentinel traps and they monitor for Aedes mosquitoes not yet present on the island of Cyprus</t>
  </si>
  <si>
    <t>Insects, Vectors of Disease Aedes mosquitoes</t>
  </si>
  <si>
    <t>Early warning, Engagement, Education, Awareness raising</t>
  </si>
  <si>
    <t>Aedes albopictus and Aedes aegypti the species that this projects focuses on are species of interest for the EC</t>
  </si>
  <si>
    <t>what's app</t>
  </si>
  <si>
    <t>Present, Absent</t>
  </si>
  <si>
    <t>Biodiversity, Human health</t>
  </si>
  <si>
    <t>cries@mnhn.lu</t>
  </si>
  <si>
    <t>Dr Christian Ries</t>
  </si>
  <si>
    <t>MosquitoLUX</t>
  </si>
  <si>
    <t>https://mosquitoes.lu/citizen-science/</t>
  </si>
  <si>
    <t>The project MosquitoLUX (2019-2021) aims to compile and complete knowledge on mosquitoes (Diptera: Culicidae) in Luxembourg. In a context of climate and environmental change, this first mosquito atlas should make it possible to draw up an inventory of Culicidae fauna, in terms of biodiversity first, but also in terms of public health and vector risks. The latter requires not only the collection of presence/absence data, but also abundance and seasonality according to different environments. This inventory should also make it possible to detect introduced invasive alien species and changes in the distribution areas of native species. We kindly ask the Luxembourg population to participate in the surveillance of invasive alien mosquitoes, which are quite easily recognised as they all are tiger mosquitoes with white sections on their legs.</t>
  </si>
  <si>
    <t>EN</t>
  </si>
  <si>
    <t>National Museum of Natural History</t>
  </si>
  <si>
    <t xml:space="preserve">https://zaborskipark.pl/aktualnosci-10/obce-gatunki-inwazyjne-nie-dziekuje-akcja-edukacyjna-w-szkolach/ This is homepage of Educators. They have not collect any records - not citizen science
</t>
  </si>
  <si>
    <t>Insects, Tigered mosquito species (Culicidae)</t>
  </si>
  <si>
    <t>surveillance for Aedes japonicus; early detection for Aedes albopictus and other alien tigered mosquito species</t>
  </si>
  <si>
    <t>Website, there will be a nationwide information campaign by post to all households in 4 languages (Lb, De, Fr, Pt)</t>
  </si>
  <si>
    <t>no form, samples are directly entered in the national database</t>
  </si>
  <si>
    <t>Darwin Core, NBN data model</t>
  </si>
  <si>
    <t>This webpage partly covers data management: https://data.mnhn.lu/en/legal</t>
  </si>
  <si>
    <t>The general aim of the project is to make control of invasive fish and crayfish species more effective and thus decrease their negative effects on
the aquatic environment.</t>
  </si>
  <si>
    <t>The project just started and we received a few samples from the public informed through the website. We expect to receive more samples after the national information campaign that will take place in May 2020.</t>
  </si>
  <si>
    <t>Phytophthora.se</t>
  </si>
  <si>
    <t>phytophthora.se</t>
  </si>
  <si>
    <t>seeking help from the public for the location of alien invasive Phytophthora diseases affecting trees in forests and urban landscapes</t>
  </si>
  <si>
    <t>English and Swedish</t>
  </si>
  <si>
    <t>Swedish University of Agricultural Sciences</t>
  </si>
  <si>
    <t xml:space="preserve">Phytophthora (oomycete) pathogens </t>
  </si>
  <si>
    <t>plant trade</t>
  </si>
  <si>
    <t>ode@floron.nl</t>
  </si>
  <si>
    <t>Baudewijn Odé</t>
  </si>
  <si>
    <t>Netwerk Ecologische monitoring invasieve vaatplanten</t>
  </si>
  <si>
    <t>www.floron.nl/meedoen/exoten-melden</t>
  </si>
  <si>
    <t xml:space="preserve">Stimulate and facilitate volunteers to have a special focus on invasive vascular plants in Netherlands and input their observation data in one of the Dutch dataportals or apps. </t>
  </si>
  <si>
    <t>FLORON Plant Conservation Netherlands</t>
  </si>
  <si>
    <t>Mapping of alien species, Prevention, Monitoring or surveillance, Early warning</t>
  </si>
  <si>
    <t>Includes Netherlands invasive plant species and data are being used to manage or eradicate species by responsible management organisations and to report to the EU.</t>
  </si>
  <si>
    <t xml:space="preserve">no specific registering for this project, although registering for any of the data-portals or apps is compulsory </t>
  </si>
  <si>
    <t>National database</t>
  </si>
  <si>
    <t>Science communication (i.e., aimed at the general public), Risk Analysis reports</t>
  </si>
  <si>
    <t>Engagement, Data</t>
  </si>
  <si>
    <t>Christian Ries</t>
  </si>
  <si>
    <t>Spot the cherry laurel in the wild</t>
  </si>
  <si>
    <t>No, Datasets are published through Biodiversity Maps in two ways. First, datasets that are licenced as open data under what is termed a Creative Commons - with attribution (CC-BY) licence, are available to download and use by third parties, provided the data publisher is given due attribution when the data are being used. Second, datasets that are licensed as restricted are available to be mapped and queried online, but it is not permitted to download the dataset. Use of the dataset must be obtained from the data publisher, whose contact details are provided in the metadata.</t>
  </si>
  <si>
    <t>https://neobiota.lu/prunus-laurocerasus/</t>
  </si>
  <si>
    <t>The CBD pathways categorisation for the introduction of alien species (from
UNEP/CBD/SBSTTA/18/9/Add.1)</t>
  </si>
  <si>
    <t>The Department of Ecology of MNHNL had launched a citizen science survey with children who are member of the of the Panda-Club of the Luxembourg National Museum of Natural History. An article in the children magazine Panewippchen (Schaltz 2017) suggests the young readers to participate to a citizen science survey concerning the recent spread into the wild of the cherry laurel (Prunus laurocerasus L.). Interested children are asked to look into the forests in their neighbourhood, the evergreen cherry laurel being very easy to spot in winter time, when most trees and shrubs had rejected their leaves. The children were asked to send the following basic information to info@neobiota.lu: how many cherry laurel individuals have been spotted?     Where were they spotted (using GPS of portable devices) Observers name, age, address and email address.</t>
  </si>
  <si>
    <t>Luxembourgian</t>
  </si>
  <si>
    <t>Children which are members of the Panda Club of the museum</t>
  </si>
  <si>
    <t>The single plant species Prunus laurocerasus</t>
  </si>
  <si>
    <t>Mapping of alien species, Monitoring or surveillance</t>
  </si>
  <si>
    <t>We wished to assess the spread of the species in the forests</t>
  </si>
  <si>
    <t>The design was made by a scientist (myself) together with educational staff of the museum.</t>
  </si>
  <si>
    <t>Website, A specific publication targeting children which are member of the Panda Club of the museum.</t>
  </si>
  <si>
    <t>italian</t>
  </si>
  <si>
    <t>The data were entered by the museum staff</t>
  </si>
  <si>
    <t>The project is terminated. The result is very poor, only one feedback from the father of one child who is a forester. I consider the project to have failed, although several thousand children were contacted directly via a museum magazine.</t>
  </si>
  <si>
    <t>Previous note: 1 INCLUDE Project filled-in as NOT alien-focused, but appears to be</t>
  </si>
  <si>
    <t>zamfir.victor@gmail.com</t>
  </si>
  <si>
    <t>Victor Zamfir</t>
  </si>
  <si>
    <t>harta ambroziei</t>
  </si>
  <si>
    <t>https://hartaambroziei.ro</t>
  </si>
  <si>
    <t>It's a map where people can mark ragweed presence on Romania's territory.</t>
  </si>
  <si>
    <t>romanian</t>
  </si>
  <si>
    <t>me (not an organisation)</t>
  </si>
  <si>
    <t>it's not an organisation</t>
  </si>
  <si>
    <t>Prevention, Monitoring or surveillance, Early warning, Effectiveness of management, Engagement, Awareness raising</t>
  </si>
  <si>
    <t>Prevention and eradication of ragweed from the infected lands.</t>
  </si>
  <si>
    <t>Peers (citizens)</t>
  </si>
  <si>
    <t>a cloud database</t>
  </si>
  <si>
    <t>Engagement, Descriptive, Data</t>
  </si>
  <si>
    <t>conrad@altmannhaus.com</t>
  </si>
  <si>
    <t>Conrad Altmann</t>
  </si>
  <si>
    <t>Invasive Species in Romania</t>
  </si>
  <si>
    <t>https://www.inaturalist.org/projects/invasive-species-in-romania</t>
  </si>
  <si>
    <t>Invasive and introduced flora and fauna observed in Romania</t>
  </si>
  <si>
    <t>iNaturalist</t>
  </si>
  <si>
    <t>Mapping of alien species, Education, Fun</t>
  </si>
  <si>
    <t>ELENA 21/4: About ADAMANT yes they mentioned Bioblitz in the file but I was not able to find anything on this or other public engagement in the project website, so my doubt arises after this check. But Ok to include, I guess the contributor knows it. PB 20/4: I would say include, as refers to Bioblitz use and public involvement in developing project (Contributory) (OLD NOTE: 1 INCLUDE - focus on boreal species transportation by macroplastics)</t>
  </si>
  <si>
    <t>weslaw@iopan.gda.pl</t>
  </si>
  <si>
    <t xml:space="preserve">Jan Marcin Weslawski </t>
  </si>
  <si>
    <t>ADAMANT</t>
  </si>
  <si>
    <t>https://www.iopan.pl/projects/Adamant/</t>
  </si>
  <si>
    <t xml:space="preserve">search for the organisms transported on macroplastic debris across the Atlantic </t>
  </si>
  <si>
    <t>Denmark, Iceland, Lithuania, Norway, Poland, United Kingdom</t>
  </si>
  <si>
    <t>english</t>
  </si>
  <si>
    <t xml:space="preserve">Institute of Oceanology Polish Academy of Sciences </t>
  </si>
  <si>
    <t>Mapping of alien species, Monitoring or surveillance, Testing scientific hypothesis</t>
  </si>
  <si>
    <t>BioBlitz, Group training, e.g., workshops, courses, etc.</t>
  </si>
  <si>
    <t xml:space="preserve">drifter, advected, rafted </t>
  </si>
  <si>
    <t>ROSA.OLIVO@UM.ES</t>
  </si>
  <si>
    <t>Rosa Olivo del Amo</t>
  </si>
  <si>
    <t>LIFE INVASAQUA</t>
  </si>
  <si>
    <t>www.lifeinvasaqua.com</t>
  </si>
  <si>
    <t>fjoliva@um.es</t>
  </si>
  <si>
    <t>LIFE INVASQUA will increase Iberian public and stakeholder’s awareness for IAS problems in aquatic ecosystems and will develop tools that will improve an efficient Early Warning and Rapid Response (EWRR) framework for new IAS in freshwater and estuarine habitats. Under a citizen approach, LIFE INVASAQUA will involve public and relevant interest groups in monitoring activities to support the EWRR systems in the Iberian Peninsula.</t>
  </si>
  <si>
    <t>Spanish, Portuguese, English</t>
  </si>
  <si>
    <t>University of Murcia</t>
  </si>
  <si>
    <t>LIFE Program</t>
  </si>
  <si>
    <t>Mapping of alien species, Prevention, Monitoring or surveillance, Early warning, Effectiveness of management, Engagement, Education, Awareness raising</t>
  </si>
  <si>
    <t>BioBlitz, Group training, e.g., workshops, courses, etc., Online training, video</t>
  </si>
  <si>
    <t>JRC Server</t>
  </si>
  <si>
    <t>None, the app is not yet online</t>
  </si>
  <si>
    <t>The app is not yet online, but it will be part of the existing "IAS in Europe" developed by JRC. LIFE INVASAQUA will design a specific module on Freshwater and estuarine IAS in the Iberian Peninsula which will be online next spring.</t>
  </si>
  <si>
    <t>noeferreira@uvigo.es</t>
  </si>
  <si>
    <t>Noé Ferreira Rodróguez</t>
  </si>
  <si>
    <t>TEKMAN</t>
  </si>
  <si>
    <t>https://www.researchgate.net/project/TEKMAN-Towards-the-empowerment-of-artisanal-fishers-in-invasive-alien-species-management</t>
  </si>
  <si>
    <t>The Project TEKMAN propose, through data compliance with a rigorous scientific methodology, a “Step zero” for the validation of traditional ecological knowledge for IAS management in Europe.</t>
  </si>
  <si>
    <t>University Ovidius of Constanta</t>
  </si>
  <si>
    <t>Fishermen</t>
  </si>
  <si>
    <t>Mollusk</t>
  </si>
  <si>
    <t>The empowerment of anglers and artisanal fishers to early detect IAS.</t>
  </si>
  <si>
    <t>Personal interviews</t>
  </si>
  <si>
    <t>Traditional/local knowledge</t>
  </si>
  <si>
    <t>Face-to-face</t>
  </si>
  <si>
    <t>Form</t>
  </si>
  <si>
    <t>No data standards used</t>
  </si>
  <si>
    <t>Arrival</t>
  </si>
  <si>
    <t>In preparation scientific peer-reviewed</t>
  </si>
  <si>
    <t>The Invasive Species Centre (ISC) has emerged out of necessity for a coordinated approach to research, education and raising public awareness of the importance of invasive species problems. The aim of CIV is to actively involve all relevant institutions in Porec and beyond, as well as children and citizens in the preservation of health and our unique and extremely valuable natural heritage.
CIV is located in the premises of the Institute for Agriculture and Tourism in Poreč. In addition to the staff of the Institute, CIV’s work is supported by numerous external associates, volunteers, students,  teachers and all interested citizens.</t>
  </si>
  <si>
    <t>Book of abstracts international meeting</t>
  </si>
  <si>
    <t>nirstern@ocean.org.il</t>
  </si>
  <si>
    <t>Nir Stern</t>
  </si>
  <si>
    <t>Reporting alien invasive fish species</t>
  </si>
  <si>
    <t>https://www.facebook.com/groups/FishInvasion/?ref=bookmarks</t>
  </si>
  <si>
    <t>nirstern@ocean.org.il; rshevy@gmail.com</t>
  </si>
  <si>
    <t xml:space="preserve">A web page in facebook, currently including 1200 members which comprises a mix of professional and recreational fishers, scuba divers and other people who have affinity to the Israeli sea life. </t>
  </si>
  <si>
    <t>Israel OCeanographiocal and Limnological Resaerch Institute; Tel Aviv University</t>
  </si>
  <si>
    <t>Governmental Organisation (GO), University (U)</t>
  </si>
  <si>
    <t>Species presence and/or abundance, Changes in abundance, Collecting lists of species, Early detection</t>
  </si>
  <si>
    <t>Social media, BioBlitzes</t>
  </si>
  <si>
    <t>Facebook, Other social media, Samples</t>
  </si>
  <si>
    <t>Ornamental introduction; Lessepsian Migration</t>
  </si>
  <si>
    <t>michael.pocock@ceh.ac.uk</t>
  </si>
  <si>
    <t>Michael Pocock</t>
  </si>
  <si>
    <t>Conker Tree Science</t>
  </si>
  <si>
    <t>http://www.conkertreescience.org.uk</t>
  </si>
  <si>
    <t>Ongoing recording of Cameraria damage to Aeculus trees. Previously rearing parasitoids (= pest control)</t>
  </si>
  <si>
    <t>Centre for Ecology &amp; Hydrology</t>
  </si>
  <si>
    <t>Website, School engagement</t>
  </si>
  <si>
    <t>ppipek@gmail.com</t>
  </si>
  <si>
    <t>Pavel Pipek</t>
  </si>
  <si>
    <t>Hlasy jelenů</t>
  </si>
  <si>
    <t>http://hlasyjelenu.cz</t>
  </si>
  <si>
    <t>info@hlasyjelenu.cz</t>
  </si>
  <si>
    <t>The study of Long (1998) has shown that hybrids of red and sika deer have an intermediate rut vocalisation. The projects thus collects recordings of red, sika and putative hybrid rut calls in order to map the occurence of hybrids in Czechia.</t>
  </si>
  <si>
    <t>Charles University</t>
  </si>
  <si>
    <t>Anyone (general public), Scientists, e.g, biologists, etc., hunters, scouts</t>
  </si>
  <si>
    <t>The proper management of sika deer is still lacking in Czechia - this might help to stress the imporatnce.</t>
  </si>
  <si>
    <t>Newsletters, Social media, Website, newspapers, radio, tv</t>
  </si>
  <si>
    <t>App (Android, iOS, Windows), Online form, Sent by email, Facebook, Other social media</t>
  </si>
  <si>
    <t>Escape from captivite farms</t>
  </si>
  <si>
    <t>yes, but the website is not working</t>
  </si>
  <si>
    <t>dinkam@sumins.hr</t>
  </si>
  <si>
    <t>Kartiranje pajasena na Pelješcu</t>
  </si>
  <si>
    <t>https://www.ekomalasirena.org/pajasen</t>
  </si>
  <si>
    <t xml:space="preserve">Mapping of Ailanthus altissima on island of Pelješac </t>
  </si>
  <si>
    <t>island Pelješac</t>
  </si>
  <si>
    <t>LIttle mermaid, ecological association</t>
  </si>
  <si>
    <t>Anyone (general public), Land managers, people living from agriculture</t>
  </si>
  <si>
    <t>Mapping of alien species, Prevention, eradication</t>
  </si>
  <si>
    <t>Social media, Website, Live training, e.g., courses or workshops, application</t>
  </si>
  <si>
    <t>App (Android, iOS, Windows), Online form, Facebook</t>
  </si>
  <si>
    <t>Katharina.lapin@bfw.gv.at</t>
  </si>
  <si>
    <t>Katharina Lapin</t>
  </si>
  <si>
    <t>ALPTREES</t>
  </si>
  <si>
    <t>https://www.alpine-space.eu/projects/alptrees/en/home</t>
  </si>
  <si>
    <t>facebook.com/NEMAlgarve
instagram.com/NEMAlgarve
twitter.com/NEMAlgarve
biodiversity4all.org/projects/nemalgarve
Base homepage under construction inside CCMAR webpage (ccmar.ualg.pt)</t>
  </si>
  <si>
    <t>To map and better understand colonization processes of non-indigenous species in south Portugal (Algarve), through participation of local citizens, including fishermen, divers, etc.
Not limited to invasive species.</t>
  </si>
  <si>
    <t>katharina.lapin@bfw.gv.at</t>
  </si>
  <si>
    <t xml:space="preserve">Assessment of non-native tree species in urban areas and forest by involving citizens in the alpine space region. </t>
  </si>
  <si>
    <t>Austria, France, Germany, Italy, Slovenia</t>
  </si>
  <si>
    <t>Federal Research and Training Centre for Forests, Natural Hazards and Landscape</t>
  </si>
  <si>
    <t>Anyone (general public), Land managers, Urban citzens</t>
  </si>
  <si>
    <t>Plants, tree species</t>
  </si>
  <si>
    <t>Introduction of mitigation measures towards rapid spreading invasive species.
Measures to maintain ecological flow regimes in estuarine systems regulated
by dams in order to prevent establishement of more invasive species.</t>
  </si>
  <si>
    <t>Mapping of alien species, Monitoring or surveillance, Engagement, Education, Awareness raising, Testing scientific hypothesis, Fun</t>
  </si>
  <si>
    <t>Species presence and/or abundance, Measuring impacts, Evidence of impacts on biodiversity</t>
  </si>
  <si>
    <t>the results will be used to develop a trannational strategy on non-native trees in the Alpine space region</t>
  </si>
  <si>
    <t>Yes, Unknown</t>
  </si>
  <si>
    <t>Established, Casual, Naturalized, Invasive, Unknown</t>
  </si>
  <si>
    <t xml:space="preserve">horticulture, forestry </t>
  </si>
  <si>
    <t>WE just have started, therefore i can provide you wit just very little information. In one year I will have more results to share.</t>
  </si>
  <si>
    <t>fra.tiralongo@hotmail.it</t>
  </si>
  <si>
    <t>Francesco Tiralongo</t>
  </si>
  <si>
    <t>AlienFish</t>
  </si>
  <si>
    <t>https://www.entefaunamarinamediterranea.it/alienfish-project/</t>
  </si>
  <si>
    <t>entefmm@gmail.com</t>
  </si>
  <si>
    <t>AlienFish is a project born in 2012 within Ente Fauna Marina Mediterranea. The main aim of AlienFish is to study rare fish species and the early detection of alien fish (and the monitoring of already established species) in Italian waters, also through “citizen science”, with the collaboration of fishermen, amateurs, divers and all other interested people.</t>
  </si>
  <si>
    <t>EFMM</t>
  </si>
  <si>
    <t>Anyone (general public), Fishermen, Scientists, e.g, biologists, etc.</t>
  </si>
  <si>
    <t>Fishes</t>
  </si>
  <si>
    <t>Social media, Website, Live training, e.g., courses or workshops, BioBlitzes</t>
  </si>
  <si>
    <t>Online form, Sent by email, Facebook, Samples</t>
  </si>
  <si>
    <t>Cryptogenic, Introduced, Alien, Non-indigenous</t>
  </si>
  <si>
    <t>nstitute of Biodiversity and Ecosystem Research, Bulgarian Academy of Sciences</t>
  </si>
  <si>
    <t>Hélia Marchante</t>
  </si>
  <si>
    <t>Desafios Invasoras.pt</t>
  </si>
  <si>
    <t>http://invasoras.pt/desafios-invasoras-pt-2020/</t>
  </si>
  <si>
    <t>invader@uc.pt</t>
  </si>
  <si>
    <t>citizen science project that asks citizens across the country to provide data on invasive plant species in Portugal, including 5 different "challenges": 1) map invasive plant species in Portugal with a geolocation app (an independent older project, already sent); 2) track an invasive plant over time through monthly photographic records to learn more about the life cycle of the IAP; 3) early detection of new invasive plants recently registered in the country; 4) communicate about the problem of invasive species reaching new audiences; 5) control invasive plants.</t>
  </si>
  <si>
    <t>Escola Superior Agrária do Instituto Politécnico de Coimbra and Centre for Functional Ecology from University of Coimbra</t>
  </si>
  <si>
    <t>cooperation between an University and a Polytechnic Institute</t>
  </si>
  <si>
    <t>Species presence and/or abundance, Early detection, phenological data</t>
  </si>
  <si>
    <t>geolocation data may be used for both early-detection (challenge 3) or surveillance (challenge 1)</t>
  </si>
  <si>
    <t>Social media, Website, Live training, e.g., courses or workshops, School engagement</t>
  </si>
  <si>
    <t>the project has 5 different challenges; to some citizens may choose to participate once or multiple times; others must participate multiple times</t>
  </si>
  <si>
    <t>some citizens participate without training; others have group training (e.g., school groups))</t>
  </si>
  <si>
    <t>Excel, some data stored on Excel (or scv); other may use different platforms</t>
  </si>
  <si>
    <t>1- I am a co-leader of the project; Elizabete Marchante is the other 2 - Considering that the project includes 5 different "challenges"/ tasks it was not always easy to answer the questions in this questionnaire</t>
  </si>
  <si>
    <t>PB 20/4: I think INCLUDE. See Project Description - involves school students.</t>
  </si>
  <si>
    <t>inesrosa.bio@gmail.com</t>
  </si>
  <si>
    <t>Inês Correia Rosa</t>
  </si>
  <si>
    <t>CIVIC</t>
  </si>
  <si>
    <t>The dynamics of the crayfish population in Estarreja rice paddies will be studied using a citizen science approach directly involving students of a local school in field surveys and in subsequent work necessary to characterize this crayfish population. Ultimately the project aimed to optimize the use of biocides to control crayfish populations.</t>
  </si>
  <si>
    <t>No information</t>
  </si>
  <si>
    <t>Department of Biology, Universidade de Aveiro</t>
  </si>
  <si>
    <t>Monitoring or surveillance, Engagement, Education, Awareness raising</t>
  </si>
  <si>
    <t>Changes in abundance, Experimental data</t>
  </si>
  <si>
    <t>Live training, e.g., courses or workshops, School engagement</t>
  </si>
  <si>
    <t>Human introduction</t>
  </si>
  <si>
    <t>Scientific peer-reviewed, Science communication (i.e., aimed at the general public), Article submitted to Prémio Jovens Cientistas 2019</t>
  </si>
  <si>
    <t>Please get in touch with me if you are interested in the list of publications. My laptop is broken and I do not have any access at the moment to them.</t>
  </si>
  <si>
    <t>kumakpredator@gmail.com</t>
  </si>
  <si>
    <t>Rafal Maciaszek</t>
  </si>
  <si>
    <t>Łowca Obcych / Alien Hunter</t>
  </si>
  <si>
    <t>www.kumakshrimp.pl/</t>
  </si>
  <si>
    <t>rafal.maciaszek@kumakshrimp.pl</t>
  </si>
  <si>
    <t>Łowca Obcych project main aims are to locate and cover with the monitoring plants and aquarium animals introduced into Polish waters, where they may become a threat to the natural ecosystem.</t>
  </si>
  <si>
    <t>Kumak Shrimp</t>
  </si>
  <si>
    <t>Private Company</t>
  </si>
  <si>
    <t>Plants, Crayfish, Fish, water invertebrates including epibionts of fish, crustaceans and molluscs</t>
  </si>
  <si>
    <t>Species presence and/or abundance, Changes in abundance, Collecting lists of species, Measuring impacts, Evidence of impacts on biodiversity, Early detection</t>
  </si>
  <si>
    <t>Freshwater, Marine, Urban</t>
  </si>
  <si>
    <t>Social media, Website, Exhibitions, Live training, e.g., courses or workshops</t>
  </si>
  <si>
    <t>App (Android, iOS, Windows), Sent by mail (paper sheet), Facebook, Samples</t>
  </si>
  <si>
    <t>On the site anyone can record sighting data about arthropods,
upload images and provide additional information.
These findings are validated by experts.
All data are open, and can be used for any publication or scientific research project.</t>
  </si>
  <si>
    <t>percnong@gmail.com</t>
  </si>
  <si>
    <t>ANTONIOS GEROPOULOS</t>
  </si>
  <si>
    <t>PERCNON</t>
  </si>
  <si>
    <t xml:space="preserve">percnon.weebly.com </t>
  </si>
  <si>
    <t xml:space="preserve">Explore the geographic range of the NIS Percnon gibessi in Mediterranean Sea. </t>
  </si>
  <si>
    <t>Mediterranean Sea</t>
  </si>
  <si>
    <t>University of Crete</t>
  </si>
  <si>
    <t>Government, Private, Scholarships</t>
  </si>
  <si>
    <t>Crayfish, Crab</t>
  </si>
  <si>
    <t>Mapping of alien species, Early warning, Effectiveness of management, Testing scientific hypothesis</t>
  </si>
  <si>
    <t>Species presence and/or abundance, Rate of spread, Experimental data</t>
  </si>
  <si>
    <t>Google account</t>
  </si>
  <si>
    <t>Non-native, Non-indigenous</t>
  </si>
  <si>
    <t xml:space="preserve">ELENA 21/4: project 90 CARPOFLOR: it looks more a project linked to UNI and students, but maybe Beta knows more about it. BETA 21/4: About CARPOFLOR I have not heard from that project for some time, but as far as I can remember it was CS although the target group was focused in uni students. PB 20/4: I think INCLUDE. Website is limited but answers here (from Project Leader) indicate involvement of school children; plus mapping of species; plus is a Collaborative project with citizens. </t>
  </si>
  <si>
    <t>luis@uvigo.gal</t>
  </si>
  <si>
    <t>Luís González Rodríguez</t>
  </si>
  <si>
    <t>Carpoflor</t>
  </si>
  <si>
    <t>htpp:/pep.uvigo.es</t>
  </si>
  <si>
    <t>To obtain phenological data on Carpobrotus edulis and presence of other invasive plant species on island Illa de Arousa, Spain</t>
  </si>
  <si>
    <t>English and Galician language</t>
  </si>
  <si>
    <t>Universidade de Vigo</t>
  </si>
  <si>
    <t>Species presence and/or abundance, Changes in abundance, Collecting lists of species, Evidence of impacts on biodiversity, Experimental data</t>
  </si>
  <si>
    <t>Sent by mail (paper sheet)</t>
  </si>
  <si>
    <t>Naturalized, Invasive, Transformer</t>
  </si>
  <si>
    <t>Deliberately, Unintentionally</t>
  </si>
  <si>
    <t>jthevenot@mnhn.fr</t>
  </si>
  <si>
    <t>EEE-FIF</t>
  </si>
  <si>
    <t>http://eee.mnhn.fr/</t>
  </si>
  <si>
    <t>As part of the national strategy on invasive alien species (IAS) in France, the UMS PatriNat (OFB-CNRS-MNHN) provides an information and monitoring site on exotic fauna in France. Thanks to a reporting form, the site allows everyone to report their observations of species to watch. This participatory approach is complementary to existing monitoring and focuses on species that are often little studied in France. After validation, the data collected will feed the SINP and the INPN, European regulation N ° 1143/2014 and will contribute to research and monitoring programs. The site also offers information on monitoring species in the wild, on the national expertise network; scientific bibliography, educational and communication articles, etc.</t>
  </si>
  <si>
    <t>MNHN - UMS PATRINAT (OFB - CNRS - MNHN)</t>
  </si>
  <si>
    <t>Public establishment</t>
  </si>
  <si>
    <t>nothing (just via the actions of the post)</t>
  </si>
  <si>
    <t>any type of actor</t>
  </si>
  <si>
    <t>Mammals, Birds, Crayfish, Insects, Animals</t>
  </si>
  <si>
    <t>Prevention, Monitoring or surveillance, Early warning, Education, Awareness raising</t>
  </si>
  <si>
    <t>Species presence and/or abundance, Changes in abundance, Early detection, habitats, stage of development,  respondent profile (individual, professional)</t>
  </si>
  <si>
    <t>detection as part of an alert</t>
  </si>
  <si>
    <t>Newsletters, Website</t>
  </si>
  <si>
    <t>GBIF, National repository, Hard drive of project organiser, INPN (national inventory of natural heritage)</t>
  </si>
  <si>
    <t>Cardobs standard fields (observation book) in link with the INPN</t>
  </si>
  <si>
    <t>Yes, https://inpn.mnhn.fr/espece/jeudonnees/4427</t>
  </si>
  <si>
    <t>INPN</t>
  </si>
  <si>
    <t>nothing</t>
  </si>
  <si>
    <t>peter.brown@aru.ac.uk</t>
  </si>
  <si>
    <t>Harlequin Ladybird Survey</t>
  </si>
  <si>
    <t>https://www.coleoptera.org.uk/coccinellidae/harlequin-ladybird-has-landed</t>
  </si>
  <si>
    <t xml:space="preserve">CS project to gather data on the distribution, spread and ecology of the harlequin ladybird Harmonia axyridis. Project originally had a bespoke website but is now part of UK Ladybird Survey. </t>
  </si>
  <si>
    <t>NERC CEH / Anglia Ruskin University / University of Cambridge</t>
  </si>
  <si>
    <t>Species presence and/or abundance, Changes in abundance, Evidence of impacts on biodiversity, Rate of spread</t>
  </si>
  <si>
    <t>Two key policy aspects. 1. Surveillance: with a view to modelling spread such that future invasions could be better predicted; 2. Public engagement: trialing new technology (online recording 2005, smartphone app 2013)</t>
  </si>
  <si>
    <t>Newsletters, Social media, Website, Exhibitions, Live training, e.g., courses or workshops, BioBlitzes, School engagement, Talks to natural history societies</t>
  </si>
  <si>
    <t>App (Android, iOS, Windows), Online form, Sent by email, Sent by mail (paper sheet), Other social media, Samples</t>
  </si>
  <si>
    <t>iRecord database</t>
  </si>
  <si>
    <t>https://drive.google.com/open?id=1CYobY9HkU5dLQN11m5q6itZH93kBX2ST</t>
  </si>
  <si>
    <t>Peter Brown</t>
  </si>
  <si>
    <t>Recording Invasive Species Counts (RISC)</t>
  </si>
  <si>
    <t>http://www.nonnativespecies.org/index.cfm?pageid=234</t>
  </si>
  <si>
    <t>dbr@ceh.ac.uk</t>
  </si>
  <si>
    <t>Public biological recording initiative for on-line recording of 19 non-native species. These are mostly high profile species that are relatively easy to identify. Some are common non-natives and others are alert species.</t>
  </si>
  <si>
    <t>NERC CEH / GB NNSS</t>
  </si>
  <si>
    <t xml:space="preserve">Plants, Mammals, Crayfish, Insects, also a few others from Crustacea, Mollusca, Tunicata </t>
  </si>
  <si>
    <t>Mapping of alien species, Prevention, Monitoring or surveillance, Early warning, Engagement, Education, Awareness raising</t>
  </si>
  <si>
    <t>Early-detection (for some species), surveillance (for others)</t>
  </si>
  <si>
    <t>andrewsalisbury@rhs.org.uk</t>
  </si>
  <si>
    <t>Andrew Salisbury</t>
  </si>
  <si>
    <t>Surveys on the spread of non-native garden insects</t>
  </si>
  <si>
    <t>https://www.rhs.org.uk/science/plant-health-in-gardens/entomology/rhs-projects-on-plant-pests/the-spread-of-non-native-garden-pests</t>
  </si>
  <si>
    <t>Web based surveys on the spread of non-native garden insects. These currently include   Lilioceris lilii, h Contarinia quinquenotata,  Arge berberidis,  Chrysolina americana, boand Cydalima perspectalis</t>
  </si>
  <si>
    <t>Ireland, United Kingdom</t>
  </si>
  <si>
    <t>Royal Horticultural Society</t>
  </si>
  <si>
    <t>Mapping of alien species, Monitoring or surveillance, Engagement, Awareness raising</t>
  </si>
  <si>
    <t>Made GDPR compliant and shared on NBN</t>
  </si>
  <si>
    <t>GDPR compliant data available via NBN</t>
  </si>
  <si>
    <t>Previous note: 1 INCLUDE as strong link to ash dieback</t>
  </si>
  <si>
    <t>jo.clark@futuretrees.org</t>
  </si>
  <si>
    <t>Jo Clark</t>
  </si>
  <si>
    <t>Living Ash Project</t>
  </si>
  <si>
    <t>www.livingashproject.org.uk</t>
  </si>
  <si>
    <t>To identify ash trees showing tolerance to Hymenoscyphus fraxineus</t>
  </si>
  <si>
    <t>Future Trees Trust</t>
  </si>
  <si>
    <t>Anyone (general public), Land managers</t>
  </si>
  <si>
    <t>Absent</t>
  </si>
  <si>
    <t xml:space="preserve">resistant' 'tolerant' </t>
  </si>
  <si>
    <t>pathogen introduced to Britain on infected nursery stock, but also airborne</t>
  </si>
  <si>
    <t>https://drive.google.com/open?id=1EFJOXm9_bTCIS33A31ZNMgiuG2dgxrhN</t>
  </si>
  <si>
    <t>hele@ceh.ac.uk</t>
  </si>
  <si>
    <t>Helen Roy</t>
  </si>
  <si>
    <t>Asian Hornet Watch</t>
  </si>
  <si>
    <t>https://www.ceh.ac.uk/news-and-media/news/asian-hornet-monitoring-takes-flight-new-app-developed-ceh-scientists</t>
  </si>
  <si>
    <t>The Asian Hornet Watch app is a tool which is available in addition to the GB Non-Native Species Information Portal (GB-NNSIP) developed by the Biological Records Centre at CEH and funded by Defra. The portal involves a network of people, including volunteer recording schemes and societies alongside CEH and other organisations such as the British Trust for Ornithology (BTO), the Botanical Society of Britain &amp; Ireland (BSBI) and the Marine Biological Association (MBA), sharing information on non-native species. The Alert System was created at an early stage of the GB-NNSIP in response to a need for rapid information to inform early warning and detection of 41 non-native species – including the Asian hornet. The system is made up of an online recording tool called iRecord and a dedicated website where people can also report sightings. CEH, through the Alerts System, provides information to Defra’s National Bee Unit and the Non-native Species Secretariat and – together with the Bees, Wasps and Ants Recording Society – managed over 2000 records over the four weeks following the detection of the Asian hornet in 2016. The Asian Hornet Watch app can be downloaded for free for Android via Google Play and for iOS via iTunes.</t>
  </si>
  <si>
    <t>Collaboration with the UK government to inform early-warning</t>
  </si>
  <si>
    <t>Newsletters, Social media, Website, Live training, e.g., courses or workshops, BioBlitzes, General media</t>
  </si>
  <si>
    <t>Any of above</t>
  </si>
  <si>
    <t>Direct project registration (e.g. website), iRecord registration</t>
  </si>
  <si>
    <t>App (Android, iOS, Windows), Online form, Sent by email, Sent by mail (paper sheet), Samples, All / any of above - samples or photos needed for verifictaion</t>
  </si>
  <si>
    <t>GBIF, National repository, Institutional repository</t>
  </si>
  <si>
    <t>iRecord (Indicia)</t>
  </si>
  <si>
    <t>Need to check - sensitive data</t>
  </si>
  <si>
    <t>CBD Classification</t>
  </si>
  <si>
    <t>Previous note: 1 INCLUDE - most deer species in UK are alien</t>
  </si>
  <si>
    <t>putman.rory@gmail.com</t>
  </si>
  <si>
    <t>Professor Rory Putman, Chairman British Deer Society</t>
  </si>
  <si>
    <t>British Deer Society Survery of Distribution and Abundance</t>
  </si>
  <si>
    <t>https://www.bds.org.uk/index.php/research/deer-distribution-survey</t>
  </si>
  <si>
    <t>Putman.rory@gmail.com</t>
  </si>
  <si>
    <t>1. Sightings of individuals of each individual species of deer in UK Including non-natives) can be logged, with location,  on the British Deer Society app. for mobile devices, by any person (members or general public). This gives information on presence/absence in given grid squares.2.  In parallel, launching in spring 2020, a survey, largely though members of relative abundance using standardised sampling protocol [details on request]. 3. A third strand, exploiting footage from camera traps deployed in stratified manner, due to be launched 2021</t>
  </si>
  <si>
    <t>British Deer Society</t>
  </si>
  <si>
    <t>Anyone (general public), Part general public (already launched), follow-up stages through members of the British Deer Society and artner organisations [BASC, National Gamekeepers' Organisation, Mammal Society]</t>
  </si>
  <si>
    <t>Detailed mapping of distribution and abundance of all UK deer species, which includes 4 non-natives: Fallow deer, sika, Reeves' muntjac and Chinese water deer.</t>
  </si>
  <si>
    <t>Early detection, particularly of muntjac, on wavefront of spread (and particularly in Northern England in zone of possible incursion into Scotland where muntjac currently absent.  More generally, and within established areas of distribution of all species: surveillance</t>
  </si>
  <si>
    <t>For sighting data (paghse 1) through app. for mobile devices, no expert knowledge expected, although particpants will be 'graded' on extent of likely accuracy of identification. For subsequent phases exploring relative abundance as well as independent estimates of distribution, contributors will be expected to have familiarity with all main species of British deer</t>
  </si>
  <si>
    <t xml:space="preserve">For sightings surveys on mobile phone app. irregular and whenever; for second phase (through membership) regular. </t>
  </si>
  <si>
    <t>Hard drive of project organiser, Initially held by British Deer Society; however records will be 'open' and after analysis reports and maps will be uplifted online</t>
  </si>
  <si>
    <t>Still under development. Project analyst still to be appointed</t>
  </si>
  <si>
    <t>There will be once survey is completed and data formally 'proofed' and analysed through GIS</t>
  </si>
  <si>
    <t xml:space="preserve">All non-native species covered within the survey were deliberate historical introductions </t>
  </si>
  <si>
    <t>Surveys still ongoing. However outputs will be used to underpin paper submitted to peer-reviewed literature as well as popular communication aimed at the general public</t>
  </si>
  <si>
    <t>As noted, project in 3 phases, with phase 1 (general public) launched in August 2019 and phase 2 to be launched spring 2020. Thus answers to many questions above incomplete because survey still in progress and in very early stages</t>
  </si>
  <si>
    <t>elsa.quillery@anses.fr</t>
  </si>
  <si>
    <t>Elsa Quillery</t>
  </si>
  <si>
    <t>signalement moustique</t>
  </si>
  <si>
    <t>https://signalement-moustique.anses.fr/</t>
  </si>
  <si>
    <t xml:space="preserve">signalement-moustique@anses.fr </t>
  </si>
  <si>
    <t>the website created in 2014, by the Cnev (National Centre of expertise on vectors and vector risk) was taken over in 2018 by Anses. The aim of the project is (i) to inform the public about the tiger mosquito, (ii) to signalize its presence, (iii) to know which municipalities are colonized by the tiger mosquito. the website is used as a passive surveillance tool in the surveillance system of the tiger mosquito in France.</t>
  </si>
  <si>
    <t>French Agency for Food, Environmental and Occupational Health &amp; Safety (Anses)</t>
  </si>
  <si>
    <t>Monitoring or surveillance, Early warning, Awareness raising</t>
  </si>
  <si>
    <t>early detection of new colonized french department,surveillance and vector control</t>
  </si>
  <si>
    <t xml:space="preserve">tyres trade </t>
  </si>
  <si>
    <t>blagier@hauts-de-seine.fr</t>
  </si>
  <si>
    <t xml:space="preserve">Benoit LAGIER </t>
  </si>
  <si>
    <t>Perruche-a-collier.fr</t>
  </si>
  <si>
    <t>perruche-a-collier.fr</t>
  </si>
  <si>
    <t>The aim of the platform is to gather public observations of ring necked parrakeets. Contributors may input data on presence (indivual , group , dormitory) , impacts of these birds.</t>
  </si>
  <si>
    <t xml:space="preserve">Hauts de Seine departemental board </t>
  </si>
  <si>
    <t>Territorial administration</t>
  </si>
  <si>
    <t>Facebook, Departemental news paper</t>
  </si>
  <si>
    <t>Technical validation to moderate contributions.</t>
  </si>
  <si>
    <t>Yes, https://opendata.hauts-de-seine.fr/explore/?q=perruche&amp;sort=modified</t>
  </si>
  <si>
    <t>Open</t>
  </si>
  <si>
    <t>in an establishing process</t>
  </si>
  <si>
    <t>Science communication (i.e., aimed at the general public), NGO publications,</t>
  </si>
  <si>
    <t>Meeting of the institutional participants every two years</t>
  </si>
  <si>
    <t>quentin.rome@mnhn.fr</t>
  </si>
  <si>
    <t>Quentin Rome</t>
  </si>
  <si>
    <t>Frelon asiatique</t>
  </si>
  <si>
    <t>http://frelonasiatique.mnhn.fr/</t>
  </si>
  <si>
    <t>Communication, monitoring of invasion and acquisition of biological and impact datas.</t>
  </si>
  <si>
    <t>UMS PatriNat - OFB, CNRS, MNHN</t>
  </si>
  <si>
    <t>Vespa velutina</t>
  </si>
  <si>
    <t>Mapping of alien species, Prevention, Monitoring or surveillance, Early warning, Education, Awareness raising, Testing scientific hypothesis</t>
  </si>
  <si>
    <t>Species presence and/or abundance, Measuring impacts, Evidence of impacts on biodiversity, Early detection, Rate of spread, Experimental data</t>
  </si>
  <si>
    <t>All the actions of the project are of policy relevance.</t>
  </si>
  <si>
    <t>Newsletters, Social media, Website, Exhibitions, Gaming</t>
  </si>
  <si>
    <t>Online database</t>
  </si>
  <si>
    <t>https://inpn.mnhn.fr/telechargement/standard-occurrence-taxon</t>
  </si>
  <si>
    <t>Accidental human transportation and natural pathway</t>
  </si>
  <si>
    <t>https://drive.google.com/open?id=1vfMAcCVyPXx0TTp-urztLUHkzgrhbuAm</t>
  </si>
  <si>
    <t>PB 20/4: include - refers to app for IAS recording. Project details saved. (TIM: I checked my projects and I think they all qualify. I would value your opinion on 103 and 105, they do not clearly have a citizen science methodology but do have actions on the outreach front from what I could retrieve from the websites.)</t>
  </si>
  <si>
    <t>yes (but mostly education &amp; outreach rather than data capture)</t>
  </si>
  <si>
    <t>marijasmederevac@imsi.bg.ac.rs</t>
  </si>
  <si>
    <t>Marija Smederevac-Lalić</t>
  </si>
  <si>
    <t>Sava TIES</t>
  </si>
  <si>
    <t>http://dinaricarcparks.blogspot.com/2019/03/ujedinjeni-u-borbi-protiv-invazivnih.html</t>
  </si>
  <si>
    <t>http://nationalpark-una.ba/bs/podkategorija.php?id=51</t>
  </si>
  <si>
    <t xml:space="preserve">Project of regional importance “Conservation of the Sava River Basin habitat through international invasive species management” - Sava TIES started on June 1, 2018. Over the next three years, the project will be implemented in the territory of four countries flowing through the Sava rivers - Slovenia, Croatia, Bosnia and Herzegovina and Serbia. </t>
  </si>
  <si>
    <t>Bosnia and Herzegovina, Croatia, Serbia, Slovenia</t>
  </si>
  <si>
    <t>Bosnian</t>
  </si>
  <si>
    <t xml:space="preserve">Bosnia and Hercegovina </t>
  </si>
  <si>
    <t>The project MosquitoLUX (2019-2021) aims to compile and complete knowledge on mosquitoes (Diptera: Culicidae) in Luxembourg. In a context of climate and environmental change, this first mosquito atlas should make it possible to draw up an inventory of Culicidae fauna, in terms of biodiversity first, but also in terms of public health and vector risks. The latter requires not only the collection of presence/absence data, but also abundance and seasonality according to different environments. This inventory should also make it possible to detect introduced invasive alien species and changes in the distribution areas of native species.
We kindly ask the Luxembourg population to participate in the surveillance of invasive alien mosquitoes, which are quite easily recognised as they all are tiger mosquitoes with white sections on their legs.</t>
  </si>
  <si>
    <t>Effectiveness of management</t>
  </si>
  <si>
    <t>info@nationalpark-una.ba</t>
  </si>
  <si>
    <t>for more info contact info@nationalpark-una.ba</t>
  </si>
  <si>
    <t>Protecting Nature from Invasive Plant Species</t>
  </si>
  <si>
    <t>http://www.ekourbapv.vojvodina.gov.rs/rs/%D1%81%D0%B0%D0%BE%D0%BF%D1%88%D1%82%D0%B5%D1%9A%D0%B5-%D0%B7%D0%B0-%D0%BC%D0%B5%D0%B4%D0%B8%D1%98%D0%B5-%D1%81%D0%B5%D0%BC%D0%B8%D0%BD%D0%B0%D1%80-%D0%B7%D0%B0-%D1%83%D0%BF%D1%80%D0%B0%D0%B2%D1%99/</t>
  </si>
  <si>
    <t>tatjana.djuric@vojvodina.gov.rs</t>
  </si>
  <si>
    <t>The main objective of the project is to reduce environmental risks and prevent the negative effects of climate change in protected areas in the border region of Hungary-Serbia by conducting joint actions in monitoring and mapping of invasive plant species and suppressing ragweed.</t>
  </si>
  <si>
    <t>Hungary, Serbia</t>
  </si>
  <si>
    <t>Vojvodina Province secretariat the Secretariat for Urbanism and the Environment</t>
  </si>
  <si>
    <t>non available data</t>
  </si>
  <si>
    <t>for more info contact tatjana.djuric@vojvodina.gov.rs</t>
  </si>
  <si>
    <t>PB 20/4: agree - include - refers to Bioblitz. (TIM: I checked my projects and I think they all qualify. I would value your opinion on 103 and 105, they do not clearly have a citizen science methodology but do have actions on the outreach front from what I could retrieve from the websites.)</t>
  </si>
  <si>
    <t>yes (but primarily research aimed)</t>
  </si>
  <si>
    <t>mpucar@imsi.rs</t>
  </si>
  <si>
    <t>Milica Jaćimović</t>
  </si>
  <si>
    <t>Black Bullhead (Ameiurus melas) in Ponjavica Nature Park: Biological Characteristics, Effects on Native Ichthyofauna, Mass Removal and Experimental Rearing</t>
  </si>
  <si>
    <t>https://www.rufford.org/projects/milica_ja%C4%87imovi%C4%87</t>
  </si>
  <si>
    <t xml:space="preserve">This pilot project aims to quantify the population dynamic of both the native and non-native ichthyofauna of the Ponjavica Nature Park after the removal of the black bullhead. So as not to waste the caught fish, the idea is to use it for human food. Thus, it is intended that a certain amount of caught fish be experimentally reared in the Centre for Fisheries and Applied Hydrobiology "Mali Dunav" ODPF Radmilovac of the Agricultural Faculty, University of Belgrade (CEFAH). The plan includes researching rearing in fish mesocosm systems, cage and tank systems, with different food combinations in order to achieve the most optimal increase. </t>
  </si>
  <si>
    <t>Institute for multidisciplinary research</t>
  </si>
  <si>
    <t>Fishermen, Land managers, University students, Scientists, e.g, biologists, etc.</t>
  </si>
  <si>
    <t xml:space="preserve">Effectiveness of management, Testing scientific hypothesis, aquaculture (experimental rearing) of invasive alien species </t>
  </si>
  <si>
    <t>Species presence and/or abundance, Changes in abundance, Collecting lists of species, Evidence of impacts on biodiversity</t>
  </si>
  <si>
    <t>BioBlitzes</t>
  </si>
  <si>
    <t>YouTube, Television</t>
  </si>
  <si>
    <t>Aquaculture</t>
  </si>
  <si>
    <t>tatsiana.lipinskaya@gmail.com</t>
  </si>
  <si>
    <t>Integrated management and system of measures to reduce negative impact of invasive alien species in protected areas of cross-border region</t>
  </si>
  <si>
    <t>ustinvladimir@gmail.com</t>
  </si>
  <si>
    <t>Strengthening cooperation between Latvia, Lithuania and Belarus to address the common problems of the trans-boundary distribution of invasive alien species and prevent their negative impact on public health and valuable natural habitats</t>
  </si>
  <si>
    <t>Belarus, Latvia, Lithuania</t>
  </si>
  <si>
    <t>English, Russian</t>
  </si>
  <si>
    <t>Scientific and Practical Center for Bioresources</t>
  </si>
  <si>
    <t>National Academy of Sciences</t>
  </si>
  <si>
    <t>Anyone (general public), Land managers, School students</t>
  </si>
  <si>
    <t>Engagement, Education, Awareness raising</t>
  </si>
  <si>
    <t>Social media, Live training, e.g., courses or workshops, School engagement, Gaming</t>
  </si>
  <si>
    <t>NOTE: it is a general biodiversty database, not focused on IAS</t>
  </si>
  <si>
    <t>invasive alien species</t>
  </si>
  <si>
    <t>This project has just started and we cannot answer several questions of this survey at this moment. We will be able to update all information (e.g. number of participants, articles, workshops etc.) later at the end of 2021.</t>
  </si>
  <si>
    <t>Previous note: 1 INCLUDE as although a general (herptile) biodiversity portal, many species are alien and it has a specific aliens page - http://narrs.org.uk/alien.php</t>
  </si>
  <si>
    <t>The Department of Ecology of MNHNL had launched a citizen science survey with children who are member of the of the Panda-Club of the Luxembourg National Museum of Natural History. An article in the children magazine Panewippchen (Schaltz 2017) suggests the young readers to participate to a citizen science survey concerning the recent spread into the wild of the cherry laurel (Prunus laurocerasus L.). Interested children are asked to look into the forests in their neighbourhood, the evergreen cherry laurel being very easy to spot in winter time, when most trees and shrubs had rejected their leaves.
The children were asked to send the following basic information to info@neobiota.lu:
    How many cherry laurel individuals have been spotted?
    Where were they spotted (using GPS of portable devices)
    Observers name, age, address and email address.</t>
  </si>
  <si>
    <t>john.wilkinson@arc-trust.org</t>
  </si>
  <si>
    <t>John Wilkinson</t>
  </si>
  <si>
    <t>NARRS - Alien Encounters</t>
  </si>
  <si>
    <t>http://www.alienencounters.org.uk</t>
  </si>
  <si>
    <t>karen.haysom@arc-trust.org</t>
  </si>
  <si>
    <t>The UK national herpetofauna monitoring scheme - partim alien herpetofauna</t>
  </si>
  <si>
    <t>Amphibian and Reptile Conservation</t>
  </si>
  <si>
    <t>amphibians and reptiles</t>
  </si>
  <si>
    <t>Website, Live training, e.g., courses or workshops</t>
  </si>
  <si>
    <t>bespoke database</t>
  </si>
  <si>
    <t>NBN free to use with attribution</t>
  </si>
  <si>
    <t>Being relaunched shortly so my answers not all contemporary! New contact is Karen.haysom@arc-trust.org</t>
  </si>
  <si>
    <t>j.bailey203@btinternet.com</t>
  </si>
  <si>
    <t>Julie Bailey</t>
  </si>
  <si>
    <t>Northern Red Squirrels (Cumbria &amp; Northumberland)</t>
  </si>
  <si>
    <t>http://www.northernredsquirrels.org.uk/</t>
  </si>
  <si>
    <t>Northern Red Squirrels is an umbrella group that has been created to unite all independent voluntary groups and individuals who are working to help save our red squirrels from extinction in the North of England. It is a ‘network of voluntary action’ that shares news, ideas and best practice. Each member group remains completely independent to allow it to address issues within its own area in the most appropriate way.</t>
  </si>
  <si>
    <t>Northern Red Squirrels</t>
  </si>
  <si>
    <t>Governed by constitution</t>
  </si>
  <si>
    <t>Grey squirrel management for red squirrel conservation</t>
  </si>
  <si>
    <t>full time action is required</t>
  </si>
  <si>
    <t>christophe.bornand@infoflora.ch</t>
  </si>
  <si>
    <t>Christophe Bornand</t>
  </si>
  <si>
    <t>InvasivApp</t>
  </si>
  <si>
    <t>https://www.infoflora.ch/invasivapp</t>
  </si>
  <si>
    <t>Info Flora - info@infoflora.ch</t>
  </si>
  <si>
    <t>InvasivApp is a smartphone app (Android &amp; iOS) for recording invasive plant species in the field in Switzerland and neighboring area and then send the data to the national database of Info Flora. The tool is used by professionals and voluntary botanists.</t>
  </si>
  <si>
    <t>Austria, France, Germany, Italy, Switzerland</t>
  </si>
  <si>
    <t>English, German, French, Italian</t>
  </si>
  <si>
    <t>Info Flora</t>
  </si>
  <si>
    <t xml:space="preserve">Info Flora is a private, non-profit foundation financially supported by the Federal Office for the Environment (FOEN) </t>
  </si>
  <si>
    <t>Anyone (general public), Land managers, School students, University students, Scientists, e.g, biologists, etc.</t>
  </si>
  <si>
    <t>Mapping of alien species, Monitoring or surveillance, Early warning, Effectiveness of management, Education</t>
  </si>
  <si>
    <t>Species presence and/or abundance, Changes in abundance, Early detection</t>
  </si>
  <si>
    <t>The project actions has direct implications for prevention, early-detection and surveillance of known locations.</t>
  </si>
  <si>
    <t>Newsletters, Website, Live training, e.g., courses or workshops, School engagement</t>
  </si>
  <si>
    <t>PostgreSQL database</t>
  </si>
  <si>
    <t>Yes, Plese note in the attached document (pt. 3 §5) that the observers cannot pu any restriction on his observations of invasive alien species. For such species, the precise location of the species is freely available to all users.</t>
  </si>
  <si>
    <t>https://drive.google.com/open?id=12FLvGXeN0EutY4nG9Rh4Cejh8Hg-yw2K</t>
  </si>
  <si>
    <t>Alien, Non-native, invasive alien plants</t>
  </si>
  <si>
    <t>1. Existing 2. No more existing, destroyed 3. Not detected / not found 4. Not found (presence likely) 5. Not found (presence unlikely) 6. Inaccessible</t>
  </si>
  <si>
    <t>1. Population established, spontaneous (grows and spreads out in nature by itself) 2. Population subspontaneous, escaped (occurs near cultivated individuals) 3. Population cultivated, planted (in parks, gardens, fields) 4. Degree of naturalization of the population unclear (population probably unnatural) 5. Population casual, adventitious, nonpersistent 6. Official introduction 7. Unofficial introduction 8. Degree of naturalization of the population undefined</t>
  </si>
  <si>
    <t>dave@natural-apptitude.co.uk</t>
  </si>
  <si>
    <t>Dave Kilbey</t>
  </si>
  <si>
    <t>Sealife Tracker</t>
  </si>
  <si>
    <t>n/a</t>
  </si>
  <si>
    <t>Cit Sci project to collect ad-hoc records on both marine invasive and climate change indicator species</t>
  </si>
  <si>
    <t>Natural Apptitude</t>
  </si>
  <si>
    <t>Ltd company</t>
  </si>
  <si>
    <t>Anyone (general public), Fishermen</t>
  </si>
  <si>
    <t>iRecord</t>
  </si>
  <si>
    <t>CC non commercial</t>
  </si>
  <si>
    <t>Non-native, Invasive</t>
  </si>
  <si>
    <t>PlantTracker</t>
  </si>
  <si>
    <t>https://www.planttracker.org.uk/</t>
  </si>
  <si>
    <t>CitSci project to crowd source data on the UK’s most problematic invasive, non-native plant species</t>
  </si>
  <si>
    <t>Private company</t>
  </si>
  <si>
    <t>irecord</t>
  </si>
  <si>
    <t>CC non-commercial</t>
  </si>
  <si>
    <t>negin.ebrahimi@ilvo.vlaanderen.be</t>
  </si>
  <si>
    <t>Negin Ebrahimi</t>
  </si>
  <si>
    <t>Development of a system for raising awareness, rapid detection and reporting of plant-harmful organisms in Belgium</t>
  </si>
  <si>
    <t>https://pure.ilvo.be/portal/en/persons/jochem-bonte(a705e524-91d1-4e3d-a353-62657d107006).html</t>
  </si>
  <si>
    <t>jochem.bonte@ilvo.vlaanderen.be</t>
  </si>
  <si>
    <t>Analyzing existing systems for monitoring damage agents, including their infrastructure, Gathering information on quarantine organisms (pests and pathogens) and preparing fact sheets on these organisms, Development of an online platform for raising awareness, rapid detection and reporting of plant-harmful organisms in Belgium</t>
  </si>
  <si>
    <t>Dutch and French</t>
  </si>
  <si>
    <t>Flanders Research Institute for Agriculture, Fisheries and Food (ILVO)</t>
  </si>
  <si>
    <t>Insects, Fungi, bacteria, viruses and Phytoplasma</t>
  </si>
  <si>
    <t>Prevention, Early warning, Engagement, Education, Awareness raising</t>
  </si>
  <si>
    <t>Terrestrial, Agriculture and Forestry</t>
  </si>
  <si>
    <t>Website, Exhibitions</t>
  </si>
  <si>
    <t>National repository, Institutional repository</t>
  </si>
  <si>
    <t>Online platform</t>
  </si>
  <si>
    <t>EPPO, Euphresco</t>
  </si>
  <si>
    <t xml:space="preserve">Unknown, Presentations at the symposiums </t>
  </si>
  <si>
    <t>AquaInvaders</t>
  </si>
  <si>
    <t>https://www.natural-apptitude.co.uk/project/aquainvaders/</t>
  </si>
  <si>
    <t>Our rivers, streams, lakes and ponds are under increasing pressure from invasive non-native species. Using AquaInvaders you will be able to help the Environment Agency, Scottish Natural Heritage and the Scottish Environment Protection Agency discover just what the extent of the problem is.</t>
  </si>
  <si>
    <t>Environment Agency, Scottish Natural Heritage and the Scottish Environment Protection Agency</t>
  </si>
  <si>
    <t>Mammals, Crayfish, Fish, amphibians, reptiles, mussels, crab</t>
  </si>
  <si>
    <t>https://drive.google.com/open?id=1echhaM_-cf8MhIhvlvOztDXTubAbdatq</t>
  </si>
  <si>
    <t>OPAL New Zealand Flatworm survey</t>
  </si>
  <si>
    <t>https://www.opalexplorenature.org/nzflatworm</t>
  </si>
  <si>
    <t>laurence.evans@imperial.ac.uk</t>
  </si>
  <si>
    <t>The New Zealand Flatworm Survey was created to find out how far this flatworm has spread and what influence it is having on the environment.</t>
  </si>
  <si>
    <t>Open Air Laboratories (OPAL)</t>
  </si>
  <si>
    <t>Government, National Lottery (Government)</t>
  </si>
  <si>
    <t>New Zealand Flatworm Arthurdendyus triangulatus</t>
  </si>
  <si>
    <t>Surveillance</t>
  </si>
  <si>
    <t>Mitten Crab Watch</t>
  </si>
  <si>
    <t>https://mittencrabs.org.uk/</t>
  </si>
  <si>
    <t>Chinese mitten crabs are officially listed as one of the World's 100 worst invasive species. They can cause damage to fishing gear and river banks, block intake screens, modify natural habitats and compete with native species. It is this economic and ecological damage that makes this crab such an unwelcome arrival. The full extent of these exotic pests in English and Welsh waters is currently unclear and a consortium of research institutes is requesting mitten crab sightings from members of the public, anglers and waterway workers, to clarify the distribution of this species.</t>
  </si>
  <si>
    <t>Government, Private, NGO</t>
  </si>
  <si>
    <t>Chinese Mitten Crab Eriocheir sinensis</t>
  </si>
  <si>
    <t>Early-detection</t>
  </si>
  <si>
    <t>Online form, Sent by email, Telephone</t>
  </si>
  <si>
    <t>Invasive, exotic</t>
  </si>
  <si>
    <t>https://drive.google.com/open?id=1WP2B_0nN7qtpBvYTgBONlZ2gdq6V79c0</t>
  </si>
  <si>
    <t>Link to publications details (some of the 13 uses seem very peripheral) at https://www.gbif.org/resource/search?contentType=literature&amp;gbifDatasetKey=83072c26-af4e-44a7-b373-0567f623081d</t>
  </si>
  <si>
    <t>Scottish Natural Heritage - New Zealand Flatworm (Arthurdendyus triangulatus) records</t>
  </si>
  <si>
    <t>https://www.nature.scot/professional-advice/safeguarding-protected-areas-and-species/protected-species/invasive-non-native-species/identify-and-report-invasive-non-native</t>
  </si>
  <si>
    <t>Colin.McLeod@SNH.gov.uk</t>
  </si>
  <si>
    <t>The dataset comprises 'citizen science' records, reporting sightings by the public of New Zealand Flatworms in Scotland. The records in this dataset relate to Scotland, mainly from gardens, allotments and nurseries, but a small number of sightings were received for elsewhere in the UK.</t>
  </si>
  <si>
    <t>Scottish Natural Heritage</t>
  </si>
  <si>
    <t>Open Government Licence (OGL) 3.0</t>
  </si>
  <si>
    <t>https://drive.google.com/open?id=1dcjhOkE7Km8UYVDq7k9Lm2Tfg-iN9UR7</t>
  </si>
  <si>
    <t>References (x2) to use of these data obtained from https://www.gbif.org/resource/search?contentType=literature&amp;gbifDatasetKey=c04a8bc5-eccd-432c-b9b5-e86552e2a7f5</t>
  </si>
  <si>
    <t>Scottish Invasive Species Initiative</t>
  </si>
  <si>
    <t>https://www.invasivespecies.scot/report-sighting</t>
  </si>
  <si>
    <t>callum.sinclair@nature.scot</t>
  </si>
  <si>
    <t>The Scottish Invasive Species Initiative (SISI) is an exciting and ambitious 4-year partnership project set up to tackle invasive non-native species alongside rivers and watercourses in northern Scotland. The main aspect of the project is control and education, but there is a recording aspect too.</t>
  </si>
  <si>
    <t>English &amp; Gaelic</t>
  </si>
  <si>
    <t>Government, Funding via SNH (part of devolved Scottish Government) and National Lottery</t>
  </si>
  <si>
    <t>Anyone (general public), Fishermen, School students</t>
  </si>
  <si>
    <t>Plants, Mammals</t>
  </si>
  <si>
    <t>Prevention, Monitoring or surveillance, Effectiveness of management, Engagement, Education, Awareness raising</t>
  </si>
  <si>
    <t>Control</t>
  </si>
  <si>
    <t xml:space="preserve">https://www.alpine-space.eu/ALPTREES </t>
  </si>
  <si>
    <t>Previous note: 1 INCLUDE as project focuses on neophytes</t>
  </si>
  <si>
    <t>luciana.zedda@bund.net</t>
  </si>
  <si>
    <t>Dr Luciana Zedda, Dr Nicole Nöske</t>
  </si>
  <si>
    <t>Erforsche Neophyten mit! - Citizen Science für junge ForscherInnen im Bonner Raum</t>
  </si>
  <si>
    <t>www.bundforschtinbonn.de</t>
  </si>
  <si>
    <t>bund.bonn@bund.net</t>
  </si>
  <si>
    <t xml:space="preserve">This Citizen Science project is addressed to children and youth. Teaching material was created as well as identification tables for 20 exotic species common in the Bonn region (Germany). Children and youth learnt about neobiota and how to recognize exotic plants (neophytes). They collected actively occurrence data and images using an app (ArtenFinder). Gathered data have been used by nature conservation authority and scientists. </t>
  </si>
  <si>
    <t>German; no translation</t>
  </si>
  <si>
    <t xml:space="preserve">BUND - Bund für Umwelt und Naturschutz Deutschland NRW e.V. </t>
  </si>
  <si>
    <t>School students, University students, Scientists, e.g, biologists, etc.</t>
  </si>
  <si>
    <t>esigned by members of NGO (BUND) active in nature conservation;  the involved members are scientists as well as citizen scientists</t>
  </si>
  <si>
    <t>Social media, Website, Live training, e.g., courses or workshops, School engagement, Articles in print media, presentation at events</t>
  </si>
  <si>
    <t>Group training, e.g., workshops, courses, etc., Identification tools; Brochure with information</t>
  </si>
  <si>
    <t>registration to ArtenFinder-Portal, which was used for data gathering</t>
  </si>
  <si>
    <t>App (Android, iOS, Windows), online entry in ArtenFinder-Database</t>
  </si>
  <si>
    <t>GBIF, ArtenFinder</t>
  </si>
  <si>
    <t>ArtenFinder Database</t>
  </si>
  <si>
    <t>anne.goggin@limerick.ie</t>
  </si>
  <si>
    <t>Anne Goggin</t>
  </si>
  <si>
    <t>Report Invasive Plants</t>
  </si>
  <si>
    <t>https://invasivespecies.limerick.ie/ ; https://apps.apple.com/ie/app/report-invasive-plants/id1168097487</t>
  </si>
  <si>
    <t xml:space="preserve">Smart phone App that allows the public to submit sightings of 4 of the most common invasive plants in Ireland. </t>
  </si>
  <si>
    <t>Limerick  City and County Council</t>
  </si>
  <si>
    <t xml:space="preserve">The data captured by the App can provide data that allows control programmes to be planned and implemented. </t>
  </si>
  <si>
    <t>Social media, Website, Exhibitions, users of the app are emailed directly from time to time and input invited into app performance and improvements</t>
  </si>
  <si>
    <t xml:space="preserve">Participants can be active as much or as little as they wish. Some only submit sightings once, other multiple times. </t>
  </si>
  <si>
    <t xml:space="preserve">Download the app from the app store or Google Play store. No other registration required. </t>
  </si>
  <si>
    <t xml:space="preserve">Data is stored in a GIS system and can be downloaded as a CSV file </t>
  </si>
  <si>
    <t>Native Range identified and era of introduction to Europe/Ireland specified</t>
  </si>
  <si>
    <t>elena.tricarico@unifi.it</t>
  </si>
  <si>
    <t>Elena Tricarico</t>
  </si>
  <si>
    <t>CSMON-LIFE</t>
  </si>
  <si>
    <t>http://www.csmon-life.eu/pagina/segnala/all</t>
  </si>
  <si>
    <t>martelst@units.it</t>
  </si>
  <si>
    <t>Project on citizen science to report biodiversity in Italy; one campaign was devoted to alien species (from app and desktop)</t>
  </si>
  <si>
    <t>Università degli Studi di Trieste, Department of Life Sciences</t>
  </si>
  <si>
    <t>General public</t>
  </si>
  <si>
    <t>Mapping Italian biodiversity and alien species</t>
  </si>
  <si>
    <t>Species presence</t>
  </si>
  <si>
    <t>Download the app from the app store or Google Play store. Direct project registration</t>
  </si>
  <si>
    <t>App (Android, iOS, Windows), online form</t>
  </si>
  <si>
    <t>National repository, other sovranational biodiversity repositories</t>
  </si>
  <si>
    <t>LIFE ASAP</t>
  </si>
  <si>
    <t>https://www.lifeasap.eu/index.php/en/</t>
  </si>
  <si>
    <t>info@lifeasap.eu</t>
  </si>
  <si>
    <t>ife ASAP aims to increase the awareness and the active participation of citizens regarding the problem of IAS and to promote the correct and efficient management of IAS by public entities in charge thanks to the full implementation of the European regulations in the field of invasive alien species (EU 1143/2014).</t>
  </si>
  <si>
    <t>ISPRA</t>
  </si>
  <si>
    <t>Governmental Organisation</t>
  </si>
  <si>
    <t>- citizen science project that asks citizens across the country to provide data on invasive plant species in Portugal, including 5 different "challenges": 1) map invasive plant species in Portugal with a geolocation app (an independent older project, already sent); 2) track an invasive plant over time through monthly photographic records to learn more about the life cycle of the IAP; 3) early detection of new invasive plants recently registered in the country; 4) communicate about the problem of invasive species reaching new audiences; 5) control invasive plants.</t>
  </si>
  <si>
    <t>Monitoring, surveillance</t>
  </si>
  <si>
    <t>Download the app from the app store or Google Play store.</t>
  </si>
  <si>
    <t>National and international repositories</t>
  </si>
  <si>
    <t>Gamberi alieni</t>
  </si>
  <si>
    <t>1- I am a co-leader of the project; Elizabete Marchante is the other
2 - Considering that the project includes 5 different "challenges"/ tasks it was not always easy to answer the questions in this questionnaire</t>
  </si>
  <si>
    <t>http://gamberialieni.divulgando.eu/</t>
  </si>
  <si>
    <t>The dynamics of the crayfish population in Estarreja rice paddies will be studied using a citizen science approach directly involving students of a local school in field surveys and in subsequent work necessary to characterize this crayfish population.
Ultimately the project aimed to optimize the use of biocides to control crayfish populations.</t>
  </si>
  <si>
    <t>giuliani@units.it</t>
  </si>
  <si>
    <t>Collecting data on the presence of the red swamp crayfish and promoting species awareness</t>
  </si>
  <si>
    <t>Università degli Studi di Trieste</t>
  </si>
  <si>
    <t>Specie presence</t>
  </si>
  <si>
    <t>www.kumakshrimp.pl/Lowca</t>
  </si>
  <si>
    <t>51-100</t>
  </si>
  <si>
    <t>STOP VELUTINA</t>
  </si>
  <si>
    <t>https://www.stopvelutina.it/</t>
  </si>
  <si>
    <t>info@stopvelutina.it</t>
  </si>
  <si>
    <t>Collecting data on the presence of the Asian hornet. promoting species awareness and inform public about the management actions ongoing</t>
  </si>
  <si>
    <t>CREA-AA</t>
  </si>
  <si>
    <t>MIxed</t>
  </si>
  <si>
    <t xml:space="preserve">Species presence </t>
  </si>
  <si>
    <t>Surveillance, early detection, monitoring</t>
  </si>
  <si>
    <t>U-SAVEREDS</t>
  </si>
  <si>
    <t>http://usavereds.eu/en_GB/</t>
  </si>
  <si>
    <t xml:space="preserve">info@usavereds.eu </t>
  </si>
  <si>
    <t xml:space="preserve">Collecting data on the presence of grey squirrel, protomoting species awareness; used an app to gather squirrel sightings developed within the CS-MON project </t>
  </si>
  <si>
    <t>Mapping of native and alien squirrel</t>
  </si>
  <si>
    <t>Social media, website</t>
  </si>
  <si>
    <t>Download the app from the app store or Google Play store through CSMON LIFE, Project registration</t>
  </si>
  <si>
    <t>Native, non-native</t>
  </si>
  <si>
    <t>EC-SQUARE</t>
  </si>
  <si>
    <t>http://www.rossoscoiattolo.eu/en/what-can-i-do-project</t>
  </si>
  <si>
    <t>giorgio_bonalume@regione.lombardia.it</t>
  </si>
  <si>
    <t xml:space="preserve">Collecting data on the presence of the red and grey squirrel, promoting species awareness </t>
  </si>
  <si>
    <t>Regione Lombardia</t>
  </si>
  <si>
    <t>Mapping of grey squirrel</t>
  </si>
  <si>
    <t>STOPVESPA</t>
  </si>
  <si>
    <t>https://www.vespavelutina.eu/en-us/</t>
  </si>
  <si>
    <t>marco.porporato@uni.to.it</t>
  </si>
  <si>
    <t>Univeristà di Torino</t>
  </si>
  <si>
    <t>Prevention, Monitoring or surveillance,Engagement, Education, Awareness raising</t>
  </si>
  <si>
    <t>Faceboo, Twittwr</t>
  </si>
  <si>
    <t>h.hennig@rag-sh.de</t>
  </si>
  <si>
    <t>Helene Hennig</t>
  </si>
  <si>
    <t>Management of invasive neophytes in FFH-areas</t>
  </si>
  <si>
    <t>https://rag-sh.de/projekte/natura-2000 ("Projektbeschreibung Neophytenprojekt Jena")</t>
  </si>
  <si>
    <t>Removal and koordination of the removal of invasive neophytes in the FFH-areas aroud Jena. Networking between voluntary citizens, nature conservation authority, famers. Testing different removal methodes. Mapping the areas with invasive neophytes.</t>
  </si>
  <si>
    <t>Regionale Aktionsgruppe Saale-Holzland e.V.</t>
  </si>
  <si>
    <t>Mapping of alien species, Prevention, Effectiveness of management, Engagement, Awareness raising, Testing scientific hypotheses</t>
  </si>
  <si>
    <t>Species presence and/or abundance, Experimental data</t>
  </si>
  <si>
    <t>The collected experiences in removal techniques were used also to support the nature conservation authority creating a guideline for insect friendly maintenance of park areas in the city</t>
  </si>
  <si>
    <t>Other: until now non, but I plan to use Facebook and maybe Instagram because the website of my project host is not as user friendly</t>
  </si>
  <si>
    <t>Other: contact via e-mail or phone call, we have no real registration system</t>
  </si>
  <si>
    <t>Excel, Other: QGIS project</t>
  </si>
  <si>
    <t>Other: not decided until now</t>
  </si>
  <si>
    <t>Introduced, Other: invasive neophytes</t>
  </si>
  <si>
    <t>Present, Absent, established, Invasive</t>
  </si>
  <si>
    <t>intentionally or unintentionally introduced through human activities</t>
  </si>
  <si>
    <t>The project runs only until October 2020. In November a new project will start. The main aim will be the same but I want to find a way for using an interactiv map for the removal koordination</t>
  </si>
  <si>
    <t>As part of the national strategy on invasive alien species (IAS) in France, the UMS PatriNat (OFB-CNRS-MNHN) provides an information and monitoring site on exotic fauna in France.
Thanks to a reporting form, the site allows everyone to report their observations of species to watch. This participatory approach is complementary to existing monitoring and focuses on species that are often little studied in France. After validation, the data collected will feed the SINP and the INPN, European regulation N ° 1143/2014 and will contribute to research and monitoring programs.
The site also offers information on monitoring species in the wild, on the national expertise network; scientific bibliography, educational and communication articles, etc.</t>
  </si>
  <si>
    <t>The Asian Hornet Watch app is a tool which is available in addition to the GB Non-Native Species Information Portal (GB-NNSIP) developed by the Biological Records Centre at CEH and funded by Defra.
The portal involves a network of people, including volunteer recording schemes and societies alongside CEH and other organisations such as the British Trust for Ornithology (BTO), the Botanical Society of Britain &amp; Ireland (BSBI) and the Marine Biological Association (MBA), sharing information on non-native species.
The Alert System was created at an early stage of the GB-NNSIP in response to a need for rapid information to inform early warning and detection of 41 non-native species – including the Asian hornet. The system is made up of an online recording tool called iRecord and a dedicated website where people can also report sightings.
CEH, through the Alerts System, provides information to Defra’s National Bee Unit and the Non-native Species Secretariat and – together with the Bees, Wasps and Ants Recording Society – managed over 2000 records over the four weeks following the detection of the Asian hornet in 2016.
The Asian Hornet Watch app can be downloaded for free for Android via Google Play and for iOS via iTunes.</t>
  </si>
  <si>
    <t>The aim of the plateform is to gather public observations regarding neklace parrakeets. Contributors may input datas on presence (indivual , group , dormitory) , impacts of these birds.</t>
  </si>
  <si>
    <t>NARRS</t>
  </si>
  <si>
    <t>narrs.org.uk</t>
  </si>
  <si>
    <t>The UK national herpetofauna monitoring scheme</t>
  </si>
  <si>
    <t xml:space="preserve">Analyzing existing systems for monitoring damage agents, including their infrastructure
Gathering information on quarantine organisms (pests and pathogens) and preparing fact sheets on these organisms
Development of an online platform for raising awareness, rapid detection and reporting of plant-harmful organisms in Belgium
</t>
  </si>
  <si>
    <t xml:space="preserve">This Citizen Science project is addressed to children and youth. 
Teaching material was created as well as identification tables for 20 exotic species common in the Bonn region (Germany). 
Children and youth learnt about neobiota and how to recognize exotic plants (neophytes). They collected actively occurrence data and images using an app (ArtenFinder). 
Gathered data have been used by nature conservation authority and scientists </t>
  </si>
  <si>
    <t>https://invasivespecies.limerick.ie/      
https://apps.apple.com/ie/app/report-invasive-plants/id1168097487</t>
  </si>
  <si>
    <t xml:space="preserve">Collecting data on the presence of  grey squirrel, protomoting species awareness </t>
  </si>
  <si>
    <t xml:space="preserve">Collecting data on the presence of the red and grey squirrel, protomoting species awareness </t>
  </si>
  <si>
    <t>YouTube</t>
  </si>
  <si>
    <t>TBD</t>
  </si>
  <si>
    <t xml:space="preserve">Other </t>
  </si>
  <si>
    <t>TBD by observer</t>
  </si>
  <si>
    <t>Open Data Yes/No</t>
  </si>
  <si>
    <t>Organistion type: cleaned</t>
  </si>
  <si>
    <t>Funding entity: cleaned</t>
  </si>
  <si>
    <t>Geographic extent: cleaned</t>
  </si>
  <si>
    <t>Target Citizen Scientists: cleaned</t>
  </si>
  <si>
    <t>Target taxonomic group: cleaned</t>
  </si>
  <si>
    <t>Aim of the project: cleaned</t>
  </si>
  <si>
    <t>Type of data collected: cleaned</t>
  </si>
  <si>
    <t>Environment type: cleaned</t>
  </si>
  <si>
    <t>Policy relevance: cleaned</t>
  </si>
  <si>
    <t>Design: cleaned</t>
  </si>
  <si>
    <t>Engagement method: cleaned</t>
  </si>
  <si>
    <t>Social media: cleaned</t>
  </si>
  <si>
    <t>Skills / knowledge needed: cleaned</t>
  </si>
  <si>
    <t>Contribution frequency: cleaned</t>
  </si>
  <si>
    <t>Training: cleaned</t>
  </si>
  <si>
    <t>Registration type: cleaned</t>
  </si>
  <si>
    <t>Method of recording: cleaned</t>
  </si>
  <si>
    <t>Data form: cleaned</t>
  </si>
  <si>
    <t>Data standards: cleaned</t>
  </si>
  <si>
    <t>License: cleaned</t>
  </si>
  <si>
    <t>Degree of establishment of organism(s): cleaned</t>
  </si>
  <si>
    <t>Occurrence status of organism(s): cleaned</t>
  </si>
  <si>
    <t>Origin of organism(s): cleaned</t>
  </si>
  <si>
    <t>Publication type 1: cleaned</t>
  </si>
  <si>
    <t>Private company, non-profit or person</t>
  </si>
  <si>
    <t>University, Governmental Organisation (GO), Non-governmental Organisation (NGO), Public Research Organisation (PRO)</t>
  </si>
  <si>
    <t>Non-governmental Organisation (NGO), Private company, non-profit or person</t>
  </si>
  <si>
    <t>Anyone (general public), Land managers, School students, Scientists, e.g, biologists, etc., Other</t>
  </si>
  <si>
    <t>Anyone (general public), Land managers, Other</t>
  </si>
  <si>
    <t>Fishermen, Scientists, e.g, biologists, etc., Other</t>
  </si>
  <si>
    <t>Anyone (general public), Fishermen, University students, Scientists, e.g, biologists, etc., Other</t>
  </si>
  <si>
    <t>Anyone (general public), Scientists, e.g, biologists, etc., Other</t>
  </si>
  <si>
    <t>Anyone (general public), Land managers, School students, Other</t>
  </si>
  <si>
    <t>Anyone (general public), Fishermen, Land managers, Scientists, e.g, biologists, etc., Other</t>
  </si>
  <si>
    <t>Anyone (general public), Fishermen, School students, University students, Scientists, e.g, biologists, etc., Other</t>
  </si>
  <si>
    <t>Anyone (general public), Other</t>
  </si>
  <si>
    <t>Insects, Other</t>
  </si>
  <si>
    <t>Mammals, Birds, Crustacea, Insects</t>
  </si>
  <si>
    <t>Plants, Molluscs, Fish, Other</t>
  </si>
  <si>
    <t>Plants, Mammals, Insects, Other</t>
  </si>
  <si>
    <t>Plants, Mammals, Crustaceans, Insects, Molluscs, Other</t>
  </si>
  <si>
    <t>Mammals, Crustaceans, Fish, Molluscs</t>
  </si>
  <si>
    <t>Mapping of alien species, Engagement, Awareness raising, Other</t>
  </si>
  <si>
    <t>Mapping of alien species, Early warning, Awareness raising, Other</t>
  </si>
  <si>
    <t>Mapping of alien species, Prevention, Other</t>
  </si>
  <si>
    <t>Mapping of alien species, Prevention, Monitoring or surveillance, Early warning, Engagement, Awareness raising, Other</t>
  </si>
  <si>
    <t>Mapping of alien species, Other</t>
  </si>
  <si>
    <t>Mapping alien species, Other</t>
  </si>
  <si>
    <t xml:space="preserve">Mapping alien species  </t>
  </si>
  <si>
    <t>Effectiveness of management, Awareness raising, Other</t>
  </si>
  <si>
    <t>Effectiveness of management, Testing scientific hypothesis, Other</t>
  </si>
  <si>
    <t>Species presence and/or abundance, Other</t>
  </si>
  <si>
    <t>Species presence and/or abundance, Measuring impacts, Other</t>
  </si>
  <si>
    <t>Species presence and/or abundance, Changes in abundance, Early detection, Other</t>
  </si>
  <si>
    <t>Species presence and/or abundance, Early detection, Other</t>
  </si>
  <si>
    <t>Terrestrial, Other</t>
  </si>
  <si>
    <t>Marine, Other</t>
  </si>
  <si>
    <t>Potential</t>
  </si>
  <si>
    <t>Live training, e.g., courses or workshops, Other</t>
  </si>
  <si>
    <t>Website, Other</t>
  </si>
  <si>
    <t>Social media, Website, Live training, e.g., courses or workshops, Other</t>
  </si>
  <si>
    <t>Newsletters, Social media, Website, Other</t>
  </si>
  <si>
    <t>Social media, Website, Live training, e.g., courses or workshops, School engagement, Other</t>
  </si>
  <si>
    <t>Social media, Website, Exhibitions, Other</t>
  </si>
  <si>
    <t>Social media, Website, Other</t>
  </si>
  <si>
    <t>Newsletters, Website, Other</t>
  </si>
  <si>
    <t>Newsletters, Social media, Website, Exhibitions, School engagement, Other</t>
  </si>
  <si>
    <t>Newsletters, Social media, Website, Exhibitions, Live training, e.g., courses or workshops, BioBlitzes, School engagement, Other</t>
  </si>
  <si>
    <t>Newsletters, Social media, Website, Live training, e.g., courses or workshops, BioBlitzes, Other</t>
  </si>
  <si>
    <t>Facebook, YouTube, Other</t>
  </si>
  <si>
    <t>Dependent</t>
  </si>
  <si>
    <t>Group training, e.g., workshops, courses, etc., Other</t>
  </si>
  <si>
    <t>BioBlitz, Online training, Group training</t>
  </si>
  <si>
    <t>Application</t>
  </si>
  <si>
    <t>Facebook, Google account, Other</t>
  </si>
  <si>
    <t>Application, Direct project registration (e.g. website)</t>
  </si>
  <si>
    <t>Application, Other</t>
  </si>
  <si>
    <t>Facebook, Twitter, Other</t>
  </si>
  <si>
    <t>Direct project registration (e.g. website), Google account, Other</t>
  </si>
  <si>
    <t>Direct project registration (e.g. website), Other</t>
  </si>
  <si>
    <t>App (Android, iOS, Windows), Other</t>
  </si>
  <si>
    <t xml:space="preserve">Online form, Sent by email, Facebook, Other  </t>
  </si>
  <si>
    <t>App (Android, iOS, Windows), Online form, Sent by email, Sent by mail (paper sheet), Facebook, Other social media, Samples, Other</t>
  </si>
  <si>
    <t>Online formOnline form, Sent by email, App (Android, iOS, Windows), Other social media</t>
  </si>
  <si>
    <t>App (Android, iOS, Windows), Sent by email, Sent by mail (paper sheet), Facebook, Other</t>
  </si>
  <si>
    <t>Sent by email, Sent by mail (paper sheet), Facebook, Samples, Other</t>
  </si>
  <si>
    <t>App (Android, iOS, Windows), Online form, Sent by email, Sent by mail (paper sheet), Samples</t>
  </si>
  <si>
    <t>Online form, Sent by email, Other</t>
  </si>
  <si>
    <t xml:space="preserve">Other   </t>
  </si>
  <si>
    <t>Excel, Other</t>
  </si>
  <si>
    <t xml:space="preserve">Other  </t>
  </si>
  <si>
    <t>Unknown, Other</t>
  </si>
  <si>
    <t>Data management plan: cleaned</t>
  </si>
  <si>
    <t>Alien, Non-native, Invasive</t>
  </si>
  <si>
    <t>Alien, Invasive</t>
  </si>
  <si>
    <t>Alien, Non-native, Non-indigenous, Invasive</t>
  </si>
  <si>
    <t>Other terminology</t>
  </si>
  <si>
    <t>Alien, Other terminology</t>
  </si>
  <si>
    <t>Introduced, Invasive, Other terminology</t>
  </si>
  <si>
    <t>Invasive, Other terminology</t>
  </si>
  <si>
    <t>Established, Casual, Other terminology</t>
  </si>
  <si>
    <t>Established, Other terminology</t>
  </si>
  <si>
    <t>Justification</t>
  </si>
  <si>
    <t>N/a</t>
  </si>
  <si>
    <t>?</t>
  </si>
  <si>
    <t>Website contains links to DAISIE, ESENIAS and GRIIS - GRIIS is available on GBIF</t>
  </si>
  <si>
    <t>One result of the project (http://civ.iptpo.hr/projects/?lang=en) was the creation of an interactive map, which is publicly available. Another result was the creation of a database of invasive species, which I have not been able to find online.</t>
  </si>
  <si>
    <t>Google map updated monthy</t>
  </si>
  <si>
    <t>Map on website</t>
  </si>
  <si>
    <t>No links evident on website</t>
  </si>
  <si>
    <t>Database available via open data source "Open Data hauts-de-seine"</t>
  </si>
  <si>
    <t>According to http://www.csmon-life.eu/pagina/app/45, CSMON has an accessible data portal</t>
  </si>
  <si>
    <t>LIFE programme has a data hub (https://life.easme-web.eu/)</t>
  </si>
  <si>
    <t>via link to CSMON</t>
  </si>
  <si>
    <t>via https://www.verspreidingsatlas.nl/</t>
  </si>
  <si>
    <t>Linked to LIFE programme</t>
  </si>
  <si>
    <t>Map with sighting results available for each species</t>
  </si>
  <si>
    <t>Linked to open portal Artportalen (https://www.artportalen.se/)</t>
  </si>
  <si>
    <t>BSBI provides summarised views of data for private individuals for personal use; otherwise, registration is needed</t>
  </si>
  <si>
    <t>Results are submitted to the NBN Gateway</t>
  </si>
  <si>
    <t>Links to NBN Atlas</t>
  </si>
  <si>
    <t>Open data access to registered users</t>
  </si>
  <si>
    <t>Funding: cleaned</t>
  </si>
  <si>
    <t>Anyone (general public), Fishermen, Other</t>
  </si>
  <si>
    <t>Plants, Mammals, Birds, Crustaceans, Insects, Other</t>
  </si>
  <si>
    <t>Plants, Crustaceans, Fish, Other</t>
  </si>
  <si>
    <t>Species lists downloadable from website</t>
  </si>
  <si>
    <t xml:space="preserve">TBD  </t>
  </si>
  <si>
    <t>The project uses NBN standards, and the NBN Atlas is open access</t>
  </si>
  <si>
    <t>EASIN is open access</t>
  </si>
  <si>
    <t>The website provides links to a number of open access databases - though not clear if data from ADAMANT is stored here</t>
  </si>
  <si>
    <t>csv file of reported sightings available on site</t>
  </si>
  <si>
    <t>List of validated reports is available on site</t>
  </si>
  <si>
    <t>Website provides observation map and links to a database about alien species in Poland (https://www.iop.krakow.pl/baza_danych_gatunki_obce_w_polsce__1_159.html), which then links to NOBANIS</t>
  </si>
  <si>
    <t>*Difficulties with translation of web page</t>
  </si>
  <si>
    <t>Geographic Extent</t>
  </si>
  <si>
    <t>Macro-regional</t>
  </si>
  <si>
    <t>Total</t>
  </si>
  <si>
    <t>Country</t>
  </si>
  <si>
    <t>Belarus</t>
  </si>
  <si>
    <t>BiH</t>
  </si>
  <si>
    <t>Denmark</t>
  </si>
  <si>
    <t>Estonia</t>
  </si>
  <si>
    <t>Iceland</t>
  </si>
  <si>
    <t>Latvia</t>
  </si>
  <si>
    <t>Malta</t>
  </si>
  <si>
    <t>Montenegro</t>
  </si>
  <si>
    <t>North Macedonia</t>
  </si>
  <si>
    <t>Switzerland</t>
  </si>
  <si>
    <t>Russia</t>
  </si>
  <si>
    <t>Organisation Type</t>
  </si>
  <si>
    <t>GO</t>
  </si>
  <si>
    <t>PRO</t>
  </si>
  <si>
    <t>Start Year</t>
  </si>
  <si>
    <t>Albanian</t>
  </si>
  <si>
    <t>Arabic</t>
  </si>
  <si>
    <t>Basque</t>
  </si>
  <si>
    <t>Breton</t>
  </si>
  <si>
    <t>Catalan</t>
  </si>
  <si>
    <t>Chinese</t>
  </si>
  <si>
    <t>Estonian</t>
  </si>
  <si>
    <t>Danish</t>
  </si>
  <si>
    <t>Finnish</t>
  </si>
  <si>
    <t>Galician</t>
  </si>
  <si>
    <t>Greek</t>
  </si>
  <si>
    <t>Indonesian</t>
  </si>
  <si>
    <t>Japanese</t>
  </si>
  <si>
    <t>Korean</t>
  </si>
  <si>
    <t>Luxembourgish</t>
  </si>
  <si>
    <t>Macedonian</t>
  </si>
  <si>
    <t>Occitan</t>
  </si>
  <si>
    <t xml:space="preserve">Russian </t>
  </si>
  <si>
    <t>Spanish</t>
  </si>
  <si>
    <t>Lithuanian</t>
  </si>
  <si>
    <t>Romanian</t>
  </si>
  <si>
    <t>Slovak</t>
  </si>
  <si>
    <t>Gaelic</t>
  </si>
  <si>
    <t>End Year</t>
  </si>
  <si>
    <t>Funding Entity</t>
  </si>
  <si>
    <t>Blank</t>
  </si>
  <si>
    <t>Target Audience</t>
  </si>
  <si>
    <t>%</t>
  </si>
  <si>
    <t>Taxonomic Target</t>
  </si>
  <si>
    <t>Aim</t>
  </si>
  <si>
    <t>Environment type</t>
  </si>
  <si>
    <t>Anyone</t>
  </si>
  <si>
    <t>Scientists</t>
  </si>
  <si>
    <t>Awareness raising</t>
  </si>
  <si>
    <t>Early warning</t>
  </si>
  <si>
    <t>Education</t>
  </si>
  <si>
    <t>Land managers</t>
  </si>
  <si>
    <t>Total known</t>
  </si>
  <si>
    <t>Prevention</t>
  </si>
  <si>
    <t>Testing scientific hypotheses</t>
  </si>
  <si>
    <t>Fun</t>
  </si>
  <si>
    <t>Indirectly</t>
  </si>
  <si>
    <t>Included</t>
  </si>
  <si>
    <t>Blanks</t>
  </si>
  <si>
    <t xml:space="preserve">Total  </t>
  </si>
  <si>
    <t>Engagement Method</t>
  </si>
  <si>
    <t>Social Media</t>
  </si>
  <si>
    <t>Skills/knowledge</t>
  </si>
  <si>
    <t>Collaborative</t>
  </si>
  <si>
    <t>Contributory</t>
  </si>
  <si>
    <t>Live training</t>
  </si>
  <si>
    <t>Newsletter</t>
  </si>
  <si>
    <t>Instagram</t>
  </si>
  <si>
    <t>School engagement</t>
  </si>
  <si>
    <t>Exhibitions</t>
  </si>
  <si>
    <t>Gaming</t>
  </si>
  <si>
    <t>Any</t>
  </si>
  <si>
    <t>Species ID material</t>
  </si>
  <si>
    <t>Sightings Map</t>
  </si>
  <si>
    <t>Active Informing</t>
  </si>
  <si>
    <t>Support</t>
  </si>
  <si>
    <t>Partial</t>
  </si>
  <si>
    <t>Not Applicable</t>
  </si>
  <si>
    <t>Bioblitz</t>
  </si>
  <si>
    <t>Registration Type</t>
  </si>
  <si>
    <t>Method of Recording</t>
  </si>
  <si>
    <t>Data Form</t>
  </si>
  <si>
    <t>Direct project registration</t>
  </si>
  <si>
    <t>Peers</t>
  </si>
  <si>
    <t>Automated System, Technology</t>
  </si>
  <si>
    <t>Google account, Google Docs</t>
  </si>
  <si>
    <t>SQL (SQL, PostgreSQL, MySQL)</t>
  </si>
  <si>
    <t>Sent by mail</t>
  </si>
  <si>
    <t>Not applicale</t>
  </si>
  <si>
    <t>Data Standards</t>
  </si>
  <si>
    <t>Data Management Plan</t>
  </si>
  <si>
    <t>Origin of organism</t>
  </si>
  <si>
    <t>Occurrence status</t>
  </si>
  <si>
    <t>Degree of establishment</t>
  </si>
  <si>
    <t>Casual</t>
  </si>
  <si>
    <t>Naturalized</t>
  </si>
  <si>
    <t>Transformer</t>
  </si>
  <si>
    <t>Cryptogenic</t>
  </si>
  <si>
    <t xml:space="preserve">Group </t>
  </si>
  <si>
    <t>Online</t>
  </si>
  <si>
    <t># Participants</t>
  </si>
  <si>
    <t># AS/IS Records</t>
  </si>
  <si>
    <t>5001 - 10 000</t>
  </si>
  <si>
    <t>&gt; 10 001</t>
  </si>
  <si>
    <t>10 001 - 50 000</t>
  </si>
  <si>
    <t>50 001 - 100 000</t>
  </si>
  <si>
    <t xml:space="preserve">Not applicable </t>
  </si>
  <si>
    <t>100 001 - 500 000</t>
  </si>
  <si>
    <t>500 001 - 1 000 000</t>
  </si>
  <si>
    <t>&gt; 1 000 001</t>
  </si>
  <si>
    <t>Information not available</t>
  </si>
  <si>
    <t># Publications</t>
  </si>
  <si>
    <t>Type I</t>
  </si>
  <si>
    <t>Type II</t>
  </si>
  <si>
    <t>Scientific not peer-reviewed</t>
  </si>
  <si>
    <t>In preparation</t>
  </si>
  <si>
    <t>Open Data Y/N</t>
  </si>
  <si>
    <t>SQL, Excel</t>
  </si>
  <si>
    <t>Other, Excel</t>
  </si>
  <si>
    <t xml:space="preserve">Darwin Core, NBN </t>
  </si>
  <si>
    <t xml:space="preserve">NBN </t>
  </si>
  <si>
    <t>Scientific not peer-reviewed, Science communication (i.e., aimed at the general public), Other</t>
  </si>
  <si>
    <t>Science communication (i.e., aimed at the general public), Other</t>
  </si>
  <si>
    <t>Scientific peer-reviewed, Science communication (i.e., aimed at the general public), Other</t>
  </si>
  <si>
    <t>Validators: cleaned</t>
  </si>
  <si>
    <t>Automated systems</t>
  </si>
  <si>
    <t>Other social 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</si>
</sst>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9">
    <font>
      <sz val="10"/>
      <color rgb="FF000000"/>
      <name val="Arial"/>
    </font>
    <font>
      <sz val="10"/>
      <color theme="1"/>
      <name val="Arial"/>
    </font>
    <font>
      <sz val="10"/>
      <color theme="1"/>
      <name val="Calibri"/>
    </font>
    <font>
      <b/>
      <sz val="10"/>
      <color theme="1"/>
      <name val="Arial"/>
    </font>
    <font>
      <u/>
      <sz val="10"/>
      <color rgb="FF0000FF"/>
      <name val="Arial"/>
    </font>
    <font>
      <b/>
      <sz val="10"/>
      <color rgb="FFFF0000"/>
      <name val="Arial"/>
    </font>
    <font>
      <b/>
      <sz val="10"/>
      <color theme="1"/>
      <name val="Calibri"/>
    </font>
    <font>
      <b/>
      <sz val="10"/>
      <color rgb="FF000000"/>
      <name val="Arial"/>
    </font>
    <font>
      <u/>
      <sz val="10"/>
      <color rgb="FF0000FF"/>
      <name val="Arial"/>
    </font>
    <font>
      <u/>
      <sz val="10"/>
      <color rgb="FF1155CC"/>
      <name val="Arial"/>
    </font>
    <font>
      <u/>
      <sz val="10"/>
      <color rgb="FF0000FF"/>
      <name val="Arial"/>
    </font>
    <font>
      <sz val="10"/>
      <color rgb="FF000000"/>
      <name val="Calibri"/>
    </font>
    <font>
      <u/>
      <sz val="10"/>
      <color rgb="FF1155CC"/>
      <name val="Arial"/>
    </font>
    <font>
      <sz val="10"/>
      <color rgb="FF000000"/>
      <name val="Roboto"/>
    </font>
    <font>
      <sz val="12"/>
      <color rgb="FF3C3C3B"/>
      <name val="Roboto"/>
    </font>
    <font>
      <sz val="10"/>
      <color rgb="FFFF0000"/>
      <name val="Arial"/>
    </font>
    <font>
      <sz val="10"/>
      <color theme="1"/>
      <name val="Arial"/>
      <family val="2"/>
    </font>
    <font>
      <sz val="10"/>
      <color rgb="FF000000"/>
      <name val="Arial"/>
      <family val="2"/>
    </font>
    <font>
      <u/>
      <sz val="10"/>
      <color theme="10"/>
      <name val="Arial"/>
    </font>
    <font>
      <sz val="10"/>
      <name val="Arial"/>
      <family val="2"/>
    </font>
    <font>
      <sz val="11"/>
      <color rgb="FF000000"/>
      <name val="Calibri"/>
      <family val="2"/>
    </font>
    <font>
      <sz val="10"/>
      <color theme="1"/>
      <name val="Calibri"/>
      <family val="2"/>
    </font>
    <font>
      <sz val="10"/>
      <color rgb="FFFF0000"/>
      <name val="Arial"/>
      <family val="2"/>
    </font>
    <font>
      <b/>
      <sz val="10"/>
      <color rgb="FF000000"/>
      <name val="Arial"/>
      <family val="2"/>
    </font>
    <font>
      <i/>
      <sz val="10"/>
      <color rgb="FF000000"/>
      <name val="Arial"/>
      <family val="2"/>
    </font>
    <font>
      <sz val="11"/>
      <name val="Calibri"/>
      <family val="2"/>
      <scheme val="minor"/>
    </font>
    <font>
      <sz val="11"/>
      <color rgb="FF0070C0"/>
      <name val="Calibri"/>
      <family val="2"/>
      <scheme val="minor"/>
    </font>
    <font>
      <u/>
      <sz val="10"/>
      <color rgb="FF0000FF"/>
      <name val="Arial"/>
      <family val="2"/>
    </font>
    <font>
      <b/>
      <sz val="10"/>
      <color theme="1"/>
      <name val="Arial"/>
      <family val="2"/>
    </font>
  </fonts>
  <fills count="15">
    <fill>
      <patternFill patternType="none"/>
    </fill>
    <fill>
      <patternFill patternType="gray125"/>
    </fill>
    <fill>
      <patternFill patternType="solid">
        <fgColor rgb="FFFF0000"/>
        <bgColor rgb="FFFF0000"/>
      </patternFill>
    </fill>
    <fill>
      <patternFill patternType="solid">
        <fgColor rgb="FFFFFF00"/>
        <bgColor rgb="FFFFFF00"/>
      </patternFill>
    </fill>
    <fill>
      <patternFill patternType="solid">
        <fgColor rgb="FF92D050"/>
        <bgColor rgb="FF92D050"/>
      </patternFill>
    </fill>
    <fill>
      <patternFill patternType="solid">
        <fgColor rgb="FF99FF99"/>
        <bgColor rgb="FF99FF99"/>
      </patternFill>
    </fill>
    <fill>
      <patternFill patternType="solid">
        <fgColor rgb="FF00FF00"/>
        <bgColor rgb="FF00FF00"/>
      </patternFill>
    </fill>
    <fill>
      <patternFill patternType="solid">
        <fgColor rgb="FFFF0000"/>
        <bgColor indexed="64"/>
      </patternFill>
    </fill>
    <fill>
      <patternFill patternType="solid">
        <fgColor rgb="FFFEFECE"/>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CCFF"/>
        <bgColor indexed="64"/>
      </patternFill>
    </fill>
    <fill>
      <patternFill patternType="solid">
        <fgColor rgb="FFFFCCCC"/>
        <bgColor indexed="64"/>
      </patternFill>
    </fill>
    <fill>
      <patternFill patternType="solid">
        <fgColor rgb="FFCCFFFF"/>
        <bgColor indexed="64"/>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8" fillId="0" borderId="0" applyNumberFormat="0" applyFill="0" applyBorder="0" applyAlignment="0" applyProtection="0"/>
  </cellStyleXfs>
  <cellXfs count="127">
    <xf numFmtId="0" fontId="0" fillId="0" borderId="0" xfId="0" applyFont="1" applyAlignment="1"/>
    <xf numFmtId="0" fontId="0" fillId="2" borderId="1" xfId="0" applyFont="1" applyFill="1" applyBorder="1"/>
    <xf numFmtId="0" fontId="1" fillId="0" borderId="0" xfId="0" applyFont="1"/>
    <xf numFmtId="0" fontId="2" fillId="0" borderId="0" xfId="0" applyFont="1"/>
    <xf numFmtId="0" fontId="0" fillId="3" borderId="1" xfId="0" applyFont="1" applyFill="1" applyBorder="1"/>
    <xf numFmtId="0" fontId="0" fillId="4" borderId="1" xfId="0" applyFont="1" applyFill="1" applyBorder="1"/>
    <xf numFmtId="0" fontId="0" fillId="5" borderId="1" xfId="0" applyFont="1" applyFill="1" applyBorder="1"/>
    <xf numFmtId="0" fontId="3" fillId="0" borderId="0" xfId="0" applyFont="1"/>
    <xf numFmtId="0" fontId="0" fillId="0" borderId="0" xfId="0" applyFont="1"/>
    <xf numFmtId="164" fontId="1" fillId="0" borderId="0" xfId="0" applyNumberFormat="1" applyFont="1"/>
    <xf numFmtId="0" fontId="4" fillId="0" borderId="0" xfId="0" applyFont="1"/>
    <xf numFmtId="0" fontId="5" fillId="0" borderId="0" xfId="0" applyFont="1"/>
    <xf numFmtId="0" fontId="6" fillId="0" borderId="0" xfId="0" applyFont="1"/>
    <xf numFmtId="0" fontId="7" fillId="0" borderId="0" xfId="0" applyFont="1"/>
    <xf numFmtId="0" fontId="0" fillId="6" borderId="1" xfId="0" applyFont="1" applyFill="1" applyBorder="1"/>
    <xf numFmtId="164" fontId="1" fillId="3" borderId="1" xfId="0" applyNumberFormat="1" applyFont="1" applyFill="1" applyBorder="1"/>
    <xf numFmtId="0" fontId="1" fillId="3" borderId="1" xfId="0" applyFont="1" applyFill="1" applyBorder="1"/>
    <xf numFmtId="0" fontId="8" fillId="3" borderId="1" xfId="0" applyFont="1" applyFill="1" applyBorder="1"/>
    <xf numFmtId="0" fontId="1" fillId="2" borderId="1" xfId="0" applyFont="1" applyFill="1" applyBorder="1"/>
    <xf numFmtId="0" fontId="0" fillId="3" borderId="1" xfId="0" applyFont="1" applyFill="1" applyBorder="1" applyAlignment="1"/>
    <xf numFmtId="0" fontId="1" fillId="3" borderId="1" xfId="0" applyFont="1" applyFill="1" applyBorder="1" applyAlignment="1">
      <alignment wrapText="1"/>
    </xf>
    <xf numFmtId="0" fontId="0" fillId="0" borderId="0" xfId="0" applyFont="1" applyAlignment="1"/>
    <xf numFmtId="164" fontId="1" fillId="0" borderId="0" xfId="0" applyNumberFormat="1" applyFont="1" applyAlignment="1">
      <alignment horizontal="right"/>
    </xf>
    <xf numFmtId="0" fontId="1" fillId="0" borderId="0" xfId="0" applyFont="1" applyAlignment="1">
      <alignment horizontal="right"/>
    </xf>
    <xf numFmtId="0" fontId="1" fillId="0" borderId="2" xfId="0" applyFont="1" applyBorder="1"/>
    <xf numFmtId="0" fontId="9" fillId="0" borderId="0" xfId="0" applyFont="1"/>
    <xf numFmtId="164" fontId="1" fillId="2" borderId="1" xfId="0" applyNumberFormat="1" applyFont="1" applyFill="1" applyBorder="1"/>
    <xf numFmtId="0" fontId="10" fillId="2" borderId="1" xfId="0" applyFont="1" applyFill="1" applyBorder="1"/>
    <xf numFmtId="0" fontId="11" fillId="0" borderId="0" xfId="0" applyFont="1" applyAlignment="1">
      <alignment wrapText="1"/>
    </xf>
    <xf numFmtId="0" fontId="12" fillId="0" borderId="2" xfId="0" applyFont="1" applyBorder="1"/>
    <xf numFmtId="0" fontId="1" fillId="0" borderId="0" xfId="0" quotePrefix="1" applyFont="1"/>
    <xf numFmtId="0" fontId="13" fillId="0" borderId="0" xfId="0" applyFont="1"/>
    <xf numFmtId="0" fontId="14" fillId="0" borderId="0" xfId="0" applyFont="1"/>
    <xf numFmtId="14" fontId="0" fillId="0" borderId="0" xfId="0" applyNumberFormat="1" applyFont="1" applyAlignment="1">
      <alignment wrapText="1"/>
    </xf>
    <xf numFmtId="0" fontId="0" fillId="0" borderId="0" xfId="0" applyFont="1" applyAlignment="1">
      <alignment wrapText="1"/>
    </xf>
    <xf numFmtId="0" fontId="0" fillId="0" borderId="0" xfId="0" applyFont="1" applyAlignment="1">
      <alignment horizontal="right" wrapText="1"/>
    </xf>
    <xf numFmtId="0" fontId="0" fillId="0" borderId="0" xfId="0" applyFont="1" applyAlignment="1">
      <alignment vertical="center"/>
    </xf>
    <xf numFmtId="0" fontId="17" fillId="0" borderId="0" xfId="0" applyFont="1" applyAlignment="1"/>
    <xf numFmtId="0" fontId="16" fillId="0" borderId="0" xfId="0" applyFont="1"/>
    <xf numFmtId="0" fontId="0" fillId="0" borderId="0" xfId="0"/>
    <xf numFmtId="0" fontId="17" fillId="0" borderId="0" xfId="0" applyFont="1"/>
    <xf numFmtId="0" fontId="19" fillId="0" borderId="0" xfId="0" applyFont="1"/>
    <xf numFmtId="0" fontId="20" fillId="0" borderId="0" xfId="0" applyFont="1" applyAlignment="1"/>
    <xf numFmtId="0" fontId="16" fillId="0" borderId="1" xfId="0" applyFont="1" applyBorder="1"/>
    <xf numFmtId="0" fontId="21" fillId="0" borderId="0" xfId="0" applyFont="1"/>
    <xf numFmtId="0" fontId="16" fillId="0" borderId="0" xfId="0" quotePrefix="1" applyFont="1"/>
    <xf numFmtId="0" fontId="0" fillId="7" borderId="0" xfId="0" applyFill="1"/>
    <xf numFmtId="0" fontId="22" fillId="0" borderId="0" xfId="0" applyFont="1"/>
    <xf numFmtId="0" fontId="1" fillId="0" borderId="0" xfId="0" applyFont="1" applyAlignment="1"/>
    <xf numFmtId="0" fontId="1" fillId="0" borderId="1" xfId="0" applyFont="1" applyFill="1" applyBorder="1" applyAlignment="1"/>
    <xf numFmtId="0" fontId="23" fillId="0" borderId="0" xfId="0" applyFont="1" applyAlignment="1"/>
    <xf numFmtId="0" fontId="16" fillId="0" borderId="1" xfId="0" applyFont="1" applyFill="1" applyBorder="1" applyAlignment="1"/>
    <xf numFmtId="10" fontId="0" fillId="0" borderId="0" xfId="0" applyNumberFormat="1" applyFont="1" applyAlignment="1"/>
    <xf numFmtId="10" fontId="0" fillId="0" borderId="0" xfId="0" applyNumberFormat="1"/>
    <xf numFmtId="0" fontId="23" fillId="8" borderId="0" xfId="0" applyFont="1" applyFill="1"/>
    <xf numFmtId="0" fontId="0" fillId="8" borderId="0" xfId="0" applyFill="1"/>
    <xf numFmtId="10" fontId="17" fillId="8" borderId="0" xfId="0" applyNumberFormat="1" applyFont="1" applyFill="1" applyAlignment="1">
      <alignment horizontal="center"/>
    </xf>
    <xf numFmtId="10" fontId="24" fillId="8" borderId="0" xfId="0" applyNumberFormat="1" applyFont="1" applyFill="1" applyAlignment="1">
      <alignment horizontal="left"/>
    </xf>
    <xf numFmtId="10" fontId="19" fillId="0" borderId="0" xfId="0" applyNumberFormat="1" applyFont="1"/>
    <xf numFmtId="0" fontId="25" fillId="0" borderId="0" xfId="0" applyFont="1"/>
    <xf numFmtId="0" fontId="18" fillId="0" borderId="0" xfId="1" applyAlignment="1"/>
    <xf numFmtId="0" fontId="0" fillId="0" borderId="0" xfId="0" applyFill="1"/>
    <xf numFmtId="0" fontId="23" fillId="9" borderId="0" xfId="0" applyFont="1" applyFill="1" applyAlignment="1"/>
    <xf numFmtId="0" fontId="23" fillId="10" borderId="0" xfId="0" applyFont="1" applyFill="1"/>
    <xf numFmtId="0" fontId="0" fillId="10" borderId="0" xfId="0" applyFill="1"/>
    <xf numFmtId="10" fontId="17" fillId="10" borderId="0" xfId="0" applyNumberFormat="1" applyFont="1" applyFill="1" applyAlignment="1">
      <alignment horizontal="center"/>
    </xf>
    <xf numFmtId="0" fontId="19" fillId="0" borderId="1" xfId="0" applyFont="1" applyBorder="1"/>
    <xf numFmtId="10" fontId="17" fillId="0" borderId="0" xfId="0" applyNumberFormat="1" applyFont="1"/>
    <xf numFmtId="0" fontId="0" fillId="0" borderId="1" xfId="0" applyBorder="1"/>
    <xf numFmtId="0" fontId="23" fillId="11" borderId="0" xfId="0" applyFont="1" applyFill="1"/>
    <xf numFmtId="0" fontId="0" fillId="11" borderId="0" xfId="0" applyFill="1"/>
    <xf numFmtId="10" fontId="17" fillId="11" borderId="0" xfId="0" applyNumberFormat="1" applyFont="1" applyFill="1" applyAlignment="1">
      <alignment horizontal="center"/>
    </xf>
    <xf numFmtId="0" fontId="17" fillId="11" borderId="0" xfId="0" applyFont="1" applyFill="1" applyAlignment="1">
      <alignment horizontal="center"/>
    </xf>
    <xf numFmtId="0" fontId="19" fillId="0" borderId="1" xfId="0" applyFont="1" applyFill="1" applyBorder="1" applyAlignment="1"/>
    <xf numFmtId="0" fontId="16" fillId="0" borderId="0" xfId="0" applyFont="1" applyAlignment="1"/>
    <xf numFmtId="0" fontId="23" fillId="0" borderId="0" xfId="0" applyFont="1"/>
    <xf numFmtId="10" fontId="23" fillId="0" borderId="0" xfId="0" applyNumberFormat="1" applyFont="1"/>
    <xf numFmtId="0" fontId="23" fillId="12" borderId="0" xfId="0" applyFont="1" applyFill="1"/>
    <xf numFmtId="0" fontId="0" fillId="12" borderId="0" xfId="0" applyFill="1"/>
    <xf numFmtId="10" fontId="17" fillId="12" borderId="0" xfId="0" applyNumberFormat="1" applyFont="1" applyFill="1" applyAlignment="1">
      <alignment horizontal="center"/>
    </xf>
    <xf numFmtId="0" fontId="26" fillId="0" borderId="0" xfId="0" applyFont="1"/>
    <xf numFmtId="0" fontId="27" fillId="0" borderId="0" xfId="0" applyFont="1"/>
    <xf numFmtId="0" fontId="23" fillId="13" borderId="0" xfId="0" applyFont="1" applyFill="1"/>
    <xf numFmtId="10" fontId="23" fillId="13" borderId="0" xfId="0" applyNumberFormat="1" applyFont="1" applyFill="1" applyAlignment="1">
      <alignment horizontal="center"/>
    </xf>
    <xf numFmtId="0" fontId="0" fillId="13" borderId="0" xfId="0" applyFill="1"/>
    <xf numFmtId="10" fontId="17" fillId="13" borderId="0" xfId="0" applyNumberFormat="1" applyFont="1" applyFill="1" applyAlignment="1">
      <alignment horizontal="center"/>
    </xf>
    <xf numFmtId="9" fontId="16" fillId="0" borderId="0" xfId="0" applyNumberFormat="1" applyFont="1" applyAlignment="1">
      <alignment horizontal="right"/>
    </xf>
    <xf numFmtId="0" fontId="17" fillId="0" borderId="0" xfId="0" applyFont="1" applyAlignment="1">
      <alignment horizontal="right"/>
    </xf>
    <xf numFmtId="0" fontId="16" fillId="0" borderId="1" xfId="0" applyFont="1" applyBorder="1" applyAlignment="1">
      <alignment horizontal="right"/>
    </xf>
    <xf numFmtId="0" fontId="16" fillId="0" borderId="0" xfId="0" applyFont="1" applyAlignment="1">
      <alignment horizontal="right"/>
    </xf>
    <xf numFmtId="0" fontId="0" fillId="0" borderId="0" xfId="0" applyAlignment="1">
      <alignment horizontal="right"/>
    </xf>
    <xf numFmtId="1" fontId="17" fillId="0" borderId="0" xfId="0" applyNumberFormat="1" applyFont="1"/>
    <xf numFmtId="0" fontId="28" fillId="14" borderId="0" xfId="0" applyFont="1" applyFill="1"/>
    <xf numFmtId="0" fontId="23" fillId="14" borderId="0" xfId="0" applyFont="1" applyFill="1"/>
    <xf numFmtId="10" fontId="23" fillId="14" borderId="0" xfId="0" applyNumberFormat="1" applyFont="1" applyFill="1" applyAlignment="1">
      <alignment horizontal="center"/>
    </xf>
    <xf numFmtId="0" fontId="0" fillId="14" borderId="0" xfId="0" applyFill="1"/>
    <xf numFmtId="0" fontId="0" fillId="14" borderId="0" xfId="0" applyFont="1" applyFill="1" applyAlignment="1"/>
    <xf numFmtId="10" fontId="0" fillId="14" borderId="0" xfId="0" applyNumberFormat="1" applyFill="1"/>
    <xf numFmtId="0" fontId="16" fillId="0" borderId="1" xfId="0" applyFont="1" applyFill="1" applyBorder="1"/>
    <xf numFmtId="2" fontId="0" fillId="0" borderId="0" xfId="0" applyNumberFormat="1"/>
    <xf numFmtId="1" fontId="0" fillId="0" borderId="0" xfId="0" applyNumberFormat="1"/>
    <xf numFmtId="10" fontId="23" fillId="9" borderId="0" xfId="0" applyNumberFormat="1" applyFont="1" applyFill="1" applyAlignment="1">
      <alignment horizontal="center"/>
    </xf>
    <xf numFmtId="0" fontId="16" fillId="10" borderId="0" xfId="0" applyFont="1" applyFill="1"/>
    <xf numFmtId="0" fontId="17" fillId="9" borderId="0" xfId="0" applyFont="1" applyFill="1" applyAlignment="1"/>
    <xf numFmtId="0" fontId="0" fillId="9" borderId="0" xfId="0" applyFont="1" applyFill="1" applyAlignment="1"/>
    <xf numFmtId="0" fontId="16" fillId="11" borderId="1" xfId="0" applyFont="1" applyFill="1" applyBorder="1"/>
    <xf numFmtId="0" fontId="17" fillId="11" borderId="0" xfId="0" applyFont="1" applyFill="1"/>
    <xf numFmtId="0" fontId="16" fillId="11" borderId="0" xfId="0" applyFont="1" applyFill="1"/>
    <xf numFmtId="0" fontId="19" fillId="11" borderId="0" xfId="0" applyFont="1" applyFill="1" applyAlignment="1"/>
    <xf numFmtId="0" fontId="0" fillId="11" borderId="0" xfId="0" applyFont="1" applyFill="1" applyAlignment="1"/>
    <xf numFmtId="0" fontId="16" fillId="12" borderId="0" xfId="0" applyFont="1" applyFill="1"/>
    <xf numFmtId="0" fontId="17" fillId="12" borderId="0" xfId="0" applyFont="1" applyFill="1"/>
    <xf numFmtId="0" fontId="16" fillId="13" borderId="0" xfId="0" applyFont="1" applyFill="1"/>
    <xf numFmtId="0" fontId="17" fillId="13" borderId="0" xfId="0" applyFont="1" applyFill="1"/>
    <xf numFmtId="0" fontId="16" fillId="13" borderId="1" xfId="0" applyFont="1" applyFill="1" applyBorder="1"/>
    <xf numFmtId="0" fontId="17" fillId="14" borderId="0" xfId="0" applyFont="1" applyFill="1"/>
    <xf numFmtId="0" fontId="16" fillId="14" borderId="0" xfId="0" applyFont="1" applyFill="1"/>
    <xf numFmtId="0" fontId="0" fillId="0" borderId="0" xfId="0" applyFont="1" applyBorder="1"/>
    <xf numFmtId="0" fontId="0" fillId="3" borderId="1" xfId="0" applyFont="1" applyFill="1" applyBorder="1" applyAlignment="1">
      <alignment horizontal="left" wrapText="1"/>
    </xf>
    <xf numFmtId="0" fontId="1" fillId="6" borderId="1" xfId="0" applyFont="1" applyFill="1" applyBorder="1"/>
    <xf numFmtId="0" fontId="1" fillId="0" borderId="0" xfId="0" applyFont="1" applyBorder="1"/>
    <xf numFmtId="164" fontId="1" fillId="0" borderId="0" xfId="0" applyNumberFormat="1" applyFont="1" applyBorder="1"/>
    <xf numFmtId="0" fontId="4" fillId="0" borderId="0" xfId="0" applyFont="1" applyBorder="1"/>
    <xf numFmtId="0" fontId="18" fillId="3" borderId="1" xfId="1" applyFill="1" applyBorder="1"/>
    <xf numFmtId="0" fontId="7" fillId="3" borderId="1" xfId="0" applyFont="1" applyFill="1" applyBorder="1"/>
    <xf numFmtId="0" fontId="16" fillId="3" borderId="1" xfId="0" applyFont="1" applyFill="1" applyBorder="1"/>
    <xf numFmtId="0" fontId="16" fillId="0" borderId="0" xfId="0" applyFont="1" applyBorder="1"/>
  </cellXfs>
  <cellStyles count="2">
    <cellStyle name="Hyperlink" xfId="1" builtinId="8"/>
    <cellStyle name="Normal" xfId="0" builtinId="0"/>
  </cellStyles>
  <dxfs count="0"/>
  <tableStyles count="0" defaultTableStyle="TableStyleMedium2" defaultPivotStyle="PivotStyleLight16"/>
  <colors>
    <mruColors>
      <color rgb="FFCCFFFF"/>
      <color rgb="FFFFCCCC"/>
      <color rgb="FFFFCCFF"/>
      <color rgb="FFFEF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'(Graphs_OLD)'!$B$3</c:f>
              <c:strCache>
                <c:ptCount val="1"/>
                <c:pt idx="0">
                  <c:v>Count of Country </c:v>
                </c:pt>
              </c:strCache>
            </c:strRef>
          </c:tx>
          <c:spPr>
            <a:solidFill>
              <a:srgbClr val="4472C4"/>
            </a:solidFill>
          </c:spPr>
          <c:invertIfNegative val="1"/>
          <c:cat>
            <c:strRef>
              <c:f>'(Graphs_OLD)'!$A$4:$A$34</c:f>
              <c:strCache>
                <c:ptCount val="31"/>
                <c:pt idx="0">
                  <c:v>Multiple</c:v>
                </c:pt>
                <c:pt idx="1">
                  <c:v>United Kingdom</c:v>
                </c:pt>
                <c:pt idx="2">
                  <c:v>Italy</c:v>
                </c:pt>
                <c:pt idx="3">
                  <c:v>Portugal</c:v>
                </c:pt>
                <c:pt idx="4">
                  <c:v>France</c:v>
                </c:pt>
                <c:pt idx="5">
                  <c:v>Belgium</c:v>
                </c:pt>
                <c:pt idx="6">
                  <c:v>Croatia</c:v>
                </c:pt>
                <c:pt idx="7">
                  <c:v>Cyprus</c:v>
                </c:pt>
                <c:pt idx="8">
                  <c:v>Sweden</c:v>
                </c:pt>
                <c:pt idx="9">
                  <c:v>Czech Republic</c:v>
                </c:pt>
                <c:pt idx="10">
                  <c:v>Hungary</c:v>
                </c:pt>
                <c:pt idx="11">
                  <c:v>Romania</c:v>
                </c:pt>
                <c:pt idx="12">
                  <c:v>Spain</c:v>
                </c:pt>
                <c:pt idx="13">
                  <c:v>Bulgaria</c:v>
                </c:pt>
                <c:pt idx="14">
                  <c:v>Germany</c:v>
                </c:pt>
                <c:pt idx="15">
                  <c:v>Ireland</c:v>
                </c:pt>
                <c:pt idx="16">
                  <c:v>Israel</c:v>
                </c:pt>
                <c:pt idx="17">
                  <c:v>Luxembourg</c:v>
                </c:pt>
                <c:pt idx="18">
                  <c:v>Poland</c:v>
                </c:pt>
                <c:pt idx="19">
                  <c:v>Albania</c:v>
                </c:pt>
                <c:pt idx="20">
                  <c:v>Austria</c:v>
                </c:pt>
                <c:pt idx="21">
                  <c:v>Finland</c:v>
                </c:pt>
                <c:pt idx="22">
                  <c:v>Greece</c:v>
                </c:pt>
                <c:pt idx="23">
                  <c:v>Lithuania</c:v>
                </c:pt>
                <c:pt idx="24">
                  <c:v>Netherlands</c:v>
                </c:pt>
                <c:pt idx="25">
                  <c:v>Norway</c:v>
                </c:pt>
                <c:pt idx="26">
                  <c:v>Serbia</c:v>
                </c:pt>
                <c:pt idx="27">
                  <c:v>Slovakia</c:v>
                </c:pt>
                <c:pt idx="28">
                  <c:v>Slovenia</c:v>
                </c:pt>
                <c:pt idx="29">
                  <c:v>Turkey</c:v>
                </c:pt>
                <c:pt idx="30">
                  <c:v>Ukraine</c:v>
                </c:pt>
              </c:strCache>
            </c:strRef>
          </c:cat>
          <c:val>
            <c:numRef>
              <c:f>'(Graphs_OLD)'!$B$4:$B$34</c:f>
              <c:numCache>
                <c:formatCode>General</c:formatCode>
                <c:ptCount val="31"/>
                <c:pt idx="0">
                  <c:v>17</c:v>
                </c:pt>
                <c:pt idx="1">
                  <c:v>15</c:v>
                </c:pt>
                <c:pt idx="2">
                  <c:v>10</c:v>
                </c:pt>
                <c:pt idx="3">
                  <c:v>7</c:v>
                </c:pt>
                <c:pt idx="4">
                  <c:v>5</c:v>
                </c:pt>
                <c:pt idx="5">
                  <c:v>4</c:v>
                </c:pt>
                <c:pt idx="6">
                  <c:v>4</c:v>
                </c:pt>
                <c:pt idx="7">
                  <c:v>4</c:v>
                </c:pt>
                <c:pt idx="8">
                  <c:v>4</c:v>
                </c:pt>
                <c:pt idx="9">
                  <c:v>3</c:v>
                </c:pt>
                <c:pt idx="10">
                  <c:v>3</c:v>
                </c:pt>
                <c:pt idx="11">
                  <c:v>3</c:v>
                </c:pt>
                <c:pt idx="12">
                  <c:v>3</c:v>
                </c:pt>
                <c:pt idx="13">
                  <c:v>2</c:v>
                </c:pt>
                <c:pt idx="14">
                  <c:v>2</c:v>
                </c:pt>
                <c:pt idx="15">
                  <c:v>2</c:v>
                </c:pt>
                <c:pt idx="16">
                  <c:v>2</c:v>
                </c:pt>
                <c:pt idx="17">
                  <c:v>2</c:v>
                </c:pt>
                <c:pt idx="18">
                  <c:v>2</c:v>
                </c:pt>
                <c:pt idx="19">
                  <c:v>1</c:v>
                </c:pt>
                <c:pt idx="20">
                  <c:v>1</c:v>
                </c:pt>
                <c:pt idx="21">
                  <c:v>1</c:v>
                </c:pt>
                <c:pt idx="22">
                  <c:v>1</c:v>
                </c:pt>
                <c:pt idx="23">
                  <c:v>1</c:v>
                </c:pt>
                <c:pt idx="24">
                  <c:v>1</c:v>
                </c:pt>
                <c:pt idx="25">
                  <c:v>1</c:v>
                </c:pt>
                <c:pt idx="26">
                  <c:v>1</c:v>
                </c:pt>
                <c:pt idx="27">
                  <c:v>1</c:v>
                </c:pt>
                <c:pt idx="28">
                  <c:v>1</c:v>
                </c:pt>
                <c:pt idx="29">
                  <c:v>1</c:v>
                </c:pt>
                <c:pt idx="30">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7634-4B13-8B8D-D6BE4E9AC70E}"/>
            </c:ext>
          </c:extLst>
        </c:ser>
        <c:dLbls>
          <c:showLegendKey val="0"/>
          <c:showVal val="0"/>
          <c:showCatName val="0"/>
          <c:showSerName val="0"/>
          <c:showPercent val="0"/>
          <c:showBubbleSize val="0"/>
        </c:dLbls>
        <c:gapWidth val="150"/>
        <c:axId val="1073556762"/>
        <c:axId val="869648654"/>
      </c:barChart>
      <c:catAx>
        <c:axId val="1073556762"/>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869648654"/>
        <c:crosses val="autoZero"/>
        <c:auto val="1"/>
        <c:lblAlgn val="ctr"/>
        <c:lblOffset val="100"/>
        <c:noMultiLvlLbl val="1"/>
      </c:catAx>
      <c:valAx>
        <c:axId val="8696486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073556762"/>
        <c:crosses val="autoZero"/>
        <c:crossBetween val="between"/>
      </c:valAx>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'(Graphs_OLD)'!$B$194</c:f>
              <c:strCache>
                <c:ptCount val="1"/>
                <c:pt idx="0">
                  <c:v>Count of Number of participants</c:v>
                </c:pt>
              </c:strCache>
            </c:strRef>
          </c:tx>
          <c:spPr>
            <a:solidFill>
              <a:srgbClr val="4472C4"/>
            </a:solidFill>
          </c:spPr>
          <c:invertIfNegative val="1"/>
          <c:cat>
            <c:strRef>
              <c:f>'(Graphs_OLD)'!$A$195:$A$204</c:f>
              <c:strCache>
                <c:ptCount val="10"/>
                <c:pt idx="0">
                  <c:v>1 - 50</c:v>
                </c:pt>
                <c:pt idx="1">
                  <c:v>51 - 100</c:v>
                </c:pt>
                <c:pt idx="2">
                  <c:v>101 - 500</c:v>
                </c:pt>
                <c:pt idx="3">
                  <c:v>501 - 1000</c:v>
                </c:pt>
                <c:pt idx="4">
                  <c:v>1001 - 2000</c:v>
                </c:pt>
                <c:pt idx="5">
                  <c:v>2001 - 5000</c:v>
                </c:pt>
                <c:pt idx="6">
                  <c:v>5001 - 10000</c:v>
                </c:pt>
                <c:pt idx="7">
                  <c:v>&gt; 10000</c:v>
                </c:pt>
                <c:pt idx="8">
                  <c:v>Info not available</c:v>
                </c:pt>
                <c:pt idx="9">
                  <c:v>Not applicable</c:v>
                </c:pt>
              </c:strCache>
            </c:strRef>
          </c:cat>
          <c:val>
            <c:numRef>
              <c:f>'(Graphs_OLD)'!$B$195:$B$204</c:f>
              <c:numCache>
                <c:formatCode>General</c:formatCode>
                <c:ptCount val="10"/>
                <c:pt idx="0">
                  <c:v>17</c:v>
                </c:pt>
                <c:pt idx="1">
                  <c:v>10</c:v>
                </c:pt>
                <c:pt idx="2">
                  <c:v>17</c:v>
                </c:pt>
                <c:pt idx="3">
                  <c:v>7</c:v>
                </c:pt>
                <c:pt idx="4">
                  <c:v>4</c:v>
                </c:pt>
                <c:pt idx="5">
                  <c:v>9</c:v>
                </c:pt>
                <c:pt idx="6">
                  <c:v>2</c:v>
                </c:pt>
                <c:pt idx="7">
                  <c:v>4</c:v>
                </c:pt>
                <c:pt idx="8">
                  <c:v>24</c:v>
                </c:pt>
                <c:pt idx="9">
                  <c:v>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14D4-4C3C-B5B8-7383FF1A72C5}"/>
            </c:ext>
          </c:extLst>
        </c:ser>
        <c:dLbls>
          <c:showLegendKey val="0"/>
          <c:showVal val="0"/>
          <c:showCatName val="0"/>
          <c:showSerName val="0"/>
          <c:showPercent val="0"/>
          <c:showBubbleSize val="0"/>
        </c:dLbls>
        <c:gapWidth val="150"/>
        <c:axId val="792047087"/>
        <c:axId val="814586150"/>
      </c:barChart>
      <c:catAx>
        <c:axId val="792047087"/>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814586150"/>
        <c:crosses val="autoZero"/>
        <c:auto val="1"/>
        <c:lblAlgn val="ctr"/>
        <c:lblOffset val="100"/>
        <c:noMultiLvlLbl val="1"/>
      </c:catAx>
      <c:valAx>
        <c:axId val="8145861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792047087"/>
        <c:crosses val="autoZero"/>
        <c:crossBetween val="between"/>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'(Graphs_OLD)'!$B$211</c:f>
              <c:strCache>
                <c:ptCount val="1"/>
                <c:pt idx="0">
                  <c:v>Count of Number of alien or invasive alien species records</c:v>
                </c:pt>
              </c:strCache>
            </c:strRef>
          </c:tx>
          <c:spPr>
            <a:solidFill>
              <a:srgbClr val="4472C4"/>
            </a:solidFill>
          </c:spPr>
          <c:invertIfNegative val="1"/>
          <c:cat>
            <c:strRef>
              <c:f>'(Graphs_OLD)'!$A$212:$A$225</c:f>
              <c:strCache>
                <c:ptCount val="14"/>
                <c:pt idx="0">
                  <c:v>1 - 50</c:v>
                </c:pt>
                <c:pt idx="1">
                  <c:v>51 - 100</c:v>
                </c:pt>
                <c:pt idx="2">
                  <c:v>101 - 500</c:v>
                </c:pt>
                <c:pt idx="3">
                  <c:v>501 - 1000</c:v>
                </c:pt>
                <c:pt idx="4">
                  <c:v>1001 - 2000</c:v>
                </c:pt>
                <c:pt idx="5">
                  <c:v>2001 - 5000</c:v>
                </c:pt>
                <c:pt idx="6">
                  <c:v>5001 - 10000</c:v>
                </c:pt>
                <c:pt idx="7">
                  <c:v>10001 - 50000</c:v>
                </c:pt>
                <c:pt idx="8">
                  <c:v>50001 - 100000</c:v>
                </c:pt>
                <c:pt idx="9">
                  <c:v>100001 - 500000</c:v>
                </c:pt>
                <c:pt idx="10">
                  <c:v>500001 - 1000000</c:v>
                </c:pt>
                <c:pt idx="11">
                  <c:v>&gt; 1000001</c:v>
                </c:pt>
                <c:pt idx="12">
                  <c:v>Info not available</c:v>
                </c:pt>
                <c:pt idx="13">
                  <c:v>Not applicable</c:v>
                </c:pt>
              </c:strCache>
            </c:strRef>
          </c:cat>
          <c:val>
            <c:numRef>
              <c:f>'(Graphs_OLD)'!$B$212:$B$225</c:f>
              <c:numCache>
                <c:formatCode>General</c:formatCode>
                <c:ptCount val="14"/>
                <c:pt idx="0">
                  <c:v>16</c:v>
                </c:pt>
                <c:pt idx="1">
                  <c:v>5</c:v>
                </c:pt>
                <c:pt idx="2">
                  <c:v>13</c:v>
                </c:pt>
                <c:pt idx="3">
                  <c:v>6</c:v>
                </c:pt>
                <c:pt idx="4">
                  <c:v>5</c:v>
                </c:pt>
                <c:pt idx="5">
                  <c:v>7</c:v>
                </c:pt>
                <c:pt idx="6">
                  <c:v>2</c:v>
                </c:pt>
                <c:pt idx="7">
                  <c:v>10</c:v>
                </c:pt>
                <c:pt idx="8">
                  <c:v>2</c:v>
                </c:pt>
                <c:pt idx="9">
                  <c:v>2</c:v>
                </c:pt>
                <c:pt idx="10">
                  <c:v>1</c:v>
                </c:pt>
                <c:pt idx="11">
                  <c:v>1</c:v>
                </c:pt>
                <c:pt idx="12">
                  <c:v>20</c:v>
                </c:pt>
                <c:pt idx="13">
                  <c:v>11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1E3F-4459-85B6-1E71E31A28F8}"/>
            </c:ext>
          </c:extLst>
        </c:ser>
        <c:dLbls>
          <c:showLegendKey val="0"/>
          <c:showVal val="0"/>
          <c:showCatName val="0"/>
          <c:showSerName val="0"/>
          <c:showPercent val="0"/>
          <c:showBubbleSize val="0"/>
        </c:dLbls>
        <c:gapWidth val="150"/>
        <c:axId val="1815220649"/>
        <c:axId val="239504586"/>
      </c:barChart>
      <c:catAx>
        <c:axId val="1815220649"/>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39504586"/>
        <c:crosses val="autoZero"/>
        <c:auto val="1"/>
        <c:lblAlgn val="ctr"/>
        <c:lblOffset val="100"/>
        <c:noMultiLvlLbl val="1"/>
      </c:catAx>
      <c:valAx>
        <c:axId val="2395045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815220649"/>
        <c:crosses val="autoZero"/>
        <c:crossBetween val="between"/>
      </c:valAx>
    </c:plotArea>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'(Graphs_OLD)'!$B$231</c:f>
              <c:strCache>
                <c:ptCount val="1"/>
                <c:pt idx="0">
                  <c:v>Count of Number of publications</c:v>
                </c:pt>
              </c:strCache>
            </c:strRef>
          </c:tx>
          <c:spPr>
            <a:solidFill>
              <a:srgbClr val="4472C4"/>
            </a:solidFill>
          </c:spPr>
          <c:invertIfNegative val="1"/>
          <c:cat>
            <c:strRef>
              <c:f>'(Graphs_OLD)'!$A$232:$A$239</c:f>
              <c:strCache>
                <c:ptCount val="8"/>
                <c:pt idx="0">
                  <c:v>0</c:v>
                </c:pt>
                <c:pt idx="1">
                  <c:v>1 - 5</c:v>
                </c:pt>
                <c:pt idx="2">
                  <c:v>6 - 10</c:v>
                </c:pt>
                <c:pt idx="3">
                  <c:v>11 - 20</c:v>
                </c:pt>
                <c:pt idx="4">
                  <c:v>21 - 50</c:v>
                </c:pt>
                <c:pt idx="5">
                  <c:v>&gt; 100</c:v>
                </c:pt>
                <c:pt idx="6">
                  <c:v>Not applicable</c:v>
                </c:pt>
                <c:pt idx="7">
                  <c:v>Unknown</c:v>
                </c:pt>
              </c:strCache>
            </c:strRef>
          </c:cat>
          <c:val>
            <c:numRef>
              <c:f>'(Graphs_OLD)'!$B$232:$B$239</c:f>
              <c:numCache>
                <c:formatCode>General</c:formatCode>
                <c:ptCount val="8"/>
                <c:pt idx="0">
                  <c:v>23</c:v>
                </c:pt>
                <c:pt idx="1">
                  <c:v>25</c:v>
                </c:pt>
                <c:pt idx="2">
                  <c:v>7</c:v>
                </c:pt>
                <c:pt idx="3">
                  <c:v>6</c:v>
                </c:pt>
                <c:pt idx="4">
                  <c:v>3</c:v>
                </c:pt>
                <c:pt idx="5">
                  <c:v>1</c:v>
                </c:pt>
                <c:pt idx="6">
                  <c:v>14</c:v>
                </c:pt>
                <c:pt idx="7">
                  <c:v>27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6D03-4131-B2A1-A07FD464C78E}"/>
            </c:ext>
          </c:extLst>
        </c:ser>
        <c:dLbls>
          <c:showLegendKey val="0"/>
          <c:showVal val="0"/>
          <c:showCatName val="0"/>
          <c:showSerName val="0"/>
          <c:showPercent val="0"/>
          <c:showBubbleSize val="0"/>
        </c:dLbls>
        <c:gapWidth val="150"/>
        <c:axId val="549895734"/>
        <c:axId val="1847123738"/>
      </c:barChart>
      <c:catAx>
        <c:axId val="549895734"/>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847123738"/>
        <c:crosses val="autoZero"/>
        <c:auto val="1"/>
        <c:lblAlgn val="ctr"/>
        <c:lblOffset val="100"/>
        <c:noMultiLvlLbl val="1"/>
      </c:catAx>
      <c:valAx>
        <c:axId val="18471237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549895734"/>
        <c:crosses val="autoZero"/>
        <c:crossBetween val="between"/>
      </c:valAx>
    </c:plotArea>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'(Type of data collected_OLD)'!$C$48</c:f>
              <c:strCache>
                <c:ptCount val="1"/>
                <c:pt idx="0">
                  <c:v>Count of Type of data collected</c:v>
                </c:pt>
              </c:strCache>
            </c:strRef>
          </c:tx>
          <c:spPr>
            <a:solidFill>
              <a:srgbClr val="4472C4"/>
            </a:solidFill>
          </c:spPr>
          <c:invertIfNegative val="1"/>
          <c:cat>
            <c:strRef>
              <c:f>'(Type of data collected_OLD)'!$B$49:$B$56</c:f>
              <c:strCache>
                <c:ptCount val="8"/>
                <c:pt idx="0">
                  <c:v>Species presence and/or abundance</c:v>
                </c:pt>
                <c:pt idx="1">
                  <c:v>Changes in abundance</c:v>
                </c:pt>
                <c:pt idx="2">
                  <c:v>Collecting lists of species</c:v>
                </c:pt>
                <c:pt idx="3">
                  <c:v>Early detection</c:v>
                </c:pt>
                <c:pt idx="4">
                  <c:v>Measuring impacts</c:v>
                </c:pt>
                <c:pt idx="5">
                  <c:v>Evidence of impacts on biodiversity</c:v>
                </c:pt>
                <c:pt idx="6">
                  <c:v>Rate of spread</c:v>
                </c:pt>
                <c:pt idx="7">
                  <c:v>Experimental data</c:v>
                </c:pt>
              </c:strCache>
            </c:strRef>
          </c:cat>
          <c:val>
            <c:numRef>
              <c:f>'(Type of data collected_OLD)'!$C$49:$C$56</c:f>
              <c:numCache>
                <c:formatCode>General</c:formatCode>
                <c:ptCount val="8"/>
                <c:pt idx="0">
                  <c:v>99</c:v>
                </c:pt>
                <c:pt idx="1">
                  <c:v>23</c:v>
                </c:pt>
                <c:pt idx="2">
                  <c:v>23</c:v>
                </c:pt>
                <c:pt idx="3">
                  <c:v>46</c:v>
                </c:pt>
                <c:pt idx="4">
                  <c:v>15</c:v>
                </c:pt>
                <c:pt idx="5">
                  <c:v>17</c:v>
                </c:pt>
                <c:pt idx="6">
                  <c:v>25</c:v>
                </c:pt>
                <c:pt idx="7">
                  <c:v>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1896-406B-90FE-87E559859934}"/>
            </c:ext>
          </c:extLst>
        </c:ser>
        <c:dLbls>
          <c:showLegendKey val="0"/>
          <c:showVal val="0"/>
          <c:showCatName val="0"/>
          <c:showSerName val="0"/>
          <c:showPercent val="0"/>
          <c:showBubbleSize val="0"/>
        </c:dLbls>
        <c:gapWidth val="150"/>
        <c:axId val="521368729"/>
        <c:axId val="1624162283"/>
      </c:barChart>
      <c:catAx>
        <c:axId val="521368729"/>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624162283"/>
        <c:crosses val="autoZero"/>
        <c:auto val="1"/>
        <c:lblAlgn val="ctr"/>
        <c:lblOffset val="100"/>
        <c:noMultiLvlLbl val="1"/>
      </c:catAx>
      <c:valAx>
        <c:axId val="16241622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521368729"/>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'(Graphs_OLD)'!$B$37</c:f>
              <c:strCache>
                <c:ptCount val="1"/>
                <c:pt idx="0">
                  <c:v>Count of Start year</c:v>
                </c:pt>
              </c:strCache>
            </c:strRef>
          </c:tx>
          <c:spPr>
            <a:solidFill>
              <a:srgbClr val="4472C4"/>
            </a:solidFill>
          </c:spPr>
          <c:invertIfNegative val="1"/>
          <c:cat>
            <c:numRef>
              <c:f>'(Graphs_OLD)'!$A$38:$A$52</c:f>
              <c:numCache>
                <c:formatCode>General</c:formatCode>
                <c:ptCount val="15"/>
                <c:pt idx="0">
                  <c:v>2019</c:v>
                </c:pt>
                <c:pt idx="1">
                  <c:v>2018</c:v>
                </c:pt>
                <c:pt idx="2">
                  <c:v>2017</c:v>
                </c:pt>
                <c:pt idx="3">
                  <c:v>2016</c:v>
                </c:pt>
                <c:pt idx="4">
                  <c:v>2015</c:v>
                </c:pt>
                <c:pt idx="5">
                  <c:v>2014</c:v>
                </c:pt>
                <c:pt idx="6">
                  <c:v>2013</c:v>
                </c:pt>
                <c:pt idx="7">
                  <c:v>2012</c:v>
                </c:pt>
                <c:pt idx="8">
                  <c:v>2011</c:v>
                </c:pt>
                <c:pt idx="9">
                  <c:v>2010</c:v>
                </c:pt>
                <c:pt idx="10">
                  <c:v>2009</c:v>
                </c:pt>
                <c:pt idx="11">
                  <c:v>2008</c:v>
                </c:pt>
                <c:pt idx="12">
                  <c:v>2007</c:v>
                </c:pt>
                <c:pt idx="13">
                  <c:v>2006</c:v>
                </c:pt>
                <c:pt idx="14">
                  <c:v>2005</c:v>
                </c:pt>
              </c:numCache>
            </c:numRef>
          </c:cat>
          <c:val>
            <c:numRef>
              <c:f>'(Graphs_OLD)'!$B$38:$B$52</c:f>
              <c:numCache>
                <c:formatCode>General</c:formatCode>
                <c:ptCount val="15"/>
                <c:pt idx="0">
                  <c:v>21</c:v>
                </c:pt>
                <c:pt idx="1">
                  <c:v>13</c:v>
                </c:pt>
                <c:pt idx="2">
                  <c:v>17</c:v>
                </c:pt>
                <c:pt idx="3">
                  <c:v>10</c:v>
                </c:pt>
                <c:pt idx="4">
                  <c:v>6</c:v>
                </c:pt>
                <c:pt idx="5">
                  <c:v>9</c:v>
                </c:pt>
                <c:pt idx="6">
                  <c:v>8</c:v>
                </c:pt>
                <c:pt idx="7">
                  <c:v>5</c:v>
                </c:pt>
                <c:pt idx="8">
                  <c:v>3</c:v>
                </c:pt>
                <c:pt idx="9">
                  <c:v>4</c:v>
                </c:pt>
                <c:pt idx="10">
                  <c:v>2</c:v>
                </c:pt>
                <c:pt idx="11">
                  <c:v>4</c:v>
                </c:pt>
                <c:pt idx="12">
                  <c:v>2</c:v>
                </c:pt>
                <c:pt idx="13">
                  <c:v>1</c:v>
                </c:pt>
                <c:pt idx="14">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6BBA-4991-BB44-6D934CAA1E84}"/>
            </c:ext>
          </c:extLst>
        </c:ser>
        <c:dLbls>
          <c:showLegendKey val="0"/>
          <c:showVal val="0"/>
          <c:showCatName val="0"/>
          <c:showSerName val="0"/>
          <c:showPercent val="0"/>
          <c:showBubbleSize val="0"/>
        </c:dLbls>
        <c:gapWidth val="150"/>
        <c:axId val="1198499560"/>
        <c:axId val="1941073690"/>
      </c:barChart>
      <c:catAx>
        <c:axId val="1198499560"/>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41073690"/>
        <c:crosses val="autoZero"/>
        <c:auto val="1"/>
        <c:lblAlgn val="ctr"/>
        <c:lblOffset val="100"/>
        <c:noMultiLvlLbl val="1"/>
      </c:catAx>
      <c:valAx>
        <c:axId val="19410736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198499560"/>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'(Graphs_OLD)'!$B$56</c:f>
              <c:strCache>
                <c:ptCount val="1"/>
                <c:pt idx="0">
                  <c:v>Count of End year</c:v>
                </c:pt>
              </c:strCache>
            </c:strRef>
          </c:tx>
          <c:spPr>
            <a:solidFill>
              <a:srgbClr val="4472C4"/>
            </a:solidFill>
          </c:spPr>
          <c:invertIfNegative val="1"/>
          <c:cat>
            <c:strRef>
              <c:f>'(Graphs_OLD)'!$A$57:$A$64</c:f>
              <c:strCache>
                <c:ptCount val="8"/>
                <c:pt idx="0">
                  <c:v>2014</c:v>
                </c:pt>
                <c:pt idx="1">
                  <c:v>2015</c:v>
                </c:pt>
                <c:pt idx="2">
                  <c:v>2016</c:v>
                </c:pt>
                <c:pt idx="3">
                  <c:v>2017</c:v>
                </c:pt>
                <c:pt idx="4">
                  <c:v>2018</c:v>
                </c:pt>
                <c:pt idx="5">
                  <c:v>2019</c:v>
                </c:pt>
                <c:pt idx="6">
                  <c:v>Still running</c:v>
                </c:pt>
                <c:pt idx="7">
                  <c:v>Unknown</c:v>
                </c:pt>
              </c:strCache>
            </c:strRef>
          </c:cat>
          <c:val>
            <c:numRef>
              <c:f>'(Graphs_OLD)'!$B$57:$B$64</c:f>
              <c:numCache>
                <c:formatCode>General</c:formatCode>
                <c:ptCount val="8"/>
                <c:pt idx="0">
                  <c:v>1</c:v>
                </c:pt>
                <c:pt idx="1">
                  <c:v>2</c:v>
                </c:pt>
                <c:pt idx="2">
                  <c:v>2</c:v>
                </c:pt>
                <c:pt idx="3">
                  <c:v>5</c:v>
                </c:pt>
                <c:pt idx="4">
                  <c:v>6</c:v>
                </c:pt>
                <c:pt idx="5">
                  <c:v>8</c:v>
                </c:pt>
                <c:pt idx="6">
                  <c:v>77</c:v>
                </c:pt>
                <c:pt idx="7">
                  <c:v>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B223-42BB-8AD0-BD4703FE00AE}"/>
            </c:ext>
          </c:extLst>
        </c:ser>
        <c:dLbls>
          <c:showLegendKey val="0"/>
          <c:showVal val="0"/>
          <c:showCatName val="0"/>
          <c:showSerName val="0"/>
          <c:showPercent val="0"/>
          <c:showBubbleSize val="0"/>
        </c:dLbls>
        <c:gapWidth val="150"/>
        <c:axId val="1326400695"/>
        <c:axId val="916289215"/>
      </c:barChart>
      <c:catAx>
        <c:axId val="1326400695"/>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916289215"/>
        <c:crosses val="autoZero"/>
        <c:auto val="1"/>
        <c:lblAlgn val="ctr"/>
        <c:lblOffset val="100"/>
        <c:noMultiLvlLbl val="1"/>
      </c:catAx>
      <c:valAx>
        <c:axId val="9162892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326400695"/>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'(Graphs_OLD)'!$B$74</c:f>
              <c:strCache>
                <c:ptCount val="1"/>
                <c:pt idx="0">
                  <c:v>Count of If funded, by what type of funding entity?</c:v>
                </c:pt>
              </c:strCache>
            </c:strRef>
          </c:tx>
          <c:spPr>
            <a:solidFill>
              <a:srgbClr val="4472C4"/>
            </a:solidFill>
          </c:spPr>
          <c:invertIfNegative val="1"/>
          <c:cat>
            <c:strRef>
              <c:f>'(Graphs_OLD)'!$A$75:$A$83</c:f>
              <c:strCache>
                <c:ptCount val="9"/>
                <c:pt idx="0">
                  <c:v>Mixed</c:v>
                </c:pt>
                <c:pt idx="1">
                  <c:v>Government</c:v>
                </c:pt>
                <c:pt idx="2">
                  <c:v>Public</c:v>
                </c:pt>
                <c:pt idx="3">
                  <c:v>LIFE program</c:v>
                </c:pt>
                <c:pt idx="4">
                  <c:v>NGO</c:v>
                </c:pt>
                <c:pt idx="5">
                  <c:v>Private</c:v>
                </c:pt>
                <c:pt idx="6">
                  <c:v>EC JRC</c:v>
                </c:pt>
                <c:pt idx="7">
                  <c:v>EU</c:v>
                </c:pt>
                <c:pt idx="8">
                  <c:v>University</c:v>
                </c:pt>
              </c:strCache>
            </c:strRef>
          </c:cat>
          <c:val>
            <c:numRef>
              <c:f>'(Graphs_OLD)'!$B$75:$B$83</c:f>
              <c:numCache>
                <c:formatCode>General</c:formatCode>
                <c:ptCount val="9"/>
                <c:pt idx="0">
                  <c:v>25</c:v>
                </c:pt>
                <c:pt idx="1">
                  <c:v>24</c:v>
                </c:pt>
                <c:pt idx="2">
                  <c:v>16</c:v>
                </c:pt>
                <c:pt idx="3">
                  <c:v>8</c:v>
                </c:pt>
                <c:pt idx="4">
                  <c:v>3</c:v>
                </c:pt>
                <c:pt idx="5">
                  <c:v>3</c:v>
                </c:pt>
                <c:pt idx="6">
                  <c:v>1</c:v>
                </c:pt>
                <c:pt idx="7">
                  <c:v>1</c:v>
                </c:pt>
                <c:pt idx="8">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5477-4CE9-9FDF-B139F685B655}"/>
            </c:ext>
          </c:extLst>
        </c:ser>
        <c:dLbls>
          <c:showLegendKey val="0"/>
          <c:showVal val="0"/>
          <c:showCatName val="0"/>
          <c:showSerName val="0"/>
          <c:showPercent val="0"/>
          <c:showBubbleSize val="0"/>
        </c:dLbls>
        <c:gapWidth val="150"/>
        <c:axId val="42573184"/>
        <c:axId val="1539145716"/>
      </c:barChart>
      <c:catAx>
        <c:axId val="42573184"/>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539145716"/>
        <c:crosses val="autoZero"/>
        <c:auto val="1"/>
        <c:lblAlgn val="ctr"/>
        <c:lblOffset val="100"/>
        <c:noMultiLvlLbl val="1"/>
      </c:catAx>
      <c:valAx>
        <c:axId val="1539145716"/>
        <c:scaling>
          <c:orientation val="minMax"/>
          <c:max val="2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42573184"/>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'(Graphs_OLD)'!$B$88</c:f>
              <c:strCache>
                <c:ptCount val="1"/>
                <c:pt idx="0">
                  <c:v>Count of Target taxonomic group</c:v>
                </c:pt>
              </c:strCache>
            </c:strRef>
          </c:tx>
          <c:spPr>
            <a:solidFill>
              <a:srgbClr val="4472C4"/>
            </a:solidFill>
          </c:spPr>
          <c:invertIfNegative val="1"/>
          <c:cat>
            <c:strRef>
              <c:f>'(Graphs_OLD)'!$A$89:$A$100</c:f>
              <c:strCache>
                <c:ptCount val="12"/>
                <c:pt idx="0">
                  <c:v>All</c:v>
                </c:pt>
                <c:pt idx="1">
                  <c:v>Plants</c:v>
                </c:pt>
                <c:pt idx="2">
                  <c:v>Mammals</c:v>
                </c:pt>
                <c:pt idx="3">
                  <c:v>Fish</c:v>
                </c:pt>
                <c:pt idx="4">
                  <c:v>Birds</c:v>
                </c:pt>
                <c:pt idx="5">
                  <c:v>Amphibians and reptiles</c:v>
                </c:pt>
                <c:pt idx="6">
                  <c:v>Insects</c:v>
                </c:pt>
                <c:pt idx="7">
                  <c:v>Crayfish</c:v>
                </c:pt>
                <c:pt idx="8">
                  <c:v>Crustaceans</c:v>
                </c:pt>
                <c:pt idx="9">
                  <c:v>Molluscs</c:v>
                </c:pt>
                <c:pt idx="10">
                  <c:v>Other invertebrates</c:v>
                </c:pt>
                <c:pt idx="11">
                  <c:v>Other</c:v>
                </c:pt>
              </c:strCache>
            </c:strRef>
          </c:cat>
          <c:val>
            <c:numRef>
              <c:f>'(Graphs_OLD)'!$B$89:$B$100</c:f>
              <c:numCache>
                <c:formatCode>General</c:formatCode>
                <c:ptCount val="12"/>
                <c:pt idx="0">
                  <c:v>25</c:v>
                </c:pt>
                <c:pt idx="1">
                  <c:v>32</c:v>
                </c:pt>
                <c:pt idx="2">
                  <c:v>14</c:v>
                </c:pt>
                <c:pt idx="3">
                  <c:v>10</c:v>
                </c:pt>
                <c:pt idx="4">
                  <c:v>7</c:v>
                </c:pt>
                <c:pt idx="5">
                  <c:v>3</c:v>
                </c:pt>
                <c:pt idx="6">
                  <c:v>25</c:v>
                </c:pt>
                <c:pt idx="7">
                  <c:v>8</c:v>
                </c:pt>
                <c:pt idx="8">
                  <c:v>6</c:v>
                </c:pt>
                <c:pt idx="9">
                  <c:v>5</c:v>
                </c:pt>
                <c:pt idx="10">
                  <c:v>5</c:v>
                </c:pt>
                <c:pt idx="11">
                  <c:v>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AA02-44B5-AEC1-D79ABD9483A8}"/>
            </c:ext>
          </c:extLst>
        </c:ser>
        <c:dLbls>
          <c:showLegendKey val="0"/>
          <c:showVal val="0"/>
          <c:showCatName val="0"/>
          <c:showSerName val="0"/>
          <c:showPercent val="0"/>
          <c:showBubbleSize val="0"/>
        </c:dLbls>
        <c:gapWidth val="150"/>
        <c:axId val="558936944"/>
        <c:axId val="210146566"/>
      </c:barChart>
      <c:catAx>
        <c:axId val="558936944"/>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10146566"/>
        <c:crosses val="autoZero"/>
        <c:auto val="1"/>
        <c:lblAlgn val="ctr"/>
        <c:lblOffset val="100"/>
        <c:noMultiLvlLbl val="1"/>
      </c:catAx>
      <c:valAx>
        <c:axId val="2101465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558936944"/>
        <c:crosses val="autoZero"/>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'(Graphs_OLD)'!$B$110</c:f>
              <c:strCache>
                <c:ptCount val="1"/>
                <c:pt idx="0">
                  <c:v>Count of Environment type </c:v>
                </c:pt>
              </c:strCache>
            </c:strRef>
          </c:tx>
          <c:spPr>
            <a:solidFill>
              <a:srgbClr val="4472C4"/>
            </a:solidFill>
          </c:spPr>
          <c:invertIfNegative val="1"/>
          <c:cat>
            <c:strRef>
              <c:f>'(Graphs_OLD)'!$A$111:$A$116</c:f>
              <c:strCache>
                <c:ptCount val="6"/>
                <c:pt idx="0">
                  <c:v>Mixed</c:v>
                </c:pt>
                <c:pt idx="1">
                  <c:v>All</c:v>
                </c:pt>
                <c:pt idx="2">
                  <c:v>Marine</c:v>
                </c:pt>
                <c:pt idx="3">
                  <c:v>Freshwater</c:v>
                </c:pt>
                <c:pt idx="4">
                  <c:v>Terrestrial</c:v>
                </c:pt>
                <c:pt idx="5">
                  <c:v>Terrestrial, Urban</c:v>
                </c:pt>
              </c:strCache>
            </c:strRef>
          </c:cat>
          <c:val>
            <c:numRef>
              <c:f>'(Graphs_OLD)'!$B$111:$B$116</c:f>
              <c:numCache>
                <c:formatCode>General</c:formatCode>
                <c:ptCount val="6"/>
                <c:pt idx="0">
                  <c:v>21</c:v>
                </c:pt>
                <c:pt idx="1">
                  <c:v>21</c:v>
                </c:pt>
                <c:pt idx="2">
                  <c:v>11</c:v>
                </c:pt>
                <c:pt idx="3">
                  <c:v>10</c:v>
                </c:pt>
                <c:pt idx="4">
                  <c:v>24</c:v>
                </c:pt>
                <c:pt idx="5">
                  <c:v>19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F284-4ED5-83D3-ED920432B10A}"/>
            </c:ext>
          </c:extLst>
        </c:ser>
        <c:dLbls>
          <c:showLegendKey val="0"/>
          <c:showVal val="0"/>
          <c:showCatName val="0"/>
          <c:showSerName val="0"/>
          <c:showPercent val="0"/>
          <c:showBubbleSize val="0"/>
        </c:dLbls>
        <c:gapWidth val="150"/>
        <c:axId val="564931187"/>
        <c:axId val="1605461296"/>
      </c:barChart>
      <c:catAx>
        <c:axId val="564931187"/>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605461296"/>
        <c:crosses val="autoZero"/>
        <c:auto val="1"/>
        <c:lblAlgn val="ctr"/>
        <c:lblOffset val="100"/>
        <c:noMultiLvlLbl val="1"/>
      </c:catAx>
      <c:valAx>
        <c:axId val="16054612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564931187"/>
        <c:crosses val="autoZero"/>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'(Graphs_OLD)'!$B$130</c:f>
              <c:strCache>
                <c:ptCount val="1"/>
                <c:pt idx="0">
                  <c:v>Count of Geographic extent</c:v>
                </c:pt>
              </c:strCache>
            </c:strRef>
          </c:tx>
          <c:spPr>
            <a:solidFill>
              <a:srgbClr val="4472C4"/>
            </a:solidFill>
          </c:spPr>
          <c:invertIfNegative val="1"/>
          <c:cat>
            <c:strRef>
              <c:f>'(Graphs_OLD)'!$A$131:$A$138</c:f>
              <c:strCache>
                <c:ptCount val="8"/>
                <c:pt idx="0">
                  <c:v>Global</c:v>
                </c:pt>
                <c:pt idx="1">
                  <c:v>Macro-regional (i.e. multiple countries)</c:v>
                </c:pt>
                <c:pt idx="2">
                  <c:v>National</c:v>
                </c:pt>
                <c:pt idx="3">
                  <c:v>Sub-national</c:v>
                </c:pt>
                <c:pt idx="4">
                  <c:v>Regional</c:v>
                </c:pt>
                <c:pt idx="5">
                  <c:v>City</c:v>
                </c:pt>
                <c:pt idx="6">
                  <c:v>Neighbourhood</c:v>
                </c:pt>
                <c:pt idx="7">
                  <c:v>Other</c:v>
                </c:pt>
              </c:strCache>
            </c:strRef>
          </c:cat>
          <c:val>
            <c:numRef>
              <c:f>'(Graphs_OLD)'!$B$131:$B$138</c:f>
              <c:numCache>
                <c:formatCode>General</c:formatCode>
                <c:ptCount val="8"/>
                <c:pt idx="0">
                  <c:v>1</c:v>
                </c:pt>
                <c:pt idx="1">
                  <c:v>10</c:v>
                </c:pt>
                <c:pt idx="2">
                  <c:v>69</c:v>
                </c:pt>
                <c:pt idx="3">
                  <c:v>4</c:v>
                </c:pt>
                <c:pt idx="4">
                  <c:v>14</c:v>
                </c:pt>
                <c:pt idx="5">
                  <c:v>3</c:v>
                </c:pt>
                <c:pt idx="6">
                  <c:v>1</c:v>
                </c:pt>
                <c:pt idx="7">
                  <c:v>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F0CC-47E6-8628-ED3C1E78767E}"/>
            </c:ext>
          </c:extLst>
        </c:ser>
        <c:dLbls>
          <c:showLegendKey val="0"/>
          <c:showVal val="0"/>
          <c:showCatName val="0"/>
          <c:showSerName val="0"/>
          <c:showPercent val="0"/>
          <c:showBubbleSize val="0"/>
        </c:dLbls>
        <c:gapWidth val="150"/>
        <c:axId val="1639651952"/>
        <c:axId val="1858678877"/>
      </c:barChart>
      <c:catAx>
        <c:axId val="1639651952"/>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858678877"/>
        <c:crosses val="autoZero"/>
        <c:auto val="1"/>
        <c:lblAlgn val="ctr"/>
        <c:lblOffset val="100"/>
        <c:noMultiLvlLbl val="1"/>
      </c:catAx>
      <c:valAx>
        <c:axId val="18586788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639651952"/>
        <c:crosses val="autoZero"/>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'(Graphs_OLD)'!$B$157</c:f>
              <c:strCache>
                <c:ptCount val="1"/>
                <c:pt idx="0">
                  <c:v>Count of Skills / knowledge needed</c:v>
                </c:pt>
              </c:strCache>
            </c:strRef>
          </c:tx>
          <c:spPr>
            <a:solidFill>
              <a:srgbClr val="4472C4"/>
            </a:solidFill>
          </c:spPr>
          <c:invertIfNegative val="1"/>
          <c:cat>
            <c:strRef>
              <c:f>'(Graphs_OLD)'!$A$158:$A$162</c:f>
              <c:strCache>
                <c:ptCount val="5"/>
                <c:pt idx="0">
                  <c:v>Advanced</c:v>
                </c:pt>
                <c:pt idx="1">
                  <c:v>Limited</c:v>
                </c:pt>
                <c:pt idx="2">
                  <c:v>None</c:v>
                </c:pt>
                <c:pt idx="3">
                  <c:v>Other</c:v>
                </c:pt>
                <c:pt idx="4">
                  <c:v>Unknown</c:v>
                </c:pt>
              </c:strCache>
            </c:strRef>
          </c:cat>
          <c:val>
            <c:numRef>
              <c:f>'(Graphs_OLD)'!$B$158:$B$162</c:f>
              <c:numCache>
                <c:formatCode>General</c:formatCode>
                <c:ptCount val="5"/>
                <c:pt idx="0">
                  <c:v>3</c:v>
                </c:pt>
                <c:pt idx="1">
                  <c:v>43</c:v>
                </c:pt>
                <c:pt idx="2">
                  <c:v>51</c:v>
                </c:pt>
                <c:pt idx="3">
                  <c:v>4</c:v>
                </c:pt>
                <c:pt idx="4">
                  <c:v>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7874-4558-8F9A-6D5762CA6AC5}"/>
            </c:ext>
          </c:extLst>
        </c:ser>
        <c:dLbls>
          <c:showLegendKey val="0"/>
          <c:showVal val="0"/>
          <c:showCatName val="0"/>
          <c:showSerName val="0"/>
          <c:showPercent val="0"/>
          <c:showBubbleSize val="0"/>
        </c:dLbls>
        <c:gapWidth val="150"/>
        <c:axId val="1669430972"/>
        <c:axId val="1604397425"/>
      </c:barChart>
      <c:catAx>
        <c:axId val="1669430972"/>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604397425"/>
        <c:crosses val="autoZero"/>
        <c:auto val="1"/>
        <c:lblAlgn val="ctr"/>
        <c:lblOffset val="100"/>
        <c:noMultiLvlLbl val="1"/>
      </c:catAx>
      <c:valAx>
        <c:axId val="16043974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669430972"/>
        <c:crosses val="autoZero"/>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'(Graphs_OLD)'!$B$179</c:f>
              <c:strCache>
                <c:ptCount val="1"/>
                <c:pt idx="0">
                  <c:v>Count of Usage of App</c:v>
                </c:pt>
              </c:strCache>
            </c:strRef>
          </c:tx>
          <c:spPr>
            <a:solidFill>
              <a:srgbClr val="4472C4"/>
            </a:solidFill>
          </c:spPr>
          <c:invertIfNegative val="1"/>
          <c:cat>
            <c:strRef>
              <c:f>'(Graphs_OLD)'!$A$180:$A$188</c:f>
              <c:strCache>
                <c:ptCount val="9"/>
                <c:pt idx="0">
                  <c:v>0</c:v>
                </c:pt>
                <c:pt idx="1">
                  <c:v>1-5%</c:v>
                </c:pt>
                <c:pt idx="2">
                  <c:v>6-10%</c:v>
                </c:pt>
                <c:pt idx="3">
                  <c:v>11-25%</c:v>
                </c:pt>
                <c:pt idx="4">
                  <c:v>26-50%</c:v>
                </c:pt>
                <c:pt idx="5">
                  <c:v>51-75%</c:v>
                </c:pt>
                <c:pt idx="6">
                  <c:v>76-100%</c:v>
                </c:pt>
                <c:pt idx="7">
                  <c:v>Not applicable</c:v>
                </c:pt>
                <c:pt idx="8">
                  <c:v>Unknown</c:v>
                </c:pt>
              </c:strCache>
            </c:strRef>
          </c:cat>
          <c:val>
            <c:numRef>
              <c:f>'(Graphs_OLD)'!$B$180:$B$188</c:f>
              <c:numCache>
                <c:formatCode>General</c:formatCode>
                <c:ptCount val="9"/>
                <c:pt idx="0">
                  <c:v>5</c:v>
                </c:pt>
                <c:pt idx="1">
                  <c:v>1</c:v>
                </c:pt>
                <c:pt idx="2">
                  <c:v>2</c:v>
                </c:pt>
                <c:pt idx="3">
                  <c:v>4</c:v>
                </c:pt>
                <c:pt idx="4">
                  <c:v>1</c:v>
                </c:pt>
                <c:pt idx="5">
                  <c:v>5</c:v>
                </c:pt>
                <c:pt idx="6">
                  <c:v>1</c:v>
                </c:pt>
                <c:pt idx="7">
                  <c:v>50</c:v>
                </c:pt>
                <c:pt idx="8">
                  <c:v>36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CA6C-4110-A6F9-CFF748605B17}"/>
            </c:ext>
          </c:extLst>
        </c:ser>
        <c:dLbls>
          <c:showLegendKey val="0"/>
          <c:showVal val="0"/>
          <c:showCatName val="0"/>
          <c:showSerName val="0"/>
          <c:showPercent val="0"/>
          <c:showBubbleSize val="0"/>
        </c:dLbls>
        <c:gapWidth val="150"/>
        <c:axId val="2033472402"/>
        <c:axId val="1603336666"/>
      </c:barChart>
      <c:catAx>
        <c:axId val="2033472402"/>
        <c:scaling>
          <c:orientation val="minMax"/>
        </c:scaling>
        <c:delete val="0"/>
        <c:axPos val="b"/>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603336666"/>
        <c:crosses val="autoZero"/>
        <c:auto val="1"/>
        <c:lblAlgn val="ctr"/>
        <c:lblOffset val="100"/>
        <c:noMultiLvlLbl val="1"/>
      </c:catAx>
      <c:valAx>
        <c:axId val="16033366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CA"/>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03347240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oneCellAnchor>
    <xdr:from>
      <xdr:col>3</xdr:col>
      <xdr:colOff>238125</xdr:colOff>
      <xdr:row>14</xdr:row>
      <xdr:rowOff>76200</xdr:rowOff>
    </xdr:from>
    <xdr:ext cx="6848475" cy="2628900"/>
    <xdr:graphicFrame macro="">
      <xdr:nvGraphicFramePr>
        <xdr:cNvPr id="1984401981" name="Chart 1">
          <a:extLst>
            <a:ext uri="{FF2B5EF4-FFF2-40B4-BE49-F238E27FC236}">
              <a16:creationId xmlns:a16="http://schemas.microsoft.com/office/drawing/2014/main" id="{00000000-0008-0000-0000-00003D924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180975</xdr:colOff>
      <xdr:row>35</xdr:row>
      <xdr:rowOff>114300</xdr:rowOff>
    </xdr:from>
    <xdr:ext cx="4371975" cy="2628900"/>
    <xdr:graphicFrame macro="">
      <xdr:nvGraphicFramePr>
        <xdr:cNvPr id="85126706" name="Chart 3">
          <a:extLst>
            <a:ext uri="{FF2B5EF4-FFF2-40B4-BE49-F238E27FC236}">
              <a16:creationId xmlns:a16="http://schemas.microsoft.com/office/drawing/2014/main" id="{00000000-0008-0000-0000-000032EE1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200025</xdr:colOff>
      <xdr:row>53</xdr:row>
      <xdr:rowOff>114300</xdr:rowOff>
    </xdr:from>
    <xdr:ext cx="4371975" cy="2628900"/>
    <xdr:graphicFrame macro="">
      <xdr:nvGraphicFramePr>
        <xdr:cNvPr id="565656746" name="Chart 4">
          <a:extLst>
            <a:ext uri="{FF2B5EF4-FFF2-40B4-BE49-F238E27FC236}">
              <a16:creationId xmlns:a16="http://schemas.microsoft.com/office/drawing/2014/main" id="{00000000-0008-0000-0000-0000AA3CB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581025</xdr:colOff>
      <xdr:row>71</xdr:row>
      <xdr:rowOff>133350</xdr:rowOff>
    </xdr:from>
    <xdr:ext cx="4343400" cy="2628900"/>
    <xdr:graphicFrame macro="">
      <xdr:nvGraphicFramePr>
        <xdr:cNvPr id="546960648" name="Chart 5">
          <a:extLst>
            <a:ext uri="{FF2B5EF4-FFF2-40B4-BE49-F238E27FC236}">
              <a16:creationId xmlns:a16="http://schemas.microsoft.com/office/drawing/2014/main" id="{00000000-0008-0000-0000-000008F59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533400</xdr:colOff>
      <xdr:row>89</xdr:row>
      <xdr:rowOff>57150</xdr:rowOff>
    </xdr:from>
    <xdr:ext cx="4343400" cy="2628900"/>
    <xdr:graphicFrame macro="">
      <xdr:nvGraphicFramePr>
        <xdr:cNvPr id="1966323680" name="Chart 6">
          <a:extLst>
            <a:ext uri="{FF2B5EF4-FFF2-40B4-BE49-F238E27FC236}">
              <a16:creationId xmlns:a16="http://schemas.microsoft.com/office/drawing/2014/main" id="{00000000-0008-0000-0000-0000E0B73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3</xdr:col>
      <xdr:colOff>276225</xdr:colOff>
      <xdr:row>110</xdr:row>
      <xdr:rowOff>57150</xdr:rowOff>
    </xdr:from>
    <xdr:ext cx="4371975" cy="2628900"/>
    <xdr:graphicFrame macro="">
      <xdr:nvGraphicFramePr>
        <xdr:cNvPr id="720518126" name="Chart 7">
          <a:extLst>
            <a:ext uri="{FF2B5EF4-FFF2-40B4-BE49-F238E27FC236}">
              <a16:creationId xmlns:a16="http://schemas.microsoft.com/office/drawing/2014/main" id="{00000000-0008-0000-0000-0000EE3BF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3</xdr:col>
      <xdr:colOff>438150</xdr:colOff>
      <xdr:row>128</xdr:row>
      <xdr:rowOff>38100</xdr:rowOff>
    </xdr:from>
    <xdr:ext cx="4343400" cy="2628900"/>
    <xdr:graphicFrame macro="">
      <xdr:nvGraphicFramePr>
        <xdr:cNvPr id="2095434675" name="Chart 8">
          <a:extLst>
            <a:ext uri="{FF2B5EF4-FFF2-40B4-BE49-F238E27FC236}">
              <a16:creationId xmlns:a16="http://schemas.microsoft.com/office/drawing/2014/main" id="{00000000-0008-0000-0000-0000B3CBE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4</xdr:col>
      <xdr:colOff>533400</xdr:colOff>
      <xdr:row>150</xdr:row>
      <xdr:rowOff>123825</xdr:rowOff>
    </xdr:from>
    <xdr:ext cx="4343400" cy="2628900"/>
    <xdr:graphicFrame macro="">
      <xdr:nvGraphicFramePr>
        <xdr:cNvPr id="655144112" name="Chart 9">
          <a:extLst>
            <a:ext uri="{FF2B5EF4-FFF2-40B4-BE49-F238E27FC236}">
              <a16:creationId xmlns:a16="http://schemas.microsoft.com/office/drawing/2014/main" id="{00000000-0008-0000-0000-0000B0B40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3</xdr:col>
      <xdr:colOff>276225</xdr:colOff>
      <xdr:row>173</xdr:row>
      <xdr:rowOff>57150</xdr:rowOff>
    </xdr:from>
    <xdr:ext cx="4371975" cy="2628900"/>
    <xdr:graphicFrame macro="">
      <xdr:nvGraphicFramePr>
        <xdr:cNvPr id="1455573665" name="Chart 10">
          <a:extLst>
            <a:ext uri="{FF2B5EF4-FFF2-40B4-BE49-F238E27FC236}">
              <a16:creationId xmlns:a16="http://schemas.microsoft.com/office/drawing/2014/main" id="{00000000-0008-0000-0000-0000A14AC2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4</xdr:col>
      <xdr:colOff>161925</xdr:colOff>
      <xdr:row>191</xdr:row>
      <xdr:rowOff>152400</xdr:rowOff>
    </xdr:from>
    <xdr:ext cx="4371975" cy="2628900"/>
    <xdr:graphicFrame macro="">
      <xdr:nvGraphicFramePr>
        <xdr:cNvPr id="1073197847" name="Chart 11">
          <a:extLst>
            <a:ext uri="{FF2B5EF4-FFF2-40B4-BE49-F238E27FC236}">
              <a16:creationId xmlns:a16="http://schemas.microsoft.com/office/drawing/2014/main" id="{00000000-0008-0000-0000-000017B3F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3</xdr:col>
      <xdr:colOff>333375</xdr:colOff>
      <xdr:row>211</xdr:row>
      <xdr:rowOff>38100</xdr:rowOff>
    </xdr:from>
    <xdr:ext cx="4343400" cy="2628900"/>
    <xdr:graphicFrame macro="">
      <xdr:nvGraphicFramePr>
        <xdr:cNvPr id="738032854" name="Chart 12">
          <a:extLst>
            <a:ext uri="{FF2B5EF4-FFF2-40B4-BE49-F238E27FC236}">
              <a16:creationId xmlns:a16="http://schemas.microsoft.com/office/drawing/2014/main" id="{00000000-0008-0000-0000-0000D67CF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3</xdr:col>
      <xdr:colOff>409575</xdr:colOff>
      <xdr:row>229</xdr:row>
      <xdr:rowOff>57150</xdr:rowOff>
    </xdr:from>
    <xdr:ext cx="4343400" cy="2628900"/>
    <xdr:graphicFrame macro="">
      <xdr:nvGraphicFramePr>
        <xdr:cNvPr id="1326920865" name="Chart 13">
          <a:extLst>
            <a:ext uri="{FF2B5EF4-FFF2-40B4-BE49-F238E27FC236}">
              <a16:creationId xmlns:a16="http://schemas.microsoft.com/office/drawing/2014/main" id="{00000000-0008-0000-0000-0000A1341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638175</xdr:colOff>
      <xdr:row>41</xdr:row>
      <xdr:rowOff>0</xdr:rowOff>
    </xdr:from>
    <xdr:ext cx="4352925" cy="2628900"/>
    <xdr:graphicFrame macro="">
      <xdr:nvGraphicFramePr>
        <xdr:cNvPr id="716118882" name="Chart 2">
          <a:extLst>
            <a:ext uri="{FF2B5EF4-FFF2-40B4-BE49-F238E27FC236}">
              <a16:creationId xmlns:a16="http://schemas.microsoft.com/office/drawing/2014/main" id="{00000000-0008-0000-0100-0000621BAF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visitor.sav.sk/" TargetMode="External"/><Relationship Id="rId117" Type="http://schemas.openxmlformats.org/officeDocument/2006/relationships/hyperlink" Target="http://gamberialieni.divulgando.eu/" TargetMode="External"/><Relationship Id="rId21" Type="http://schemas.openxmlformats.org/officeDocument/2006/relationships/hyperlink" Target="http://www.groenepioniers.be/" TargetMode="External"/><Relationship Id="rId42" Type="http://schemas.openxmlformats.org/officeDocument/2006/relationships/hyperlink" Target="https://drive.google.com/open?id=1-lLhFV4zJc3Fc4qpIriHXNg2MBwGF489" TargetMode="External"/><Relationship Id="rId47" Type="http://schemas.openxmlformats.org/officeDocument/2006/relationships/hyperlink" Target="http://emevi.emk.nyme.hu/index.php/22542/?&amp;L=1" TargetMode="External"/><Relationship Id="rId63" Type="http://schemas.openxmlformats.org/officeDocument/2006/relationships/hyperlink" Target="http://phytophthora.se/" TargetMode="External"/><Relationship Id="rId68" Type="http://schemas.openxmlformats.org/officeDocument/2006/relationships/hyperlink" Target="https://www.inaturalist.org/projects/invasive-species-in-romania" TargetMode="External"/><Relationship Id="rId84" Type="http://schemas.openxmlformats.org/officeDocument/2006/relationships/hyperlink" Target="https://drive.google.com/open?id=1CYobY9HkU5dLQN11m5q6itZH93kBX2ST" TargetMode="External"/><Relationship Id="rId89" Type="http://schemas.openxmlformats.org/officeDocument/2006/relationships/hyperlink" Target="https://www.bds.org.uk/index.php/research/deer-distribution-survey" TargetMode="External"/><Relationship Id="rId112" Type="http://schemas.openxmlformats.org/officeDocument/2006/relationships/hyperlink" Target="https://drive.google.com/open?id=1dcjhOkE7Km8UYVDq7k9Lm2Tfg-iN9UR7" TargetMode="External"/><Relationship Id="rId16" Type="http://schemas.openxmlformats.org/officeDocument/2006/relationships/hyperlink" Target="https://drive.google.com/open?id=1YqZVwQcqn3fu4gCbWYjJ38uR_zNb3d6t" TargetMode="External"/><Relationship Id="rId107" Type="http://schemas.openxmlformats.org/officeDocument/2006/relationships/hyperlink" Target="https://drive.google.com/open?id=1echhaM_-cf8MhIhvlvOztDXTubAbdatq" TargetMode="External"/><Relationship Id="rId11" Type="http://schemas.openxmlformats.org/officeDocument/2006/relationships/hyperlink" Target="https://www.facebook.com/FRISKPROJECT/" TargetMode="External"/><Relationship Id="rId32" Type="http://schemas.openxmlformats.org/officeDocument/2006/relationships/hyperlink" Target="http://www.biodiversityireland.ie/projects/invasive-species/" TargetMode="External"/><Relationship Id="rId37" Type="http://schemas.openxmlformats.org/officeDocument/2006/relationships/hyperlink" Target="https://www.teva.org.il/polshim" TargetMode="External"/><Relationship Id="rId53" Type="http://schemas.openxmlformats.org/officeDocument/2006/relationships/hyperlink" Target="https://www.tujerodne-vrste.info/" TargetMode="External"/><Relationship Id="rId58" Type="http://schemas.openxmlformats.org/officeDocument/2006/relationships/hyperlink" Target="https://martinoulab.weebly.com/bug-alert-cyprus.html" TargetMode="External"/><Relationship Id="rId74" Type="http://schemas.openxmlformats.org/officeDocument/2006/relationships/hyperlink" Target="http://hlasyjelenu.cz/" TargetMode="External"/><Relationship Id="rId79" Type="http://schemas.openxmlformats.org/officeDocument/2006/relationships/hyperlink" Target="http://invasoras.pt/desafios-invasoras-pt-2020/" TargetMode="External"/><Relationship Id="rId102" Type="http://schemas.openxmlformats.org/officeDocument/2006/relationships/hyperlink" Target="https://www.infoflora.ch/invasivapp" TargetMode="External"/><Relationship Id="rId123" Type="http://schemas.openxmlformats.org/officeDocument/2006/relationships/hyperlink" Target="https://laji.fi/en/about/848" TargetMode="External"/><Relationship Id="rId5" Type="http://schemas.openxmlformats.org/officeDocument/2006/relationships/hyperlink" Target="http://invasoras.pt/" TargetMode="External"/><Relationship Id="rId90" Type="http://schemas.openxmlformats.org/officeDocument/2006/relationships/hyperlink" Target="https://signalement-moustique.anses.fr/" TargetMode="External"/><Relationship Id="rId95" Type="http://schemas.openxmlformats.org/officeDocument/2006/relationships/hyperlink" Target="https://drive.google.com/open?id=1vfMAcCVyPXx0TTp-urztLUHkzgrhbuAm" TargetMode="External"/><Relationship Id="rId19" Type="http://schemas.openxmlformats.org/officeDocument/2006/relationships/hyperlink" Target="http://inaturalist.org/" TargetMode="External"/><Relationship Id="rId14" Type="http://schemas.openxmlformats.org/officeDocument/2006/relationships/hyperlink" Target="https://www.kareliacbc.fi/en/projects/collaborative-data-and-information-exchange-network-managing-invasive-alien-species-dias" TargetMode="External"/><Relationship Id="rId22" Type="http://schemas.openxmlformats.org/officeDocument/2006/relationships/hyperlink" Target="http://relionmed.eu/" TargetMode="External"/><Relationship Id="rId27" Type="http://schemas.openxmlformats.org/officeDocument/2006/relationships/hyperlink" Target="https://zaborskipark.pl/aktualnosci-10/obce-gatunki-inwazyjne-nie-dziekuje-akcja-edukacyjna-w-szkolach/" TargetMode="External"/><Relationship Id="rId30" Type="http://schemas.openxmlformats.org/officeDocument/2006/relationships/hyperlink" Target="https://artfakta.se/rapportera/invasiva-arter" TargetMode="External"/><Relationship Id="rId35" Type="http://schemas.openxmlformats.org/officeDocument/2006/relationships/hyperlink" Target="http://www.coleoptera.hu/harlekin" TargetMode="External"/><Relationship Id="rId43" Type="http://schemas.openxmlformats.org/officeDocument/2006/relationships/hyperlink" Target="https://nina.no/Aktuelt/Nyhetsartikkel/ArticleId/4808/Er-det-pukkellaks-i-DIN-elv?fbclid=IwAR3aFTX1PDZkldIErwTCsgOlbC-2Gjj8_EvAKblNHJqmDbgjoDJNPPcs96g" TargetMode="External"/><Relationship Id="rId48" Type="http://schemas.openxmlformats.org/officeDocument/2006/relationships/hyperlink" Target="https://vespawatch.be/" TargetMode="External"/><Relationship Id="rId56" Type="http://schemas.openxmlformats.org/officeDocument/2006/relationships/hyperlink" Target="https://www.inaturalist.org/projects/invasive-alien-species-of-union-concern" TargetMode="External"/><Relationship Id="rId64" Type="http://schemas.openxmlformats.org/officeDocument/2006/relationships/hyperlink" Target="http://phytophthora.se/" TargetMode="External"/><Relationship Id="rId69" Type="http://schemas.openxmlformats.org/officeDocument/2006/relationships/hyperlink" Target="https://www.iopan.pl/projects/Adamant/" TargetMode="External"/><Relationship Id="rId77" Type="http://schemas.openxmlformats.org/officeDocument/2006/relationships/hyperlink" Target="https://www.alpine-space.eu/projects/alptrees/en/home" TargetMode="External"/><Relationship Id="rId100" Type="http://schemas.openxmlformats.org/officeDocument/2006/relationships/hyperlink" Target="http://www.alienencounters.org.uk/" TargetMode="External"/><Relationship Id="rId105" Type="http://schemas.openxmlformats.org/officeDocument/2006/relationships/hyperlink" Target="https://pure.ilvo.be/portal/en/persons/jochem-bonte(a705e524-91d1-4e3d-a353-62657d107006).html" TargetMode="External"/><Relationship Id="rId113" Type="http://schemas.openxmlformats.org/officeDocument/2006/relationships/hyperlink" Target="https://www.invasivespecies.scot/report-sighting" TargetMode="External"/><Relationship Id="rId118" Type="http://schemas.openxmlformats.org/officeDocument/2006/relationships/hyperlink" Target="https://www.stopvelutina.it/" TargetMode="External"/><Relationship Id="rId126" Type="http://schemas.openxmlformats.org/officeDocument/2006/relationships/vmlDrawing" Target="../drawings/vmlDrawing1.vml"/><Relationship Id="rId8" Type="http://schemas.openxmlformats.org/officeDocument/2006/relationships/hyperlink" Target="https://www.facebook.com/Progetto-Aliens-in-the-sea-699458823457040/?ref=bookmarks" TargetMode="External"/><Relationship Id="rId51" Type="http://schemas.openxmlformats.org/officeDocument/2006/relationships/hyperlink" Target="http://www.waarnemingen.be/exoten" TargetMode="External"/><Relationship Id="rId72" Type="http://schemas.openxmlformats.org/officeDocument/2006/relationships/hyperlink" Target="https://www.facebook.com/groups/FishInvasion/?ref=bookmarks" TargetMode="External"/><Relationship Id="rId80" Type="http://schemas.openxmlformats.org/officeDocument/2006/relationships/hyperlink" Target="http://www.kumakshrimp.pl/" TargetMode="External"/><Relationship Id="rId85" Type="http://schemas.openxmlformats.org/officeDocument/2006/relationships/hyperlink" Target="http://www.nonnativespecies.org/index.cfm?pageid=234" TargetMode="External"/><Relationship Id="rId93" Type="http://schemas.openxmlformats.org/officeDocument/2006/relationships/hyperlink" Target="http://frelonasiatique.mnhn.fr/" TargetMode="External"/><Relationship Id="rId98" Type="http://schemas.openxmlformats.org/officeDocument/2006/relationships/hyperlink" Target="http://www.ekourbapv.vojvodina.gov.rs/rs/%D1%81%D0%B0%D0%BE%D0%BF%D1%88%D1%82%D0%B5%D1%9A%D0%B5-%D0%B7%D0%B0-%D0%BC%D0%B5%D0%B4%D0%B8%D1%98%D0%B5-%D1%81%D0%B5%D0%BC%D0%B8%D0%BD%D0%B0%D1%80-%D0%B7%D0%B0-%D1%83%D0%BF%D1%80%D0%B0%D0%B2%D1%99/" TargetMode="External"/><Relationship Id="rId121" Type="http://schemas.openxmlformats.org/officeDocument/2006/relationships/hyperlink" Target="mailto:giorgio_bonalume@regione.lombardia.it" TargetMode="External"/><Relationship Id="rId3" Type="http://schemas.openxmlformats.org/officeDocument/2006/relationships/hyperlink" Target="https://www.facebook.com/acepsd2017/" TargetMode="External"/><Relationship Id="rId12" Type="http://schemas.openxmlformats.org/officeDocument/2006/relationships/hyperlink" Target="http://trpapagansayimlari.blogspot.com/" TargetMode="External"/><Relationship Id="rId17" Type="http://schemas.openxmlformats.org/officeDocument/2006/relationships/hyperlink" Target="https://www.inaturalist.org/projects/lietuvos-invaziniai-augalai" TargetMode="External"/><Relationship Id="rId25" Type="http://schemas.openxmlformats.org/officeDocument/2006/relationships/hyperlink" Target="http://www.salamandra.org.pl/obcekampania.html" TargetMode="External"/><Relationship Id="rId33" Type="http://schemas.openxmlformats.org/officeDocument/2006/relationships/hyperlink" Target="https://www.muse.it/it/La-Ricerca/Zoologia-invertebrati-idrobiologia/Azioni-sul-territorio/Pagine/ghost_monitoraggio_zanzara_tigre_a_trento.aspx" TargetMode="External"/><Relationship Id="rId38" Type="http://schemas.openxmlformats.org/officeDocument/2006/relationships/hyperlink" Target="https://www.facebook.com/groups/buxus1/" TargetMode="External"/><Relationship Id="rId46" Type="http://schemas.openxmlformats.org/officeDocument/2006/relationships/hyperlink" Target="https://laji.fi/en/about/848" TargetMode="External"/><Relationship Id="rId59" Type="http://schemas.openxmlformats.org/officeDocument/2006/relationships/hyperlink" Target="https://ecureuils.mnhn.fr/" TargetMode="External"/><Relationship Id="rId67" Type="http://schemas.openxmlformats.org/officeDocument/2006/relationships/hyperlink" Target="https://hartaambroziei.ro/" TargetMode="External"/><Relationship Id="rId103" Type="http://schemas.openxmlformats.org/officeDocument/2006/relationships/hyperlink" Target="https://drive.google.com/open?id=12FLvGXeN0EutY4nG9Rh4Cejh8Hg-yw2K" TargetMode="External"/><Relationship Id="rId108" Type="http://schemas.openxmlformats.org/officeDocument/2006/relationships/hyperlink" Target="https://www.opalexplorenature.org/nzflatworm" TargetMode="External"/><Relationship Id="rId116" Type="http://schemas.openxmlformats.org/officeDocument/2006/relationships/hyperlink" Target="https://www.lifeasap.eu/index.php/en/" TargetMode="External"/><Relationship Id="rId124" Type="http://schemas.openxmlformats.org/officeDocument/2006/relationships/hyperlink" Target="https://inpn.mnhn.fr/telechargement/standard-occurrence-taxon" TargetMode="External"/><Relationship Id="rId20" Type="http://schemas.openxmlformats.org/officeDocument/2006/relationships/hyperlink" Target="https://internt.slu.se/nyheter-originalen/2019/5/hjalp-till-att-radda-asken/?utm_campaign=unspecified&amp;fbclid=IwAR3guwmDXIulzxTuU5kvOSX_Y1BWk78dYdFVJobd0r_Lmeb4usZ1lhm8dy8" TargetMode="External"/><Relationship Id="rId41" Type="http://schemas.openxmlformats.org/officeDocument/2006/relationships/hyperlink" Target="http://www.mardhund.se/" TargetMode="External"/><Relationship Id="rId54" Type="http://schemas.openxmlformats.org/officeDocument/2006/relationships/hyperlink" Target="http://www.rinse-europe.eu/" TargetMode="External"/><Relationship Id="rId62" Type="http://schemas.openxmlformats.org/officeDocument/2006/relationships/hyperlink" Target="https://mosquitoes.lu/citizen-science/" TargetMode="External"/><Relationship Id="rId70" Type="http://schemas.openxmlformats.org/officeDocument/2006/relationships/hyperlink" Target="http://www.lifeinvasaqua.com/" TargetMode="External"/><Relationship Id="rId75" Type="http://schemas.openxmlformats.org/officeDocument/2006/relationships/hyperlink" Target="https://www.ekomalasirena.org/pajasen" TargetMode="External"/><Relationship Id="rId83" Type="http://schemas.openxmlformats.org/officeDocument/2006/relationships/hyperlink" Target="https://www.coleoptera.org.uk/coccinellidae/harlequin-ladybird-has-landed" TargetMode="External"/><Relationship Id="rId88" Type="http://schemas.openxmlformats.org/officeDocument/2006/relationships/hyperlink" Target="https://www.ceh.ac.uk/news-and-media/news/asian-hornet-monitoring-takes-flight-new-app-developed-ceh-scientists" TargetMode="External"/><Relationship Id="rId91" Type="http://schemas.openxmlformats.org/officeDocument/2006/relationships/hyperlink" Target="http://perruche-a-collier.fr/" TargetMode="External"/><Relationship Id="rId96" Type="http://schemas.openxmlformats.org/officeDocument/2006/relationships/hyperlink" Target="http://dinaricarcparks.blogspot.com/2019/03/ujedinjeni-u-borbi-protiv-invazivnih.html" TargetMode="External"/><Relationship Id="rId111" Type="http://schemas.openxmlformats.org/officeDocument/2006/relationships/hyperlink" Target="https://www.nature.scot/professional-advice/safeguarding-protected-areas-and-species/protected-species/invasive-non-native-species/identify-and-report-invasive-non-native" TargetMode="External"/><Relationship Id="rId1" Type="http://schemas.openxmlformats.org/officeDocument/2006/relationships/hyperlink" Target="http://www.korina.info/" TargetMode="External"/><Relationship Id="rId6" Type="http://schemas.openxmlformats.org/officeDocument/2006/relationships/hyperlink" Target="https://drive.google.com/open?id=1gA1dclIJHPwoPCObiC8ksh9JMYOabPR_" TargetMode="External"/><Relationship Id="rId15" Type="http://schemas.openxmlformats.org/officeDocument/2006/relationships/hyperlink" Target="https://forschung.boku.ac.at/fis/suchen.projekt_uebersicht?sprache_in=en&amp;ansicht_in=&amp;menue_id_in=300&amp;id_in=10437" TargetMode="External"/><Relationship Id="rId23" Type="http://schemas.openxmlformats.org/officeDocument/2006/relationships/hyperlink" Target="https://isea.com.gr/activities/programs/alien-species/is-it-alien-to-you-share-it/?lang=en" TargetMode="External"/><Relationship Id="rId28" Type="http://schemas.openxmlformats.org/officeDocument/2006/relationships/hyperlink" Target="https://heis.vuv.cz/projekty/raci2017" TargetMode="External"/><Relationship Id="rId36" Type="http://schemas.openxmlformats.org/officeDocument/2006/relationships/hyperlink" Target="https://drive.google.com/open?id=1t0BDwiUIO2JwM-Y6p5QYpevhztZ2qBRN" TargetMode="External"/><Relationship Id="rId49" Type="http://schemas.openxmlformats.org/officeDocument/2006/relationships/hyperlink" Target="http://www.plantalert.org/" TargetMode="External"/><Relationship Id="rId57" Type="http://schemas.openxmlformats.org/officeDocument/2006/relationships/hyperlink" Target="https://www.ris-ky.eu/poms-ky" TargetMode="External"/><Relationship Id="rId106" Type="http://schemas.openxmlformats.org/officeDocument/2006/relationships/hyperlink" Target="https://www.natural-apptitude.co.uk/project/aquainvaders/" TargetMode="External"/><Relationship Id="rId114" Type="http://schemas.openxmlformats.org/officeDocument/2006/relationships/hyperlink" Target="http://www.bundforschtinbonn.de/" TargetMode="External"/><Relationship Id="rId119" Type="http://schemas.openxmlformats.org/officeDocument/2006/relationships/hyperlink" Target="http://usavereds.eu/en_GB/" TargetMode="External"/><Relationship Id="rId127" Type="http://schemas.openxmlformats.org/officeDocument/2006/relationships/comments" Target="../comments1.xml"/><Relationship Id="rId10" Type="http://schemas.openxmlformats.org/officeDocument/2006/relationships/hyperlink" Target="http://iastracker.ic5team.org/" TargetMode="External"/><Relationship Id="rId31" Type="http://schemas.openxmlformats.org/officeDocument/2006/relationships/hyperlink" Target="http://www.najdije.cz/" TargetMode="External"/><Relationship Id="rId44" Type="http://schemas.openxmlformats.org/officeDocument/2006/relationships/hyperlink" Target="https://drive.google.com/open?id=1wDnv4Cx96qtGhTAq4_1KPdl7pENwgj2C" TargetMode="External"/><Relationship Id="rId52" Type="http://schemas.openxmlformats.org/officeDocument/2006/relationships/hyperlink" Target="https://drive.google.com/open?id=11K4AqBFn_fPh3c6a0lComMmTPNFrFi7d" TargetMode="External"/><Relationship Id="rId60" Type="http://schemas.openxmlformats.org/officeDocument/2006/relationships/hyperlink" Target="http://mosquitoeswithoutborders.com/" TargetMode="External"/><Relationship Id="rId65" Type="http://schemas.openxmlformats.org/officeDocument/2006/relationships/hyperlink" Target="http://www.floron.nl/meedoen/exoten-melden" TargetMode="External"/><Relationship Id="rId73" Type="http://schemas.openxmlformats.org/officeDocument/2006/relationships/hyperlink" Target="http://www.conkertreescience.org.uk/" TargetMode="External"/><Relationship Id="rId78" Type="http://schemas.openxmlformats.org/officeDocument/2006/relationships/hyperlink" Target="https://www.entefaunamarinamediterranea.it/alienfish-project/" TargetMode="External"/><Relationship Id="rId81" Type="http://schemas.openxmlformats.org/officeDocument/2006/relationships/hyperlink" Target="http://percnon.weebly.com/" TargetMode="External"/><Relationship Id="rId86" Type="http://schemas.openxmlformats.org/officeDocument/2006/relationships/hyperlink" Target="https://www.rhs.org.uk/science/plant-health-in-gardens/entomology/rhs-projects-on-plant-pests/the-spread-of-non-native-garden-pests" TargetMode="External"/><Relationship Id="rId94" Type="http://schemas.openxmlformats.org/officeDocument/2006/relationships/hyperlink" Target="https://inpn.mnhn.fr/telechargement/standard-occurrence-taxon" TargetMode="External"/><Relationship Id="rId99" Type="http://schemas.openxmlformats.org/officeDocument/2006/relationships/hyperlink" Target="https://www.rufford.org/projects/milica_ja%C4%87imovi%C4%87" TargetMode="External"/><Relationship Id="rId101" Type="http://schemas.openxmlformats.org/officeDocument/2006/relationships/hyperlink" Target="http://www.northernredsquirrels.org.uk/" TargetMode="External"/><Relationship Id="rId122" Type="http://schemas.openxmlformats.org/officeDocument/2006/relationships/hyperlink" Target="https://www.vespavelutina.eu/en-us/" TargetMode="External"/><Relationship Id="rId4" Type="http://schemas.openxmlformats.org/officeDocument/2006/relationships/hyperlink" Target="https://restaura2020.wixsite.com/homepage" TargetMode="External"/><Relationship Id="rId9" Type="http://schemas.openxmlformats.org/officeDocument/2006/relationships/hyperlink" Target="http://www.mosquitoalert.com/en/" TargetMode="External"/><Relationship Id="rId13" Type="http://schemas.openxmlformats.org/officeDocument/2006/relationships/hyperlink" Target="https://drive.google.com/open?id=1pX4h8kQcjj6ld9ry1fOR-DL3Lfc6ZVpQ" TargetMode="External"/><Relationship Id="rId18" Type="http://schemas.openxmlformats.org/officeDocument/2006/relationships/hyperlink" Target="https://www.inaturalist.org/people/tomasp" TargetMode="External"/><Relationship Id="rId39" Type="http://schemas.openxmlformats.org/officeDocument/2006/relationships/hyperlink" Target="http://www.invazivnevrste.hr/?page_id=56" TargetMode="External"/><Relationship Id="rId109" Type="http://schemas.openxmlformats.org/officeDocument/2006/relationships/hyperlink" Target="https://mittencrabs.org.uk/" TargetMode="External"/><Relationship Id="rId34" Type="http://schemas.openxmlformats.org/officeDocument/2006/relationships/hyperlink" Target="https://drive.google.com/open?id=15mnj8OsIYp4h2QW-QM4SVR1ZZTPYp9HP" TargetMode="External"/><Relationship Id="rId50" Type="http://schemas.openxmlformats.org/officeDocument/2006/relationships/hyperlink" Target="https://drive.google.com/open?id=17UbZDhmo58u2E_VyjQDQow37fvTq_ejO" TargetMode="External"/><Relationship Id="rId55" Type="http://schemas.openxmlformats.org/officeDocument/2006/relationships/hyperlink" Target="https://drive.google.com/open?id=14hWuqAIBchadKcASQr0Ha-bNq6yETw9w" TargetMode="External"/><Relationship Id="rId76" Type="http://schemas.openxmlformats.org/officeDocument/2006/relationships/hyperlink" Target="https://www.ekomalasirena.org/pajasen" TargetMode="External"/><Relationship Id="rId97" Type="http://schemas.openxmlformats.org/officeDocument/2006/relationships/hyperlink" Target="http://nationalpark-una.ba/bs/podkategorija.php?id=51" TargetMode="External"/><Relationship Id="rId104" Type="http://schemas.openxmlformats.org/officeDocument/2006/relationships/hyperlink" Target="https://www.planttracker.org.uk/" TargetMode="External"/><Relationship Id="rId120" Type="http://schemas.openxmlformats.org/officeDocument/2006/relationships/hyperlink" Target="http://www.rossoscoiattolo.eu/en/what-can-i-do-project" TargetMode="External"/><Relationship Id="rId125" Type="http://schemas.openxmlformats.org/officeDocument/2006/relationships/printerSettings" Target="../printerSettings/printerSettings1.bin"/><Relationship Id="rId7" Type="http://schemas.openxmlformats.org/officeDocument/2006/relationships/hyperlink" Target="https://i9kiwi.pt/" TargetMode="External"/><Relationship Id="rId71" Type="http://schemas.openxmlformats.org/officeDocument/2006/relationships/hyperlink" Target="https://www.researchgate.net/project/TEKMAN-Towards-the-empowerment-of-artisanal-fishers-in-invasive-alien-species-management" TargetMode="External"/><Relationship Id="rId92" Type="http://schemas.openxmlformats.org/officeDocument/2006/relationships/hyperlink" Target="http://perruche-a-collier.fr/" TargetMode="External"/><Relationship Id="rId2" Type="http://schemas.openxmlformats.org/officeDocument/2006/relationships/hyperlink" Target="https://drive.google.com/open?id=1SP4_uzLqXvuqU3rjEo6KX0ReK0iHCurx" TargetMode="External"/><Relationship Id="rId29" Type="http://schemas.openxmlformats.org/officeDocument/2006/relationships/hyperlink" Target="http://invasivaarter.nu/" TargetMode="External"/><Relationship Id="rId24" Type="http://schemas.openxmlformats.org/officeDocument/2006/relationships/hyperlink" Target="https://drive.google.com/open?id=165mshX8rka2PvMU1AdF0vWFzL6ZT0TmE" TargetMode="External"/><Relationship Id="rId40" Type="http://schemas.openxmlformats.org/officeDocument/2006/relationships/hyperlink" Target="http://civ.iptpo.hr/" TargetMode="External"/><Relationship Id="rId45" Type="http://schemas.openxmlformats.org/officeDocument/2006/relationships/hyperlink" Target="http://www.sll.fi/viekas-life" TargetMode="External"/><Relationship Id="rId66" Type="http://schemas.openxmlformats.org/officeDocument/2006/relationships/hyperlink" Target="https://neobiota.lu/prunus-laurocerasus/" TargetMode="External"/><Relationship Id="rId87" Type="http://schemas.openxmlformats.org/officeDocument/2006/relationships/hyperlink" Target="https://drive.google.com/open?id=1EFJOXm9_bTCIS33A31ZNMgiuG2dgxrhN" TargetMode="External"/><Relationship Id="rId110" Type="http://schemas.openxmlformats.org/officeDocument/2006/relationships/hyperlink" Target="https://drive.google.com/open?id=1WP2B_0nN7qtpBvYTgBONlZ2gdq6V79c0" TargetMode="External"/><Relationship Id="rId115" Type="http://schemas.openxmlformats.org/officeDocument/2006/relationships/hyperlink" Target="http://www.csmon-life.eu/pagina/segnala/all" TargetMode="External"/><Relationship Id="rId61" Type="http://schemas.openxmlformats.org/officeDocument/2006/relationships/hyperlink" Target="http://mosquitoeswithoutborders.com/" TargetMode="External"/><Relationship Id="rId82" Type="http://schemas.openxmlformats.org/officeDocument/2006/relationships/hyperlink" Target="http://eee.mnhn.fr/"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8" Type="http://schemas.openxmlformats.org/officeDocument/2006/relationships/hyperlink" Target="http://invasoras.pt/" TargetMode="External"/><Relationship Id="rId13" Type="http://schemas.openxmlformats.org/officeDocument/2006/relationships/hyperlink" Target="http://m.me/th.natrix" TargetMode="External"/><Relationship Id="rId18" Type="http://schemas.openxmlformats.org/officeDocument/2006/relationships/hyperlink" Target="https://wli.wwt.org.uk/regions/europe/europe-regional-initiatives/biowet-erasmus-project-2018-21/" TargetMode="External"/><Relationship Id="rId26" Type="http://schemas.openxmlformats.org/officeDocument/2006/relationships/hyperlink" Target="http://relionmed.eu/" TargetMode="External"/><Relationship Id="rId3" Type="http://schemas.openxmlformats.org/officeDocument/2006/relationships/hyperlink" Target="https://waarneming.nl/" TargetMode="External"/><Relationship Id="rId21" Type="http://schemas.openxmlformats.org/officeDocument/2006/relationships/hyperlink" Target="https://www.izeltlabuak.hu/adatvedelem" TargetMode="External"/><Relationship Id="rId34" Type="http://schemas.openxmlformats.org/officeDocument/2006/relationships/hyperlink" Target="https://www.faune-france.org/" TargetMode="External"/><Relationship Id="rId7" Type="http://schemas.openxmlformats.org/officeDocument/2006/relationships/hyperlink" Target="http://eazflora.org/" TargetMode="External"/><Relationship Id="rId12" Type="http://schemas.openxmlformats.org/officeDocument/2006/relationships/hyperlink" Target="https://www.facebook.com/groups/przyrodnicy/permalink/1834305416599287/" TargetMode="External"/><Relationship Id="rId17" Type="http://schemas.openxmlformats.org/officeDocument/2006/relationships/hyperlink" Target="https://www.artsobservasjoner.no/" TargetMode="External"/><Relationship Id="rId25" Type="http://schemas.openxmlformats.org/officeDocument/2006/relationships/hyperlink" Target="https://www.biolib.cz/" TargetMode="External"/><Relationship Id="rId33" Type="http://schemas.openxmlformats.org/officeDocument/2006/relationships/hyperlink" Target="https://www.ornitho.it/" TargetMode="External"/><Relationship Id="rId38" Type="http://schemas.openxmlformats.org/officeDocument/2006/relationships/comments" Target="../comments2.xml"/><Relationship Id="rId2" Type="http://schemas.openxmlformats.org/officeDocument/2006/relationships/hyperlink" Target="http://www.waarneming.nl/" TargetMode="External"/><Relationship Id="rId16" Type="http://schemas.openxmlformats.org/officeDocument/2006/relationships/hyperlink" Target="https://drive.google.com/open?id=1QOM5gMhgZvDAJYuItgKw97Lcj7fLE_C4" TargetMode="External"/><Relationship Id="rId20" Type="http://schemas.openxmlformats.org/officeDocument/2006/relationships/hyperlink" Target="https://www.izeltlabuak.hu/" TargetMode="External"/><Relationship Id="rId29" Type="http://schemas.openxmlformats.org/officeDocument/2006/relationships/hyperlink" Target="https://floraatlasz.uni-sopron.hu/index.php?database" TargetMode="External"/><Relationship Id="rId1" Type="http://schemas.openxmlformats.org/officeDocument/2006/relationships/hyperlink" Target="http://www.netwerkecologischemonitoring.nl/" TargetMode="External"/><Relationship Id="rId6" Type="http://schemas.openxmlformats.org/officeDocument/2006/relationships/hyperlink" Target="https://drive.google.com/open?id=1m4MhDFMvbHlkSxXq6q9s0pCwVkvQ3Aei" TargetMode="External"/><Relationship Id="rId11" Type="http://schemas.openxmlformats.org/officeDocument/2006/relationships/hyperlink" Target="http://biolog.nature.cz/" TargetMode="External"/><Relationship Id="rId24" Type="http://schemas.openxmlformats.org/officeDocument/2006/relationships/hyperlink" Target="http://biolib.cz/" TargetMode="External"/><Relationship Id="rId32" Type="http://schemas.openxmlformats.org/officeDocument/2006/relationships/hyperlink" Target="http://www.ornitho.it/" TargetMode="External"/><Relationship Id="rId37" Type="http://schemas.openxmlformats.org/officeDocument/2006/relationships/vmlDrawing" Target="../drawings/vmlDrawing2.vml"/><Relationship Id="rId5" Type="http://schemas.openxmlformats.org/officeDocument/2006/relationships/hyperlink" Target="https://joaninhasdosacores.wordpress.com/" TargetMode="External"/><Relationship Id="rId15" Type="http://schemas.openxmlformats.org/officeDocument/2006/relationships/hyperlink" Target="http://gelavista.ipma.pt/" TargetMode="External"/><Relationship Id="rId23" Type="http://schemas.openxmlformats.org/officeDocument/2006/relationships/hyperlink" Target="http://www.plavo.oko.hr/" TargetMode="External"/><Relationship Id="rId28" Type="http://schemas.openxmlformats.org/officeDocument/2006/relationships/hyperlink" Target="https://www.interregeurope.eu/invalis/" TargetMode="External"/><Relationship Id="rId36" Type="http://schemas.openxmlformats.org/officeDocument/2006/relationships/hyperlink" Target="https://european-mammals.brc.ac.uk/" TargetMode="External"/><Relationship Id="rId10" Type="http://schemas.openxmlformats.org/officeDocument/2006/relationships/hyperlink" Target="http://life-terrasdopriolo.spea.pt/pt/" TargetMode="External"/><Relationship Id="rId19" Type="http://schemas.openxmlformats.org/officeDocument/2006/relationships/hyperlink" Target="http://izeltlabuak.hu/" TargetMode="External"/><Relationship Id="rId31" Type="http://schemas.openxmlformats.org/officeDocument/2006/relationships/hyperlink" Target="http://ukrbin.com/" TargetMode="External"/><Relationship Id="rId4" Type="http://schemas.openxmlformats.org/officeDocument/2006/relationships/hyperlink" Target="https://waarneming.nl/" TargetMode="External"/><Relationship Id="rId9" Type="http://schemas.openxmlformats.org/officeDocument/2006/relationships/hyperlink" Target="http://invasoras.pt/" TargetMode="External"/><Relationship Id="rId14" Type="http://schemas.openxmlformats.org/officeDocument/2006/relationships/hyperlink" Target="http://timi.parks.org.il/" TargetMode="External"/><Relationship Id="rId22" Type="http://schemas.openxmlformats.org/officeDocument/2006/relationships/hyperlink" Target="https://drive.google.com/open?id=1Rco2URG0lY8wIercLhAoekcocW2BWOct" TargetMode="External"/><Relationship Id="rId27" Type="http://schemas.openxmlformats.org/officeDocument/2006/relationships/hyperlink" Target="https://drive.google.com/open?id=169h9izrKroZUS5dy0r9x7GcTHTT9sCqI" TargetMode="External"/><Relationship Id="rId30" Type="http://schemas.openxmlformats.org/officeDocument/2006/relationships/hyperlink" Target="https://drive.google.com/open?id=17ZPpjpDdauNVkRyy2MHBUMQVIaTytxTJ" TargetMode="External"/><Relationship Id="rId35" Type="http://schemas.openxmlformats.org/officeDocument/2006/relationships/hyperlink" Target="http://www.mba.ac.uk/recording"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zanzamapp.it/" TargetMode="External"/><Relationship Id="rId1" Type="http://schemas.openxmlformats.org/officeDocument/2006/relationships/hyperlink" Target="http://muggenradar.nl/"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life-terrasdopriolo.spea.pt/pt/" TargetMode="External"/><Relationship Id="rId117" Type="http://schemas.openxmlformats.org/officeDocument/2006/relationships/hyperlink" Target="https://www.coleoptera.org.uk/coccinellidae/harlequin-ladybird-has-landed" TargetMode="External"/><Relationship Id="rId21" Type="http://schemas.openxmlformats.org/officeDocument/2006/relationships/hyperlink" Target="https://forschung.boku.ac.at/fis/suchen.projekt_uebersicht?sprache_in=en&amp;ansicht_in=&amp;menue_id_in=300&amp;id_in=10437" TargetMode="External"/><Relationship Id="rId42" Type="http://schemas.openxmlformats.org/officeDocument/2006/relationships/hyperlink" Target="http://invasivaarter.nu/" TargetMode="External"/><Relationship Id="rId47" Type="http://schemas.openxmlformats.org/officeDocument/2006/relationships/hyperlink" Target="https://drive.google.com/open?id=15mnj8OsIYp4h2QW-QM4SVR1ZZTPYp9HP" TargetMode="External"/><Relationship Id="rId63" Type="http://schemas.openxmlformats.org/officeDocument/2006/relationships/hyperlink" Target="http://www.sll.fi/viekas-life" TargetMode="External"/><Relationship Id="rId68" Type="http://schemas.openxmlformats.org/officeDocument/2006/relationships/hyperlink" Target="https://drive.google.com/open?id=1Rco2URG0lY8wIercLhAoekcocW2BWOct" TargetMode="External"/><Relationship Id="rId84" Type="http://schemas.openxmlformats.org/officeDocument/2006/relationships/hyperlink" Target="http://mosquitoeswithoutborders.com/" TargetMode="External"/><Relationship Id="rId89" Type="http://schemas.openxmlformats.org/officeDocument/2006/relationships/hyperlink" Target="http://biolib.cz/" TargetMode="External"/><Relationship Id="rId112" Type="http://schemas.openxmlformats.org/officeDocument/2006/relationships/hyperlink" Target="http://percnon.weebly.com/" TargetMode="External"/><Relationship Id="rId133" Type="http://schemas.openxmlformats.org/officeDocument/2006/relationships/hyperlink" Target="https://www.rufford.org/projects/milica_ja%C4%87imovi%C4%87" TargetMode="External"/><Relationship Id="rId138" Type="http://schemas.openxmlformats.org/officeDocument/2006/relationships/hyperlink" Target="https://pure.ilvo.be/portal/en/persons/jochem-bonte(a705e524-91d1-4e3d-a353-62657d107006).html" TargetMode="External"/><Relationship Id="rId154" Type="http://schemas.openxmlformats.org/officeDocument/2006/relationships/hyperlink" Target="http://www.rossoscoiattolo.eu/en/what-can-i-do-project" TargetMode="External"/><Relationship Id="rId16" Type="http://schemas.openxmlformats.org/officeDocument/2006/relationships/hyperlink" Target="http://trpapagansayimlari.blogspot.com/" TargetMode="External"/><Relationship Id="rId107" Type="http://schemas.openxmlformats.org/officeDocument/2006/relationships/hyperlink" Target="https://floraatlasz.uni-sopron.hu/index.php?database" TargetMode="External"/><Relationship Id="rId11" Type="http://schemas.openxmlformats.org/officeDocument/2006/relationships/hyperlink" Target="http://www.netwerkecologischemonitoring.nl/" TargetMode="External"/><Relationship Id="rId32" Type="http://schemas.openxmlformats.org/officeDocument/2006/relationships/hyperlink" Target="http://relionmed.eu/" TargetMode="External"/><Relationship Id="rId37" Type="http://schemas.openxmlformats.org/officeDocument/2006/relationships/hyperlink" Target="https://www.facebook.com/groups/przyrodnicy/permalink/1834305416599287/" TargetMode="External"/><Relationship Id="rId53" Type="http://schemas.openxmlformats.org/officeDocument/2006/relationships/hyperlink" Target="http://gelavista.ipma.pt/" TargetMode="External"/><Relationship Id="rId58" Type="http://schemas.openxmlformats.org/officeDocument/2006/relationships/hyperlink" Target="https://drive.google.com/open?id=1-lLhFV4zJc3Fc4qpIriHXNg2MBwGF489" TargetMode="External"/><Relationship Id="rId74" Type="http://schemas.openxmlformats.org/officeDocument/2006/relationships/hyperlink" Target="http://www.waarnemingen.be/exoten" TargetMode="External"/><Relationship Id="rId79" Type="http://schemas.openxmlformats.org/officeDocument/2006/relationships/hyperlink" Target="https://www.inaturalist.org/projects/invasive-alien-species-of-union-concern" TargetMode="External"/><Relationship Id="rId102" Type="http://schemas.openxmlformats.org/officeDocument/2006/relationships/hyperlink" Target="https://www.ekomalasirena.org/pajasen" TargetMode="External"/><Relationship Id="rId123" Type="http://schemas.openxmlformats.org/officeDocument/2006/relationships/hyperlink" Target="https://www.bds.org.uk/index.php/research/deer-distribution-survey" TargetMode="External"/><Relationship Id="rId128" Type="http://schemas.openxmlformats.org/officeDocument/2006/relationships/hyperlink" Target="https://inpn.mnhn.fr/telechargement/standard-occurrence-taxon" TargetMode="External"/><Relationship Id="rId144" Type="http://schemas.openxmlformats.org/officeDocument/2006/relationships/hyperlink" Target="https://drive.google.com/open?id=1WP2B_0nN7qtpBvYTgBONlZ2gdq6V79c0" TargetMode="External"/><Relationship Id="rId149" Type="http://schemas.openxmlformats.org/officeDocument/2006/relationships/hyperlink" Target="http://www.csmon-life.eu/pagina/segnala/all" TargetMode="External"/><Relationship Id="rId5" Type="http://schemas.openxmlformats.org/officeDocument/2006/relationships/hyperlink" Target="http://invasoras.pt/" TargetMode="External"/><Relationship Id="rId90" Type="http://schemas.openxmlformats.org/officeDocument/2006/relationships/hyperlink" Target="https://www.biolib.cz/" TargetMode="External"/><Relationship Id="rId95" Type="http://schemas.openxmlformats.org/officeDocument/2006/relationships/hyperlink" Target="http://www.lifeinvasaqua.com/" TargetMode="External"/><Relationship Id="rId22" Type="http://schemas.openxmlformats.org/officeDocument/2006/relationships/hyperlink" Target="https://drive.google.com/open?id=1YqZVwQcqn3fu4gCbWYjJ38uR_zNb3d6t" TargetMode="External"/><Relationship Id="rId27" Type="http://schemas.openxmlformats.org/officeDocument/2006/relationships/hyperlink" Target="https://www.inaturalist.org/projects/lietuvos-invaziniai-augalai" TargetMode="External"/><Relationship Id="rId43" Type="http://schemas.openxmlformats.org/officeDocument/2006/relationships/hyperlink" Target="https://artfakta.se/rapportera/invasiva-arter" TargetMode="External"/><Relationship Id="rId48" Type="http://schemas.openxmlformats.org/officeDocument/2006/relationships/hyperlink" Target="http://www.coleoptera.hu/harlekin" TargetMode="External"/><Relationship Id="rId64" Type="http://schemas.openxmlformats.org/officeDocument/2006/relationships/hyperlink" Target="https://laji.fi/en/about/848" TargetMode="External"/><Relationship Id="rId69" Type="http://schemas.openxmlformats.org/officeDocument/2006/relationships/hyperlink" Target="http://emevi.emk.nyme.hu/index.php/22542/?&amp;L=1" TargetMode="External"/><Relationship Id="rId113" Type="http://schemas.openxmlformats.org/officeDocument/2006/relationships/hyperlink" Target="http://www.ornitho.it/" TargetMode="External"/><Relationship Id="rId118" Type="http://schemas.openxmlformats.org/officeDocument/2006/relationships/hyperlink" Target="https://drive.google.com/open?id=1CYobY9HkU5dLQN11m5q6itZH93kBX2ST" TargetMode="External"/><Relationship Id="rId134" Type="http://schemas.openxmlformats.org/officeDocument/2006/relationships/hyperlink" Target="http://www.northernredsquirrels.org.uk/" TargetMode="External"/><Relationship Id="rId139" Type="http://schemas.openxmlformats.org/officeDocument/2006/relationships/hyperlink" Target="http://www.mba.ac.uk/recording" TargetMode="External"/><Relationship Id="rId80" Type="http://schemas.openxmlformats.org/officeDocument/2006/relationships/hyperlink" Target="https://www.ris-ky.eu/poms-ky" TargetMode="External"/><Relationship Id="rId85" Type="http://schemas.openxmlformats.org/officeDocument/2006/relationships/hyperlink" Target="https://mosquitoes.lu/citizen-science/" TargetMode="External"/><Relationship Id="rId150" Type="http://schemas.openxmlformats.org/officeDocument/2006/relationships/hyperlink" Target="https://www.lifeasap.eu/index.php/en/" TargetMode="External"/><Relationship Id="rId155" Type="http://schemas.openxmlformats.org/officeDocument/2006/relationships/hyperlink" Target="mailto:giorgio_bonalume@regione.lombardia.it" TargetMode="External"/><Relationship Id="rId12" Type="http://schemas.openxmlformats.org/officeDocument/2006/relationships/hyperlink" Target="http://www.waarneming.nl/" TargetMode="External"/><Relationship Id="rId17" Type="http://schemas.openxmlformats.org/officeDocument/2006/relationships/hyperlink" Target="https://drive.google.com/open?id=1pX4h8kQcjj6ld9ry1fOR-DL3Lfc6ZVpQ" TargetMode="External"/><Relationship Id="rId33" Type="http://schemas.openxmlformats.org/officeDocument/2006/relationships/hyperlink" Target="https://isea.com.gr/activities/programs/alien-species/is-it-alien-to-you-share-it/?lang=en" TargetMode="External"/><Relationship Id="rId38" Type="http://schemas.openxmlformats.org/officeDocument/2006/relationships/hyperlink" Target="http://m.me/th.natrix" TargetMode="External"/><Relationship Id="rId59" Type="http://schemas.openxmlformats.org/officeDocument/2006/relationships/hyperlink" Target="https://www.artsobservasjoner.no/" TargetMode="External"/><Relationship Id="rId103" Type="http://schemas.openxmlformats.org/officeDocument/2006/relationships/hyperlink" Target="https://www.ekomalasirena.org/pajasen" TargetMode="External"/><Relationship Id="rId108" Type="http://schemas.openxmlformats.org/officeDocument/2006/relationships/hyperlink" Target="https://drive.google.com/open?id=17ZPpjpDdauNVkRyy2MHBUMQVIaTytxTJ" TargetMode="External"/><Relationship Id="rId124" Type="http://schemas.openxmlformats.org/officeDocument/2006/relationships/hyperlink" Target="https://signalement-moustique.anses.fr/" TargetMode="External"/><Relationship Id="rId129" Type="http://schemas.openxmlformats.org/officeDocument/2006/relationships/hyperlink" Target="https://drive.google.com/open?id=1vfMAcCVyPXx0TTp-urztLUHkzgrhbuAm" TargetMode="External"/><Relationship Id="rId20" Type="http://schemas.openxmlformats.org/officeDocument/2006/relationships/hyperlink" Target="https://www.kareliacbc.fi/en/projects/collaborative-data-and-information-exchange-network-managing-invasive-alien-species-dias" TargetMode="External"/><Relationship Id="rId41" Type="http://schemas.openxmlformats.org/officeDocument/2006/relationships/hyperlink" Target="https://heis.vuv.cz/projekty/raci2017" TargetMode="External"/><Relationship Id="rId54" Type="http://schemas.openxmlformats.org/officeDocument/2006/relationships/hyperlink" Target="https://drive.google.com/open?id=1QOM5gMhgZvDAJYuItgKw97Lcj7fLE_C4" TargetMode="External"/><Relationship Id="rId62" Type="http://schemas.openxmlformats.org/officeDocument/2006/relationships/hyperlink" Target="https://drive.google.com/open?id=1wDnv4Cx96qtGhTAq4_1KPdl7pENwgj2C" TargetMode="External"/><Relationship Id="rId70" Type="http://schemas.openxmlformats.org/officeDocument/2006/relationships/hyperlink" Target="https://vespawatch.be/" TargetMode="External"/><Relationship Id="rId75" Type="http://schemas.openxmlformats.org/officeDocument/2006/relationships/hyperlink" Target="https://drive.google.com/open?id=11K4AqBFn_fPh3c6a0lComMmTPNFrFi7d" TargetMode="External"/><Relationship Id="rId83" Type="http://schemas.openxmlformats.org/officeDocument/2006/relationships/hyperlink" Target="http://mosquitoeswithoutborders.com/" TargetMode="External"/><Relationship Id="rId88" Type="http://schemas.openxmlformats.org/officeDocument/2006/relationships/hyperlink" Target="http://www.floron.nl/meedoen/exoten-melden" TargetMode="External"/><Relationship Id="rId91" Type="http://schemas.openxmlformats.org/officeDocument/2006/relationships/hyperlink" Target="https://neobiota.lu/prunus-laurocerasus/" TargetMode="External"/><Relationship Id="rId96" Type="http://schemas.openxmlformats.org/officeDocument/2006/relationships/hyperlink" Target="https://www.researchgate.net/project/TEKMAN-Towards-the-empowerment-of-artisanal-fishers-in-invasive-alien-species-management" TargetMode="External"/><Relationship Id="rId111" Type="http://schemas.openxmlformats.org/officeDocument/2006/relationships/hyperlink" Target="http://ukrbin.com/" TargetMode="External"/><Relationship Id="rId132" Type="http://schemas.openxmlformats.org/officeDocument/2006/relationships/hyperlink" Target="http://www.ekourbapv.vojvodina.gov.rs/rs/%D1%81%D0%B0%D0%BE%D0%BF%D1%88%D1%82%D0%B5%D1%9A%D0%B5-%D0%B7%D0%B0-%D0%BC%D0%B5%D0%B4%D0%B8%D1%98%D0%B5-%D1%81%D0%B5%D0%BC%D0%B8%D0%BD%D0%B0%D1%80-%D0%B7%D0%B0-%D1%83%D0%BF%D1%80%D0%B0%D0%B2%D1%99/" TargetMode="External"/><Relationship Id="rId140" Type="http://schemas.openxmlformats.org/officeDocument/2006/relationships/hyperlink" Target="https://www.natural-apptitude.co.uk/project/aquainvaders/" TargetMode="External"/><Relationship Id="rId145" Type="http://schemas.openxmlformats.org/officeDocument/2006/relationships/hyperlink" Target="https://www.nature.scot/professional-advice/safeguarding-protected-areas-and-species/protected-species/invasive-non-native-species/identify-and-report-invasive-non-native" TargetMode="External"/><Relationship Id="rId153" Type="http://schemas.openxmlformats.org/officeDocument/2006/relationships/hyperlink" Target="http://usavereds.eu/en_GB/" TargetMode="External"/><Relationship Id="rId1" Type="http://schemas.openxmlformats.org/officeDocument/2006/relationships/hyperlink" Target="http://www.korina.info/" TargetMode="External"/><Relationship Id="rId6" Type="http://schemas.openxmlformats.org/officeDocument/2006/relationships/hyperlink" Target="https://drive.google.com/open?id=1gA1dclIJHPwoPCObiC8ksh9JMYOabPR_" TargetMode="External"/><Relationship Id="rId15" Type="http://schemas.openxmlformats.org/officeDocument/2006/relationships/hyperlink" Target="https://www.facebook.com/FRISKPROJECT/" TargetMode="External"/><Relationship Id="rId23" Type="http://schemas.openxmlformats.org/officeDocument/2006/relationships/hyperlink" Target="http://eazflora.org/" TargetMode="External"/><Relationship Id="rId28" Type="http://schemas.openxmlformats.org/officeDocument/2006/relationships/hyperlink" Target="https://www.inaturalist.org/people/tomasp" TargetMode="External"/><Relationship Id="rId36" Type="http://schemas.openxmlformats.org/officeDocument/2006/relationships/hyperlink" Target="http://biolog.nature.cz/" TargetMode="External"/><Relationship Id="rId49" Type="http://schemas.openxmlformats.org/officeDocument/2006/relationships/hyperlink" Target="https://drive.google.com/open?id=1t0BDwiUIO2JwM-Y6p5QYpevhztZ2qBRN" TargetMode="External"/><Relationship Id="rId57" Type="http://schemas.openxmlformats.org/officeDocument/2006/relationships/hyperlink" Target="http://www.mardhund.se/" TargetMode="External"/><Relationship Id="rId106" Type="http://schemas.openxmlformats.org/officeDocument/2006/relationships/hyperlink" Target="https://www.entefaunamarinamediterranea.it/alienfish-project/" TargetMode="External"/><Relationship Id="rId114" Type="http://schemas.openxmlformats.org/officeDocument/2006/relationships/hyperlink" Target="https://www.ornitho.it/" TargetMode="External"/><Relationship Id="rId119" Type="http://schemas.openxmlformats.org/officeDocument/2006/relationships/hyperlink" Target="http://www.nonnativespecies.org/index.cfm?pageid=234" TargetMode="External"/><Relationship Id="rId127" Type="http://schemas.openxmlformats.org/officeDocument/2006/relationships/hyperlink" Target="http://frelonasiatique.mnhn.fr/" TargetMode="External"/><Relationship Id="rId10" Type="http://schemas.openxmlformats.org/officeDocument/2006/relationships/hyperlink" Target="http://iastracker.ic5team.org/" TargetMode="External"/><Relationship Id="rId31" Type="http://schemas.openxmlformats.org/officeDocument/2006/relationships/hyperlink" Target="http://www.groenepioniers.be/" TargetMode="External"/><Relationship Id="rId44" Type="http://schemas.openxmlformats.org/officeDocument/2006/relationships/hyperlink" Target="http://www.najdije.cz/" TargetMode="External"/><Relationship Id="rId52" Type="http://schemas.openxmlformats.org/officeDocument/2006/relationships/hyperlink" Target="http://timi.parks.org.il/" TargetMode="External"/><Relationship Id="rId60" Type="http://schemas.openxmlformats.org/officeDocument/2006/relationships/hyperlink" Target="https://wli.wwt.org.uk/regions/europe/europe-regional-initiatives/biowet-erasmus-project-2018-21/" TargetMode="External"/><Relationship Id="rId65" Type="http://schemas.openxmlformats.org/officeDocument/2006/relationships/hyperlink" Target="http://izeltlabuak.hu/" TargetMode="External"/><Relationship Id="rId73" Type="http://schemas.openxmlformats.org/officeDocument/2006/relationships/hyperlink" Target="https://drive.google.com/open?id=17UbZDhmo58u2E_VyjQDQow37fvTq_ejO" TargetMode="External"/><Relationship Id="rId78" Type="http://schemas.openxmlformats.org/officeDocument/2006/relationships/hyperlink" Target="https://drive.google.com/open?id=14hWuqAIBchadKcASQr0Ha-bNq6yETw9w" TargetMode="External"/><Relationship Id="rId81" Type="http://schemas.openxmlformats.org/officeDocument/2006/relationships/hyperlink" Target="https://martinoulab.weebly.com/bug-alert-cyprus.html" TargetMode="External"/><Relationship Id="rId86" Type="http://schemas.openxmlformats.org/officeDocument/2006/relationships/hyperlink" Target="http://phytophthora.se/" TargetMode="External"/><Relationship Id="rId94" Type="http://schemas.openxmlformats.org/officeDocument/2006/relationships/hyperlink" Target="https://www.iopan.pl/projects/Adamant/" TargetMode="External"/><Relationship Id="rId99" Type="http://schemas.openxmlformats.org/officeDocument/2006/relationships/hyperlink" Target="http://hlasyjelenu.cz/" TargetMode="External"/><Relationship Id="rId101" Type="http://schemas.openxmlformats.org/officeDocument/2006/relationships/hyperlink" Target="https://drive.google.com/open?id=169h9izrKroZUS5dy0r9x7GcTHTT9sCqI" TargetMode="External"/><Relationship Id="rId122" Type="http://schemas.openxmlformats.org/officeDocument/2006/relationships/hyperlink" Target="https://www.ceh.ac.uk/news-and-media/news/asian-hornet-monitoring-takes-flight-new-app-developed-ceh-scientists" TargetMode="External"/><Relationship Id="rId130" Type="http://schemas.openxmlformats.org/officeDocument/2006/relationships/hyperlink" Target="http://dinaricarcparks.blogspot.com/2019/03/ujedinjeni-u-borbi-protiv-invazivnih.html" TargetMode="External"/><Relationship Id="rId135" Type="http://schemas.openxmlformats.org/officeDocument/2006/relationships/hyperlink" Target="https://www.infoflora.ch/invasivapp" TargetMode="External"/><Relationship Id="rId143" Type="http://schemas.openxmlformats.org/officeDocument/2006/relationships/hyperlink" Target="https://mittencrabs.org.uk/" TargetMode="External"/><Relationship Id="rId148" Type="http://schemas.openxmlformats.org/officeDocument/2006/relationships/hyperlink" Target="http://www.bundforschtinbonn.de/" TargetMode="External"/><Relationship Id="rId151" Type="http://schemas.openxmlformats.org/officeDocument/2006/relationships/hyperlink" Target="http://gamberialieni.divulgando.eu/" TargetMode="External"/><Relationship Id="rId156" Type="http://schemas.openxmlformats.org/officeDocument/2006/relationships/hyperlink" Target="https://www.vespavelutina.eu/en-us/" TargetMode="External"/><Relationship Id="rId4" Type="http://schemas.openxmlformats.org/officeDocument/2006/relationships/hyperlink" Target="https://restaura2020.wixsite.com/homepage" TargetMode="External"/><Relationship Id="rId9" Type="http://schemas.openxmlformats.org/officeDocument/2006/relationships/hyperlink" Target="http://www.mosquitoalert.com/en/" TargetMode="External"/><Relationship Id="rId13" Type="http://schemas.openxmlformats.org/officeDocument/2006/relationships/hyperlink" Target="https://waarneming.nl/" TargetMode="External"/><Relationship Id="rId18" Type="http://schemas.openxmlformats.org/officeDocument/2006/relationships/hyperlink" Target="https://joaninhasdosacores.wordpress.com/" TargetMode="External"/><Relationship Id="rId39" Type="http://schemas.openxmlformats.org/officeDocument/2006/relationships/hyperlink" Target="http://visitor.sav.sk/" TargetMode="External"/><Relationship Id="rId109" Type="http://schemas.openxmlformats.org/officeDocument/2006/relationships/hyperlink" Target="http://invasoras.pt/desafios-invasoras-pt-2020/" TargetMode="External"/><Relationship Id="rId34" Type="http://schemas.openxmlformats.org/officeDocument/2006/relationships/hyperlink" Target="https://drive.google.com/open?id=165mshX8rka2PvMU1AdF0vWFzL6ZT0TmE" TargetMode="External"/><Relationship Id="rId50" Type="http://schemas.openxmlformats.org/officeDocument/2006/relationships/hyperlink" Target="https://www.teva.org.il/polshim" TargetMode="External"/><Relationship Id="rId55" Type="http://schemas.openxmlformats.org/officeDocument/2006/relationships/hyperlink" Target="http://www.invazivnevrste.hr/?page_id=56" TargetMode="External"/><Relationship Id="rId76" Type="http://schemas.openxmlformats.org/officeDocument/2006/relationships/hyperlink" Target="https://www.tujerodne-vrste.info/" TargetMode="External"/><Relationship Id="rId97" Type="http://schemas.openxmlformats.org/officeDocument/2006/relationships/hyperlink" Target="https://www.facebook.com/groups/FishInvasion/?ref=bookmarks" TargetMode="External"/><Relationship Id="rId104" Type="http://schemas.openxmlformats.org/officeDocument/2006/relationships/hyperlink" Target="https://www.interregeurope.eu/invalis/" TargetMode="External"/><Relationship Id="rId120" Type="http://schemas.openxmlformats.org/officeDocument/2006/relationships/hyperlink" Target="https://www.rhs.org.uk/science/plant-health-in-gardens/entomology/rhs-projects-on-plant-pests/the-spread-of-non-native-garden-pests" TargetMode="External"/><Relationship Id="rId125" Type="http://schemas.openxmlformats.org/officeDocument/2006/relationships/hyperlink" Target="http://perruche-a-collier.fr/" TargetMode="External"/><Relationship Id="rId141" Type="http://schemas.openxmlformats.org/officeDocument/2006/relationships/hyperlink" Target="https://drive.google.com/open?id=1echhaM_-cf8MhIhvlvOztDXTubAbdatq" TargetMode="External"/><Relationship Id="rId146" Type="http://schemas.openxmlformats.org/officeDocument/2006/relationships/hyperlink" Target="https://drive.google.com/open?id=1dcjhOkE7Km8UYVDq7k9Lm2Tfg-iN9UR7" TargetMode="External"/><Relationship Id="rId7" Type="http://schemas.openxmlformats.org/officeDocument/2006/relationships/hyperlink" Target="https://i9kiwi.pt/" TargetMode="External"/><Relationship Id="rId71" Type="http://schemas.openxmlformats.org/officeDocument/2006/relationships/hyperlink" Target="http://www.plavo.oko.hr/" TargetMode="External"/><Relationship Id="rId92" Type="http://schemas.openxmlformats.org/officeDocument/2006/relationships/hyperlink" Target="https://hartaambroziei.ro/" TargetMode="External"/><Relationship Id="rId2" Type="http://schemas.openxmlformats.org/officeDocument/2006/relationships/hyperlink" Target="https://drive.google.com/open?id=1SP4_uzLqXvuqU3rjEo6KX0ReK0iHCurx" TargetMode="External"/><Relationship Id="rId29" Type="http://schemas.openxmlformats.org/officeDocument/2006/relationships/hyperlink" Target="http://inaturalist.org/" TargetMode="External"/><Relationship Id="rId24" Type="http://schemas.openxmlformats.org/officeDocument/2006/relationships/hyperlink" Target="http://invasoras.pt/" TargetMode="External"/><Relationship Id="rId40" Type="http://schemas.openxmlformats.org/officeDocument/2006/relationships/hyperlink" Target="https://zaborskipark.pl/aktualnosci-10/obce-gatunki-inwazyjne-nie-dziekuje-akcja-edukacyjna-w-szkolach/" TargetMode="External"/><Relationship Id="rId45" Type="http://schemas.openxmlformats.org/officeDocument/2006/relationships/hyperlink" Target="http://www.biodiversityireland.ie/projects/invasive-species/" TargetMode="External"/><Relationship Id="rId66" Type="http://schemas.openxmlformats.org/officeDocument/2006/relationships/hyperlink" Target="https://www.izeltlabuak.hu/" TargetMode="External"/><Relationship Id="rId87" Type="http://schemas.openxmlformats.org/officeDocument/2006/relationships/hyperlink" Target="http://phytophthora.se/" TargetMode="External"/><Relationship Id="rId110" Type="http://schemas.openxmlformats.org/officeDocument/2006/relationships/hyperlink" Target="http://www.kumakshrimp.pl/Lowca" TargetMode="External"/><Relationship Id="rId115" Type="http://schemas.openxmlformats.org/officeDocument/2006/relationships/hyperlink" Target="https://www.faune-france.org/" TargetMode="External"/><Relationship Id="rId131" Type="http://schemas.openxmlformats.org/officeDocument/2006/relationships/hyperlink" Target="http://nationalpark-una.ba/bs/podkategorija.php?id=51" TargetMode="External"/><Relationship Id="rId136" Type="http://schemas.openxmlformats.org/officeDocument/2006/relationships/hyperlink" Target="https://drive.google.com/open?id=12FLvGXeN0EutY4nG9Rh4Cejh8Hg-yw2K" TargetMode="External"/><Relationship Id="rId157" Type="http://schemas.openxmlformats.org/officeDocument/2006/relationships/vmlDrawing" Target="../drawings/vmlDrawing3.vml"/><Relationship Id="rId61" Type="http://schemas.openxmlformats.org/officeDocument/2006/relationships/hyperlink" Target="https://nina.no/Aktuelt/Nyhetsartikkel/ArticleId/4808/Er-det-pukkellaks-i-DIN-elv?fbclid=IwAR3aFTX1PDZkldIErwTCsgOlbC-2Gjj8_EvAKblNHJqmDbgjoDJNPPcs96g" TargetMode="External"/><Relationship Id="rId82" Type="http://schemas.openxmlformats.org/officeDocument/2006/relationships/hyperlink" Target="https://ecureuils.mnhn.fr/" TargetMode="External"/><Relationship Id="rId152" Type="http://schemas.openxmlformats.org/officeDocument/2006/relationships/hyperlink" Target="https://www.stopvelutina.it/" TargetMode="External"/><Relationship Id="rId19" Type="http://schemas.openxmlformats.org/officeDocument/2006/relationships/hyperlink" Target="https://drive.google.com/open?id=1m4MhDFMvbHlkSxXq6q9s0pCwVkvQ3Aei" TargetMode="External"/><Relationship Id="rId14" Type="http://schemas.openxmlformats.org/officeDocument/2006/relationships/hyperlink" Target="https://waarneming.nl/" TargetMode="External"/><Relationship Id="rId30" Type="http://schemas.openxmlformats.org/officeDocument/2006/relationships/hyperlink" Target="https://internt.slu.se/nyheter-originalen/2019/5/hjalp-till-att-radda-asken/?utm_campaign=unspecified&amp;fbclid=IwAR3guwmDXIulzxTuU5kvOSX_Y1BWk78dYdFVJobd0r_Lmeb4usZ1lhm8dy8" TargetMode="External"/><Relationship Id="rId35" Type="http://schemas.openxmlformats.org/officeDocument/2006/relationships/hyperlink" Target="http://www.salamandra.org.pl/obcekampania.html" TargetMode="External"/><Relationship Id="rId56" Type="http://schemas.openxmlformats.org/officeDocument/2006/relationships/hyperlink" Target="http://civ.iptpo.hr/" TargetMode="External"/><Relationship Id="rId77" Type="http://schemas.openxmlformats.org/officeDocument/2006/relationships/hyperlink" Target="http://www.rinse-europe.eu/" TargetMode="External"/><Relationship Id="rId100" Type="http://schemas.openxmlformats.org/officeDocument/2006/relationships/hyperlink" Target="http://relionmed.eu/" TargetMode="External"/><Relationship Id="rId105" Type="http://schemas.openxmlformats.org/officeDocument/2006/relationships/hyperlink" Target="https://www.alpine-space.eu/ALPTREES" TargetMode="External"/><Relationship Id="rId126" Type="http://schemas.openxmlformats.org/officeDocument/2006/relationships/hyperlink" Target="http://perruche-a-collier.fr/" TargetMode="External"/><Relationship Id="rId147" Type="http://schemas.openxmlformats.org/officeDocument/2006/relationships/hyperlink" Target="https://www.invasivespecies.scot/report-sighting" TargetMode="External"/><Relationship Id="rId8" Type="http://schemas.openxmlformats.org/officeDocument/2006/relationships/hyperlink" Target="https://www.facebook.com/Progetto-Aliens-in-the-sea-699458823457040/?ref=bookmarks" TargetMode="External"/><Relationship Id="rId51" Type="http://schemas.openxmlformats.org/officeDocument/2006/relationships/hyperlink" Target="https://www.facebook.com/groups/buxus1/" TargetMode="External"/><Relationship Id="rId72" Type="http://schemas.openxmlformats.org/officeDocument/2006/relationships/hyperlink" Target="http://www.plantalert.org/" TargetMode="External"/><Relationship Id="rId93" Type="http://schemas.openxmlformats.org/officeDocument/2006/relationships/hyperlink" Target="https://www.inaturalist.org/projects/invasive-species-in-romania" TargetMode="External"/><Relationship Id="rId98" Type="http://schemas.openxmlformats.org/officeDocument/2006/relationships/hyperlink" Target="http://www.conkertreescience.org.uk/" TargetMode="External"/><Relationship Id="rId121" Type="http://schemas.openxmlformats.org/officeDocument/2006/relationships/hyperlink" Target="https://drive.google.com/open?id=1EFJOXm9_bTCIS33A31ZNMgiuG2dgxrhN" TargetMode="External"/><Relationship Id="rId142" Type="http://schemas.openxmlformats.org/officeDocument/2006/relationships/hyperlink" Target="https://www.opalexplorenature.org/nzflatworm" TargetMode="External"/><Relationship Id="rId3" Type="http://schemas.openxmlformats.org/officeDocument/2006/relationships/hyperlink" Target="https://www.facebook.com/acepsd2017/" TargetMode="External"/><Relationship Id="rId25" Type="http://schemas.openxmlformats.org/officeDocument/2006/relationships/hyperlink" Target="http://invasoras.pt/" TargetMode="External"/><Relationship Id="rId46" Type="http://schemas.openxmlformats.org/officeDocument/2006/relationships/hyperlink" Target="https://www.muse.it/it/La-Ricerca/Zoologia-invertebrati-idrobiologia/Azioni-sul-territorio/Pagine/ghost_monitoraggio_zanzara_tigre_a_trento.aspx" TargetMode="External"/><Relationship Id="rId67" Type="http://schemas.openxmlformats.org/officeDocument/2006/relationships/hyperlink" Target="https://www.izeltlabuak.hu/adatvedelem" TargetMode="External"/><Relationship Id="rId116" Type="http://schemas.openxmlformats.org/officeDocument/2006/relationships/hyperlink" Target="http://eee.mnhn.fr/" TargetMode="External"/><Relationship Id="rId137" Type="http://schemas.openxmlformats.org/officeDocument/2006/relationships/hyperlink" Target="https://www.planttracker.org.uk/" TargetMode="External"/><Relationship Id="rId158" Type="http://schemas.openxmlformats.org/officeDocument/2006/relationships/comments" Target="../comments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N992"/>
  <sheetViews>
    <sheetView topLeftCell="BH1" zoomScale="115" zoomScaleNormal="115" workbookViewId="0">
      <pane ySplit="1" topLeftCell="A81" activePane="bottomLeft" state="frozen"/>
      <selection pane="bottomLeft" activeCell="BM95" sqref="BM95"/>
    </sheetView>
  </sheetViews>
  <sheetFormatPr defaultColWidth="14.453125" defaultRowHeight="15" customHeight="1"/>
  <cols>
    <col min="1" max="1" width="10.26953125" customWidth="1"/>
    <col min="2" max="2" width="21.54296875" customWidth="1"/>
    <col min="3" max="3" width="24" customWidth="1"/>
    <col min="4" max="4" width="27.453125" customWidth="1"/>
    <col min="5" max="5" width="18.7265625" customWidth="1"/>
    <col min="6" max="6" width="13.453125" customWidth="1"/>
    <col min="7" max="7" width="17.26953125" customWidth="1"/>
    <col min="8" max="8" width="21.54296875" customWidth="1"/>
    <col min="9" max="9" width="4.81640625" customWidth="1"/>
    <col min="10" max="10" width="31" customWidth="1"/>
    <col min="11" max="11" width="28.54296875" customWidth="1"/>
    <col min="12" max="12" width="21.54296875" customWidth="1"/>
    <col min="13" max="13" width="15.7265625" customWidth="1"/>
    <col min="14" max="14" width="15.7265625" style="21" customWidth="1"/>
    <col min="15" max="15" width="12.81640625" customWidth="1"/>
    <col min="16" max="16" width="12.54296875" customWidth="1"/>
    <col min="17" max="17" width="13.08984375" customWidth="1"/>
    <col min="18" max="18" width="39.36328125" customWidth="1"/>
    <col min="19" max="19" width="39.36328125" style="21" customWidth="1"/>
    <col min="20" max="20" width="10.81640625" customWidth="1"/>
    <col min="21" max="21" width="11.08984375" customWidth="1"/>
    <col min="22" max="22" width="8.08984375" customWidth="1"/>
    <col min="23" max="23" width="12.54296875" style="21" customWidth="1"/>
    <col min="24" max="24" width="26.1796875" customWidth="1"/>
    <col min="25" max="25" width="25.90625" style="21" customWidth="1"/>
    <col min="26" max="26" width="15.90625" customWidth="1"/>
    <col min="27" max="27" width="21.08984375" style="21" customWidth="1"/>
    <col min="29" max="29" width="14.453125" style="21"/>
    <col min="30" max="30" width="14.7265625" customWidth="1"/>
    <col min="31" max="31" width="21.54296875" customWidth="1"/>
    <col min="32" max="32" width="21.54296875" style="21" customWidth="1"/>
    <col min="33" max="33" width="21.54296875" customWidth="1"/>
    <col min="34" max="34" width="21.54296875" style="21" customWidth="1"/>
    <col min="35" max="35" width="15.81640625" customWidth="1"/>
    <col min="36" max="36" width="15.81640625" style="21" customWidth="1"/>
    <col min="38" max="38" width="14.453125" style="21"/>
    <col min="39" max="39" width="21.54296875" customWidth="1"/>
    <col min="40" max="40" width="19.453125" customWidth="1"/>
    <col min="41" max="41" width="21.54296875" customWidth="1"/>
    <col min="42" max="42" width="21.54296875" style="21" customWidth="1"/>
    <col min="43" max="43" width="18.08984375" customWidth="1"/>
    <col min="44" max="44" width="18.08984375" style="21" customWidth="1"/>
    <col min="45" max="45" width="16.453125" customWidth="1"/>
    <col min="46" max="46" width="16.453125" style="21" customWidth="1"/>
    <col min="47" max="47" width="17.54296875" customWidth="1"/>
    <col min="48" max="48" width="17.54296875" style="21" customWidth="1"/>
    <col min="49" max="49" width="13.08984375" customWidth="1"/>
    <col min="50" max="50" width="13.08984375" style="21" customWidth="1"/>
    <col min="51" max="51" width="15.81640625" customWidth="1"/>
    <col min="52" max="52" width="10" customWidth="1"/>
    <col min="54" max="54" width="14.453125" style="21"/>
    <col min="55" max="55" width="13.08984375" customWidth="1"/>
    <col min="56" max="56" width="13.54296875" customWidth="1"/>
    <col min="57" max="57" width="9.453125" customWidth="1"/>
    <col min="58" max="58" width="10.54296875" customWidth="1"/>
    <col min="59" max="59" width="14.08984375" customWidth="1"/>
    <col min="60" max="60" width="14.26953125" customWidth="1"/>
    <col min="61" max="61" width="14.26953125" style="21" customWidth="1"/>
    <col min="62" max="62" width="16" customWidth="1"/>
    <col min="63" max="63" width="16" style="21" customWidth="1"/>
    <col min="64" max="64" width="17.81640625" customWidth="1"/>
    <col min="65" max="65" width="17.81640625" style="21" customWidth="1"/>
    <col min="66" max="66" width="54.453125" customWidth="1"/>
    <col min="67" max="68" width="16.81640625" style="21" customWidth="1"/>
    <col min="69" max="69" width="17.26953125" customWidth="1"/>
    <col min="70" max="70" width="17.7265625" customWidth="1"/>
    <col min="71" max="71" width="17.7265625" style="21" customWidth="1"/>
    <col min="72" max="72" width="17.453125" customWidth="1"/>
    <col min="73" max="73" width="17.453125" style="21" customWidth="1"/>
    <col min="74" max="74" width="26.90625" customWidth="1"/>
    <col min="75" max="75" width="26.90625" style="21" customWidth="1"/>
    <col min="76" max="77" width="21.54296875" customWidth="1"/>
    <col min="78" max="78" width="21.54296875" style="21" customWidth="1"/>
    <col min="79" max="79" width="21.54296875" customWidth="1"/>
    <col min="80" max="80" width="21.54296875" style="21" customWidth="1"/>
    <col min="81" max="81" width="21.54296875" customWidth="1"/>
    <col min="82" max="82" width="21.54296875" style="21" customWidth="1"/>
    <col min="83" max="83" width="21.54296875" customWidth="1"/>
    <col min="84" max="84" width="21.54296875" style="21" customWidth="1"/>
    <col min="85" max="85" width="21.54296875" customWidth="1"/>
    <col min="86" max="86" width="28.26953125" customWidth="1"/>
    <col min="87" max="87" width="19.08984375" customWidth="1"/>
    <col min="88" max="88" width="21.54296875" customWidth="1"/>
    <col min="89" max="89" width="16.453125" customWidth="1"/>
    <col min="90" max="90" width="19" customWidth="1"/>
    <col min="91" max="92" width="21.54296875" customWidth="1"/>
    <col min="93" max="93" width="21.54296875" style="21" customWidth="1"/>
    <col min="94" max="97" width="21.54296875" customWidth="1"/>
    <col min="98" max="98" width="33.54296875" customWidth="1"/>
    <col min="99" max="102" width="21.54296875" customWidth="1"/>
  </cols>
  <sheetData>
    <row r="1" spans="1:116" ht="15.75" customHeight="1">
      <c r="A1" s="1" t="s">
        <v>0</v>
      </c>
      <c r="B1" s="1" t="s">
        <v>1</v>
      </c>
      <c r="C1" s="2" t="s">
        <v>2</v>
      </c>
      <c r="D1" s="2" t="s">
        <v>3</v>
      </c>
      <c r="E1" s="3" t="s">
        <v>4</v>
      </c>
      <c r="F1" s="3" t="s">
        <v>5</v>
      </c>
      <c r="G1" s="3" t="s">
        <v>6</v>
      </c>
      <c r="H1" s="4" t="s">
        <v>7</v>
      </c>
      <c r="I1" s="3" t="s">
        <v>8</v>
      </c>
      <c r="J1" s="3" t="s">
        <v>9</v>
      </c>
      <c r="K1" s="3" t="s">
        <v>10</v>
      </c>
      <c r="L1" s="4" t="s">
        <v>11</v>
      </c>
      <c r="M1" s="5" t="s">
        <v>12</v>
      </c>
      <c r="N1" s="5" t="s">
        <v>2094</v>
      </c>
      <c r="O1" s="5" t="s">
        <v>13</v>
      </c>
      <c r="P1" s="6" t="s">
        <v>14</v>
      </c>
      <c r="Q1" s="3" t="s">
        <v>15</v>
      </c>
      <c r="R1" s="5" t="s">
        <v>16</v>
      </c>
      <c r="S1" s="5" t="s">
        <v>2092</v>
      </c>
      <c r="T1" s="5" t="s">
        <v>17</v>
      </c>
      <c r="U1" s="5" t="s">
        <v>18</v>
      </c>
      <c r="V1" s="5" t="s">
        <v>19</v>
      </c>
      <c r="W1" s="5" t="s">
        <v>2214</v>
      </c>
      <c r="X1" s="6" t="s">
        <v>20</v>
      </c>
      <c r="Y1" s="6" t="s">
        <v>2093</v>
      </c>
      <c r="Z1" s="5" t="s">
        <v>21</v>
      </c>
      <c r="AA1" s="5" t="s">
        <v>2095</v>
      </c>
      <c r="AB1" s="5" t="s">
        <v>22</v>
      </c>
      <c r="AC1" s="5" t="s">
        <v>2096</v>
      </c>
      <c r="AD1" s="6" t="s">
        <v>23</v>
      </c>
      <c r="AE1" s="5" t="s">
        <v>24</v>
      </c>
      <c r="AF1" s="5" t="s">
        <v>2097</v>
      </c>
      <c r="AG1" s="5" t="s">
        <v>25</v>
      </c>
      <c r="AH1" s="5" t="s">
        <v>2098</v>
      </c>
      <c r="AI1" s="5" t="s">
        <v>26</v>
      </c>
      <c r="AJ1" s="5" t="s">
        <v>2099</v>
      </c>
      <c r="AK1" s="6" t="s">
        <v>27</v>
      </c>
      <c r="AL1" s="6" t="s">
        <v>2100</v>
      </c>
      <c r="AM1" s="3" t="s">
        <v>28</v>
      </c>
      <c r="AN1" s="5" t="s">
        <v>29</v>
      </c>
      <c r="AO1" s="5" t="s">
        <v>30</v>
      </c>
      <c r="AP1" s="5" t="s">
        <v>2101</v>
      </c>
      <c r="AQ1" s="6" t="s">
        <v>31</v>
      </c>
      <c r="AR1" s="6" t="s">
        <v>2102</v>
      </c>
      <c r="AS1" s="6" t="s">
        <v>32</v>
      </c>
      <c r="AT1" s="6" t="s">
        <v>2103</v>
      </c>
      <c r="AU1" s="5" t="s">
        <v>33</v>
      </c>
      <c r="AV1" s="5" t="s">
        <v>2104</v>
      </c>
      <c r="AW1" s="6" t="s">
        <v>34</v>
      </c>
      <c r="AX1" s="6" t="s">
        <v>2105</v>
      </c>
      <c r="AY1" s="6" t="s">
        <v>35</v>
      </c>
      <c r="AZ1" s="6" t="s">
        <v>36</v>
      </c>
      <c r="BA1" s="6" t="s">
        <v>37</v>
      </c>
      <c r="BB1" s="6" t="s">
        <v>2106</v>
      </c>
      <c r="BC1" s="6" t="s">
        <v>38</v>
      </c>
      <c r="BD1" s="6" t="s">
        <v>39</v>
      </c>
      <c r="BE1" s="6" t="s">
        <v>40</v>
      </c>
      <c r="BF1" s="3" t="s">
        <v>41</v>
      </c>
      <c r="BG1" s="5" t="s">
        <v>42</v>
      </c>
      <c r="BH1" s="6" t="s">
        <v>43</v>
      </c>
      <c r="BI1" s="6" t="s">
        <v>2355</v>
      </c>
      <c r="BJ1" s="6" t="s">
        <v>44</v>
      </c>
      <c r="BK1" s="6" t="s">
        <v>2107</v>
      </c>
      <c r="BL1" s="5" t="s">
        <v>45</v>
      </c>
      <c r="BM1" s="5" t="s">
        <v>2108</v>
      </c>
      <c r="BN1" s="6" t="s">
        <v>46</v>
      </c>
      <c r="BO1" s="6" t="s">
        <v>2091</v>
      </c>
      <c r="BP1" s="6" t="s">
        <v>2194</v>
      </c>
      <c r="BQ1" s="6" t="s">
        <v>47</v>
      </c>
      <c r="BR1" s="3" t="s">
        <v>48</v>
      </c>
      <c r="BS1" s="3" t="s">
        <v>2109</v>
      </c>
      <c r="BT1" s="6" t="s">
        <v>49</v>
      </c>
      <c r="BU1" s="6" t="s">
        <v>2110</v>
      </c>
      <c r="BV1" s="2" t="s">
        <v>50</v>
      </c>
      <c r="BW1" s="2" t="s">
        <v>2184</v>
      </c>
      <c r="BX1" s="3" t="s">
        <v>51</v>
      </c>
      <c r="BY1" s="6" t="s">
        <v>52</v>
      </c>
      <c r="BZ1" s="6" t="s">
        <v>2111</v>
      </c>
      <c r="CA1" s="3" t="s">
        <v>53</v>
      </c>
      <c r="CB1" s="44" t="s">
        <v>2114</v>
      </c>
      <c r="CC1" s="3" t="s">
        <v>54</v>
      </c>
      <c r="CD1" s="3" t="s">
        <v>2113</v>
      </c>
      <c r="CE1" s="3" t="s">
        <v>55</v>
      </c>
      <c r="CF1" s="3" t="s">
        <v>2112</v>
      </c>
      <c r="CG1" s="3" t="s">
        <v>56</v>
      </c>
      <c r="CH1" s="5" t="s">
        <v>57</v>
      </c>
      <c r="CI1" s="5" t="s">
        <v>58</v>
      </c>
      <c r="CJ1" s="5" t="s">
        <v>59</v>
      </c>
      <c r="CK1" s="3" t="s">
        <v>60</v>
      </c>
      <c r="CL1" s="6" t="s">
        <v>61</v>
      </c>
      <c r="CM1" s="3" t="s">
        <v>62</v>
      </c>
      <c r="CN1" s="3" t="s">
        <v>63</v>
      </c>
      <c r="CO1" s="3" t="s">
        <v>2115</v>
      </c>
      <c r="CP1" s="3" t="s">
        <v>64</v>
      </c>
      <c r="CQ1" s="3" t="s">
        <v>65</v>
      </c>
      <c r="CR1" s="3" t="s">
        <v>66</v>
      </c>
      <c r="CS1" s="3" t="s">
        <v>67</v>
      </c>
      <c r="CT1" s="7" t="s">
        <v>68</v>
      </c>
      <c r="CU1" s="8"/>
      <c r="CV1" s="8"/>
      <c r="CW1" s="8"/>
      <c r="CX1" s="8"/>
      <c r="CY1" s="8"/>
      <c r="CZ1" s="8"/>
      <c r="DA1" s="8"/>
      <c r="DB1" s="8"/>
      <c r="DC1" s="8"/>
      <c r="DD1" s="8"/>
      <c r="DE1" s="8"/>
      <c r="DF1" s="8"/>
      <c r="DG1" s="8"/>
      <c r="DH1" s="8"/>
      <c r="DI1" s="8"/>
      <c r="DJ1" s="8"/>
      <c r="DK1" s="8"/>
      <c r="DL1" s="8"/>
    </row>
    <row r="2" spans="1:116" ht="15.75" customHeight="1">
      <c r="A2" s="8">
        <v>1</v>
      </c>
      <c r="B2" s="8"/>
      <c r="C2" s="2" t="s">
        <v>69</v>
      </c>
      <c r="D2" s="2" t="s">
        <v>70</v>
      </c>
      <c r="E2" s="9">
        <v>43643.728188368055</v>
      </c>
      <c r="F2" s="2" t="s">
        <v>71</v>
      </c>
      <c r="G2" s="2" t="s">
        <v>72</v>
      </c>
      <c r="H2" s="2" t="s">
        <v>73</v>
      </c>
      <c r="I2" s="2" t="s">
        <v>74</v>
      </c>
      <c r="J2" s="2" t="s">
        <v>75</v>
      </c>
      <c r="K2" s="2" t="s">
        <v>71</v>
      </c>
      <c r="L2" s="2" t="s">
        <v>76</v>
      </c>
      <c r="M2" s="2" t="s">
        <v>77</v>
      </c>
      <c r="N2" s="2" t="s">
        <v>77</v>
      </c>
      <c r="O2" s="2" t="s">
        <v>78</v>
      </c>
      <c r="P2" s="2" t="s">
        <v>79</v>
      </c>
      <c r="Q2" s="2" t="s">
        <v>80</v>
      </c>
      <c r="R2" s="2" t="s">
        <v>81</v>
      </c>
      <c r="S2" s="2" t="s">
        <v>81</v>
      </c>
      <c r="T2" s="2">
        <v>2019</v>
      </c>
      <c r="U2" s="2" t="s">
        <v>82</v>
      </c>
      <c r="V2" s="2" t="s">
        <v>83</v>
      </c>
      <c r="W2" s="2" t="s">
        <v>83</v>
      </c>
      <c r="X2" s="8"/>
      <c r="Y2" s="8"/>
      <c r="Z2" s="2" t="s">
        <v>84</v>
      </c>
      <c r="AA2" s="2" t="s">
        <v>84</v>
      </c>
      <c r="AB2" s="2" t="s">
        <v>85</v>
      </c>
      <c r="AC2" s="2" t="s">
        <v>85</v>
      </c>
      <c r="AD2" s="2" t="s">
        <v>74</v>
      </c>
      <c r="AE2" s="2" t="s">
        <v>86</v>
      </c>
      <c r="AF2" s="2" t="s">
        <v>86</v>
      </c>
      <c r="AG2" s="2" t="s">
        <v>87</v>
      </c>
      <c r="AH2" s="2" t="s">
        <v>87</v>
      </c>
      <c r="AI2" s="2" t="s">
        <v>88</v>
      </c>
      <c r="AJ2" s="2" t="s">
        <v>88</v>
      </c>
      <c r="AK2" s="2" t="s">
        <v>83</v>
      </c>
      <c r="AL2" s="2" t="s">
        <v>83</v>
      </c>
      <c r="AM2" s="8"/>
      <c r="AN2" s="2" t="s">
        <v>89</v>
      </c>
      <c r="AO2" s="2" t="s">
        <v>90</v>
      </c>
      <c r="AP2" s="2" t="s">
        <v>90</v>
      </c>
      <c r="AQ2" s="2" t="s">
        <v>91</v>
      </c>
      <c r="AR2" s="2" t="s">
        <v>91</v>
      </c>
      <c r="AS2" s="2" t="s">
        <v>92</v>
      </c>
      <c r="AT2" s="2" t="s">
        <v>92</v>
      </c>
      <c r="AU2" s="2" t="s">
        <v>93</v>
      </c>
      <c r="AV2" s="2" t="s">
        <v>93</v>
      </c>
      <c r="AW2" s="2" t="s">
        <v>94</v>
      </c>
      <c r="AX2" s="2" t="s">
        <v>94</v>
      </c>
      <c r="AY2" s="2" t="s">
        <v>95</v>
      </c>
      <c r="AZ2" s="2" t="s">
        <v>74</v>
      </c>
      <c r="BA2" s="2" t="s">
        <v>96</v>
      </c>
      <c r="BB2" s="2" t="s">
        <v>96</v>
      </c>
      <c r="BC2" s="2" t="s">
        <v>74</v>
      </c>
      <c r="BD2" s="2" t="s">
        <v>74</v>
      </c>
      <c r="BE2" s="2" t="s">
        <v>74</v>
      </c>
      <c r="BF2" s="2" t="s">
        <v>74</v>
      </c>
      <c r="BG2" s="2" t="s">
        <v>74</v>
      </c>
      <c r="BH2" s="2" t="s">
        <v>97</v>
      </c>
      <c r="BI2" s="2" t="s">
        <v>97</v>
      </c>
      <c r="BJ2" s="2" t="s">
        <v>98</v>
      </c>
      <c r="BK2" s="2" t="s">
        <v>98</v>
      </c>
      <c r="BL2" s="2" t="s">
        <v>99</v>
      </c>
      <c r="BM2" s="2" t="s">
        <v>99</v>
      </c>
      <c r="BN2" s="2" t="s">
        <v>100</v>
      </c>
      <c r="BO2" s="2" t="s">
        <v>74</v>
      </c>
      <c r="BP2" s="39"/>
      <c r="BQ2" s="2" t="s">
        <v>74</v>
      </c>
      <c r="BR2" s="2" t="s">
        <v>101</v>
      </c>
      <c r="BS2" s="2" t="s">
        <v>101</v>
      </c>
      <c r="BT2" s="2" t="s">
        <v>102</v>
      </c>
      <c r="BU2" s="2" t="s">
        <v>102</v>
      </c>
      <c r="BV2" s="2" t="s">
        <v>83</v>
      </c>
      <c r="BW2" s="2" t="s">
        <v>83</v>
      </c>
      <c r="BX2" s="8"/>
      <c r="BY2" s="2" t="s">
        <v>103</v>
      </c>
      <c r="BZ2" s="2" t="s">
        <v>103</v>
      </c>
      <c r="CA2" s="2" t="s">
        <v>104</v>
      </c>
      <c r="CB2" s="2" t="s">
        <v>104</v>
      </c>
      <c r="CC2" s="2" t="s">
        <v>105</v>
      </c>
      <c r="CD2" s="2" t="s">
        <v>105</v>
      </c>
      <c r="CE2" s="2" t="s">
        <v>106</v>
      </c>
      <c r="CF2" s="2" t="s">
        <v>106</v>
      </c>
      <c r="CG2" s="8"/>
      <c r="CH2" s="2" t="s">
        <v>107</v>
      </c>
      <c r="CI2" s="2" t="s">
        <v>108</v>
      </c>
      <c r="CJ2" s="2" t="s">
        <v>108</v>
      </c>
      <c r="CK2" s="2" t="s">
        <v>74</v>
      </c>
      <c r="CL2" s="2" t="s">
        <v>107</v>
      </c>
      <c r="CM2" s="8"/>
      <c r="CN2" s="2" t="s">
        <v>107</v>
      </c>
      <c r="CO2" s="2" t="s">
        <v>107</v>
      </c>
      <c r="CP2" s="2" t="s">
        <v>107</v>
      </c>
      <c r="CQ2" s="8"/>
      <c r="CR2" s="2" t="s">
        <v>74</v>
      </c>
      <c r="CS2" s="8"/>
      <c r="CU2" s="8"/>
      <c r="CV2" s="8"/>
      <c r="CW2" s="8"/>
      <c r="CX2" s="8"/>
      <c r="CY2" s="8"/>
      <c r="CZ2" s="8"/>
      <c r="DA2" s="8"/>
      <c r="DB2" s="8"/>
      <c r="DC2" s="8"/>
      <c r="DD2" s="8"/>
      <c r="DE2" s="8"/>
      <c r="DF2" s="8"/>
      <c r="DG2" s="8"/>
      <c r="DH2" s="8"/>
      <c r="DI2" s="8"/>
      <c r="DJ2" s="8"/>
      <c r="DK2" s="8"/>
      <c r="DL2" s="8"/>
    </row>
    <row r="3" spans="1:116" ht="15.75" customHeight="1">
      <c r="A3" s="8">
        <v>2</v>
      </c>
      <c r="B3" s="8"/>
      <c r="C3" s="2" t="s">
        <v>69</v>
      </c>
      <c r="D3" s="2" t="s">
        <v>70</v>
      </c>
      <c r="E3" s="9">
        <v>43644.461507766202</v>
      </c>
      <c r="F3" s="2" t="s">
        <v>109</v>
      </c>
      <c r="G3" s="2" t="s">
        <v>110</v>
      </c>
      <c r="H3" s="2" t="s">
        <v>111</v>
      </c>
      <c r="I3" s="2" t="s">
        <v>74</v>
      </c>
      <c r="J3" s="10" t="s">
        <v>112</v>
      </c>
      <c r="K3" s="2" t="s">
        <v>109</v>
      </c>
      <c r="L3" s="2" t="s">
        <v>113</v>
      </c>
      <c r="M3" s="2" t="s">
        <v>114</v>
      </c>
      <c r="N3" s="2" t="s">
        <v>114</v>
      </c>
      <c r="O3" s="2" t="s">
        <v>115</v>
      </c>
      <c r="P3" s="2" t="s">
        <v>116</v>
      </c>
      <c r="Q3" s="2" t="s">
        <v>117</v>
      </c>
      <c r="R3" s="2" t="s">
        <v>118</v>
      </c>
      <c r="S3" s="2" t="s">
        <v>118</v>
      </c>
      <c r="T3" s="2">
        <v>2010</v>
      </c>
      <c r="U3" s="2" t="s">
        <v>82</v>
      </c>
      <c r="V3" s="2" t="s">
        <v>95</v>
      </c>
      <c r="W3" s="2" t="s">
        <v>95</v>
      </c>
      <c r="X3" s="2" t="s">
        <v>119</v>
      </c>
      <c r="Y3" s="2" t="s">
        <v>119</v>
      </c>
      <c r="Z3" s="2" t="s">
        <v>84</v>
      </c>
      <c r="AA3" s="2" t="s">
        <v>84</v>
      </c>
      <c r="AB3" s="2" t="s">
        <v>120</v>
      </c>
      <c r="AC3" s="2" t="s">
        <v>120</v>
      </c>
      <c r="AD3" s="2" t="s">
        <v>74</v>
      </c>
      <c r="AE3" s="2" t="s">
        <v>121</v>
      </c>
      <c r="AF3" s="2" t="s">
        <v>121</v>
      </c>
      <c r="AG3" s="2" t="s">
        <v>122</v>
      </c>
      <c r="AH3" s="2" t="s">
        <v>122</v>
      </c>
      <c r="AI3" s="2" t="s">
        <v>123</v>
      </c>
      <c r="AJ3" s="2" t="s">
        <v>123</v>
      </c>
      <c r="AK3" s="2" t="s">
        <v>74</v>
      </c>
      <c r="AL3" s="2" t="s">
        <v>74</v>
      </c>
      <c r="AM3" s="2" t="s">
        <v>124</v>
      </c>
      <c r="AN3" s="2" t="s">
        <v>125</v>
      </c>
      <c r="AO3" s="2" t="s">
        <v>126</v>
      </c>
      <c r="AP3" s="2" t="s">
        <v>126</v>
      </c>
      <c r="AQ3" s="2" t="s">
        <v>127</v>
      </c>
      <c r="AR3" s="2" t="s">
        <v>127</v>
      </c>
      <c r="AS3" s="2" t="s">
        <v>128</v>
      </c>
      <c r="AT3" s="2" t="s">
        <v>128</v>
      </c>
      <c r="AU3" s="2" t="s">
        <v>129</v>
      </c>
      <c r="AV3" s="2" t="s">
        <v>353</v>
      </c>
      <c r="AW3" s="2" t="s">
        <v>94</v>
      </c>
      <c r="AX3" s="2" t="s">
        <v>94</v>
      </c>
      <c r="AY3" s="2" t="s">
        <v>74</v>
      </c>
      <c r="AZ3" s="2" t="s">
        <v>74</v>
      </c>
      <c r="BA3" s="2" t="s">
        <v>96</v>
      </c>
      <c r="BB3" s="2" t="s">
        <v>96</v>
      </c>
      <c r="BC3" s="2" t="s">
        <v>74</v>
      </c>
      <c r="BD3" s="2" t="s">
        <v>74</v>
      </c>
      <c r="BE3" s="2" t="s">
        <v>107</v>
      </c>
      <c r="BF3" s="2" t="s">
        <v>74</v>
      </c>
      <c r="BG3" s="2" t="s">
        <v>74</v>
      </c>
      <c r="BH3" s="2" t="s">
        <v>97</v>
      </c>
      <c r="BI3" s="2" t="s">
        <v>97</v>
      </c>
      <c r="BJ3" s="2" t="s">
        <v>130</v>
      </c>
      <c r="BK3" s="2" t="s">
        <v>130</v>
      </c>
      <c r="BL3" s="2" t="s">
        <v>131</v>
      </c>
      <c r="BM3" s="2" t="s">
        <v>131</v>
      </c>
      <c r="BN3" s="2" t="s">
        <v>100</v>
      </c>
      <c r="BO3" s="39" t="s">
        <v>74</v>
      </c>
      <c r="BP3" s="39"/>
      <c r="BQ3" s="2" t="s">
        <v>74</v>
      </c>
      <c r="BR3" s="2" t="s">
        <v>132</v>
      </c>
      <c r="BS3" s="2" t="s">
        <v>980</v>
      </c>
      <c r="BT3" s="2" t="s">
        <v>133</v>
      </c>
      <c r="BU3" s="2" t="s">
        <v>738</v>
      </c>
      <c r="BV3" s="2" t="s">
        <v>83</v>
      </c>
      <c r="BW3" s="2" t="s">
        <v>83</v>
      </c>
      <c r="BX3" s="8"/>
      <c r="BY3" s="2" t="s">
        <v>103</v>
      </c>
      <c r="BZ3" s="2" t="s">
        <v>103</v>
      </c>
      <c r="CA3" s="2" t="s">
        <v>134</v>
      </c>
      <c r="CB3" s="38" t="s">
        <v>2188</v>
      </c>
      <c r="CC3" s="2" t="s">
        <v>135</v>
      </c>
      <c r="CD3" s="2" t="s">
        <v>135</v>
      </c>
      <c r="CE3" s="2" t="s">
        <v>136</v>
      </c>
      <c r="CF3" s="2" t="s">
        <v>136</v>
      </c>
      <c r="CG3" s="2" t="s">
        <v>137</v>
      </c>
      <c r="CH3" s="2" t="s">
        <v>138</v>
      </c>
      <c r="CI3" s="2" t="s">
        <v>139</v>
      </c>
      <c r="CJ3" s="2" t="s">
        <v>140</v>
      </c>
      <c r="CK3" s="2" t="s">
        <v>83</v>
      </c>
      <c r="CL3" s="2" t="s">
        <v>141</v>
      </c>
      <c r="CM3" s="10" t="s">
        <v>142</v>
      </c>
      <c r="CN3" s="2" t="s">
        <v>143</v>
      </c>
      <c r="CO3" s="2" t="s">
        <v>143</v>
      </c>
      <c r="CP3" s="2" t="s">
        <v>144</v>
      </c>
      <c r="CQ3" s="8"/>
      <c r="CR3" s="2" t="s">
        <v>74</v>
      </c>
      <c r="CS3" s="8"/>
      <c r="CU3" s="8"/>
      <c r="CV3" s="8"/>
      <c r="CW3" s="8"/>
      <c r="CX3" s="8"/>
      <c r="CY3" s="8"/>
      <c r="CZ3" s="8"/>
      <c r="DA3" s="8"/>
      <c r="DB3" s="8"/>
      <c r="DC3" s="8"/>
      <c r="DD3" s="8"/>
      <c r="DE3" s="8"/>
      <c r="DF3" s="8"/>
      <c r="DG3" s="8"/>
      <c r="DH3" s="8"/>
      <c r="DI3" s="8"/>
      <c r="DJ3" s="8"/>
      <c r="DK3" s="8"/>
      <c r="DL3" s="8"/>
    </row>
    <row r="4" spans="1:116" ht="15.75" customHeight="1">
      <c r="A4" s="8">
        <v>3</v>
      </c>
      <c r="B4" s="2" t="s">
        <v>145</v>
      </c>
      <c r="C4" s="2" t="s">
        <v>69</v>
      </c>
      <c r="D4" s="2" t="s">
        <v>70</v>
      </c>
      <c r="E4" s="9">
        <v>43646.843472754626</v>
      </c>
      <c r="F4" s="2" t="s">
        <v>146</v>
      </c>
      <c r="G4" s="2" t="s">
        <v>147</v>
      </c>
      <c r="H4" s="2" t="s">
        <v>148</v>
      </c>
      <c r="I4" s="2" t="s">
        <v>74</v>
      </c>
      <c r="J4" s="10" t="s">
        <v>149</v>
      </c>
      <c r="K4" s="2" t="s">
        <v>150</v>
      </c>
      <c r="L4" s="2" t="s">
        <v>151</v>
      </c>
      <c r="M4" s="2" t="s">
        <v>152</v>
      </c>
      <c r="N4" s="2" t="s">
        <v>152</v>
      </c>
      <c r="O4" s="2" t="s">
        <v>153</v>
      </c>
      <c r="P4" s="2" t="s">
        <v>154</v>
      </c>
      <c r="Q4" s="2" t="s">
        <v>155</v>
      </c>
      <c r="R4" s="2" t="s">
        <v>118</v>
      </c>
      <c r="S4" s="2" t="s">
        <v>118</v>
      </c>
      <c r="T4" s="2">
        <v>2017</v>
      </c>
      <c r="U4" s="2" t="s">
        <v>107</v>
      </c>
      <c r="V4" s="2" t="s">
        <v>83</v>
      </c>
      <c r="W4" s="2" t="s">
        <v>83</v>
      </c>
      <c r="X4" s="8"/>
      <c r="Y4" s="8"/>
      <c r="Z4" s="2" t="s">
        <v>156</v>
      </c>
      <c r="AA4" s="2" t="s">
        <v>156</v>
      </c>
      <c r="AB4" s="2" t="s">
        <v>157</v>
      </c>
      <c r="AC4" s="38" t="s">
        <v>85</v>
      </c>
      <c r="AD4" s="2" t="s">
        <v>158</v>
      </c>
      <c r="AE4" s="2" t="s">
        <v>159</v>
      </c>
      <c r="AF4" s="2" t="s">
        <v>159</v>
      </c>
      <c r="AG4" s="2" t="s">
        <v>160</v>
      </c>
      <c r="AH4" s="2" t="s">
        <v>160</v>
      </c>
      <c r="AI4" s="2" t="s">
        <v>161</v>
      </c>
      <c r="AJ4" s="2" t="s">
        <v>161</v>
      </c>
      <c r="AK4" s="2" t="s">
        <v>83</v>
      </c>
      <c r="AL4" s="2" t="s">
        <v>83</v>
      </c>
      <c r="AM4" s="8"/>
      <c r="AN4" s="2" t="s">
        <v>125</v>
      </c>
      <c r="AO4" s="2" t="s">
        <v>126</v>
      </c>
      <c r="AP4" s="2" t="s">
        <v>126</v>
      </c>
      <c r="AQ4" s="2" t="s">
        <v>127</v>
      </c>
      <c r="AR4" s="2" t="s">
        <v>127</v>
      </c>
      <c r="AS4" s="2" t="s">
        <v>162</v>
      </c>
      <c r="AT4" s="2" t="s">
        <v>162</v>
      </c>
      <c r="AU4" s="2" t="s">
        <v>93</v>
      </c>
      <c r="AV4" s="2" t="s">
        <v>93</v>
      </c>
      <c r="AW4" s="2" t="s">
        <v>163</v>
      </c>
      <c r="AX4" s="2" t="s">
        <v>163</v>
      </c>
      <c r="AY4" s="2" t="s">
        <v>74</v>
      </c>
      <c r="AZ4" s="2" t="s">
        <v>74</v>
      </c>
      <c r="BA4" s="2" t="s">
        <v>164</v>
      </c>
      <c r="BB4" s="2" t="s">
        <v>164</v>
      </c>
      <c r="BC4" s="2" t="s">
        <v>83</v>
      </c>
      <c r="BD4" s="2" t="s">
        <v>74</v>
      </c>
      <c r="BE4" s="2" t="s">
        <v>74</v>
      </c>
      <c r="BF4" s="2" t="s">
        <v>74</v>
      </c>
      <c r="BG4" s="2" t="s">
        <v>74</v>
      </c>
      <c r="BH4" s="2" t="s">
        <v>97</v>
      </c>
      <c r="BI4" s="2" t="s">
        <v>97</v>
      </c>
      <c r="BJ4" s="2" t="s">
        <v>92</v>
      </c>
      <c r="BK4" s="2" t="s">
        <v>92</v>
      </c>
      <c r="BL4" s="2" t="s">
        <v>165</v>
      </c>
      <c r="BM4" s="2" t="s">
        <v>165</v>
      </c>
      <c r="BN4" s="2" t="s">
        <v>166</v>
      </c>
      <c r="BO4" s="39" t="s">
        <v>83</v>
      </c>
      <c r="BP4" s="39"/>
      <c r="BQ4" s="2" t="s">
        <v>83</v>
      </c>
      <c r="BR4" s="2" t="s">
        <v>101</v>
      </c>
      <c r="BS4" s="2" t="s">
        <v>101</v>
      </c>
      <c r="BT4" s="2" t="s">
        <v>107</v>
      </c>
      <c r="BU4" s="2" t="s">
        <v>107</v>
      </c>
      <c r="BV4" s="2" t="s">
        <v>83</v>
      </c>
      <c r="BW4" s="2" t="s">
        <v>83</v>
      </c>
      <c r="BX4" s="8"/>
      <c r="BY4" s="2" t="s">
        <v>107</v>
      </c>
      <c r="BZ4" s="2" t="s">
        <v>107</v>
      </c>
      <c r="CA4" s="2" t="s">
        <v>167</v>
      </c>
      <c r="CB4" s="2" t="s">
        <v>167</v>
      </c>
      <c r="CC4" s="2" t="s">
        <v>168</v>
      </c>
      <c r="CD4" s="2" t="s">
        <v>168</v>
      </c>
      <c r="CE4" s="2" t="s">
        <v>136</v>
      </c>
      <c r="CF4" s="2" t="s">
        <v>136</v>
      </c>
      <c r="CG4" s="2" t="s">
        <v>169</v>
      </c>
      <c r="CH4" s="2" t="s">
        <v>170</v>
      </c>
      <c r="CI4" s="2" t="s">
        <v>171</v>
      </c>
      <c r="CJ4" s="2" t="s">
        <v>172</v>
      </c>
      <c r="CK4" s="2" t="s">
        <v>74</v>
      </c>
      <c r="CL4" s="2" t="s">
        <v>141</v>
      </c>
      <c r="CM4" s="8"/>
      <c r="CN4" s="2" t="s">
        <v>143</v>
      </c>
      <c r="CO4" s="2" t="s">
        <v>143</v>
      </c>
      <c r="CP4" s="2" t="s">
        <v>173</v>
      </c>
      <c r="CQ4" s="8"/>
      <c r="CR4" s="2" t="s">
        <v>74</v>
      </c>
      <c r="CS4" s="8"/>
      <c r="CU4" s="8"/>
      <c r="CV4" s="8"/>
      <c r="CW4" s="8"/>
      <c r="CX4" s="8"/>
      <c r="CY4" s="8"/>
      <c r="CZ4" s="8"/>
      <c r="DA4" s="8"/>
      <c r="DB4" s="8"/>
      <c r="DC4" s="8"/>
      <c r="DD4" s="8"/>
      <c r="DE4" s="8"/>
      <c r="DF4" s="8"/>
      <c r="DG4" s="8"/>
      <c r="DH4" s="8"/>
      <c r="DI4" s="8"/>
      <c r="DJ4" s="8"/>
      <c r="DK4" s="8"/>
      <c r="DL4" s="8"/>
    </row>
    <row r="5" spans="1:116" ht="15.75" customHeight="1">
      <c r="A5" s="8">
        <v>4</v>
      </c>
      <c r="B5" s="8" t="s">
        <v>174</v>
      </c>
      <c r="C5" s="119" t="s">
        <v>69</v>
      </c>
      <c r="D5" s="2" t="s">
        <v>70</v>
      </c>
      <c r="E5" s="9">
        <v>43648.642050324073</v>
      </c>
      <c r="F5" s="2" t="s">
        <v>177</v>
      </c>
      <c r="G5" s="2" t="s">
        <v>178</v>
      </c>
      <c r="H5" s="2" t="s">
        <v>179</v>
      </c>
      <c r="I5" s="2" t="s">
        <v>74</v>
      </c>
      <c r="J5" s="10" t="s">
        <v>186</v>
      </c>
      <c r="K5" s="2" t="s">
        <v>178</v>
      </c>
      <c r="L5" s="2" t="s">
        <v>198</v>
      </c>
      <c r="M5" s="2" t="s">
        <v>152</v>
      </c>
      <c r="N5" s="2" t="s">
        <v>152</v>
      </c>
      <c r="O5" s="2" t="s">
        <v>199</v>
      </c>
      <c r="P5" s="2" t="s">
        <v>200</v>
      </c>
      <c r="Q5" s="2" t="s">
        <v>201</v>
      </c>
      <c r="R5" s="2" t="s">
        <v>81</v>
      </c>
      <c r="S5" s="2" t="s">
        <v>81</v>
      </c>
      <c r="T5" s="2">
        <v>2018</v>
      </c>
      <c r="U5" s="2" t="s">
        <v>82</v>
      </c>
      <c r="V5" s="2" t="s">
        <v>74</v>
      </c>
      <c r="W5" s="2" t="s">
        <v>74</v>
      </c>
      <c r="X5" s="2" t="s">
        <v>119</v>
      </c>
      <c r="Y5" s="2" t="s">
        <v>119</v>
      </c>
      <c r="Z5" s="2" t="s">
        <v>202</v>
      </c>
      <c r="AA5" s="2" t="s">
        <v>202</v>
      </c>
      <c r="AB5" s="2" t="s">
        <v>120</v>
      </c>
      <c r="AC5" s="2" t="s">
        <v>120</v>
      </c>
      <c r="AD5" s="2" t="s">
        <v>74</v>
      </c>
      <c r="AE5" s="2" t="s">
        <v>203</v>
      </c>
      <c r="AF5" s="2" t="s">
        <v>203</v>
      </c>
      <c r="AG5" s="2" t="s">
        <v>204</v>
      </c>
      <c r="AH5" s="2" t="s">
        <v>204</v>
      </c>
      <c r="AI5" s="2" t="s">
        <v>161</v>
      </c>
      <c r="AJ5" s="2" t="s">
        <v>161</v>
      </c>
      <c r="AK5" s="2" t="s">
        <v>107</v>
      </c>
      <c r="AL5" s="2" t="s">
        <v>107</v>
      </c>
      <c r="AM5" s="8"/>
      <c r="AN5" s="2" t="s">
        <v>205</v>
      </c>
      <c r="AO5" s="2" t="s">
        <v>126</v>
      </c>
      <c r="AP5" s="2" t="s">
        <v>126</v>
      </c>
      <c r="AQ5" s="2" t="s">
        <v>206</v>
      </c>
      <c r="AR5" s="2" t="s">
        <v>206</v>
      </c>
      <c r="AS5" s="2" t="s">
        <v>207</v>
      </c>
      <c r="AT5" s="2" t="s">
        <v>207</v>
      </c>
      <c r="AU5" s="2" t="s">
        <v>93</v>
      </c>
      <c r="AV5" s="2" t="s">
        <v>93</v>
      </c>
      <c r="AW5" s="2" t="s">
        <v>107</v>
      </c>
      <c r="AX5" s="2" t="s">
        <v>107</v>
      </c>
      <c r="AY5" s="2" t="s">
        <v>74</v>
      </c>
      <c r="AZ5" s="2" t="s">
        <v>74</v>
      </c>
      <c r="BA5" s="2" t="s">
        <v>96</v>
      </c>
      <c r="BB5" s="2" t="s">
        <v>96</v>
      </c>
      <c r="BC5" s="2" t="s">
        <v>208</v>
      </c>
      <c r="BD5" s="2" t="s">
        <v>74</v>
      </c>
      <c r="BE5" s="2" t="s">
        <v>74</v>
      </c>
      <c r="BF5" s="2" t="s">
        <v>74</v>
      </c>
      <c r="BG5" s="2" t="s">
        <v>74</v>
      </c>
      <c r="BH5" s="2" t="s">
        <v>97</v>
      </c>
      <c r="BI5" s="2" t="s">
        <v>97</v>
      </c>
      <c r="BJ5" s="2" t="s">
        <v>209</v>
      </c>
      <c r="BK5" s="2" t="s">
        <v>738</v>
      </c>
      <c r="BL5" s="2" t="s">
        <v>210</v>
      </c>
      <c r="BM5" s="2" t="s">
        <v>210</v>
      </c>
      <c r="BN5" s="2" t="s">
        <v>210</v>
      </c>
      <c r="BO5" s="38" t="s">
        <v>2088</v>
      </c>
      <c r="BP5" s="2"/>
      <c r="BQ5" s="2" t="s">
        <v>107</v>
      </c>
      <c r="BR5" s="2" t="s">
        <v>210</v>
      </c>
      <c r="BS5" s="38" t="s">
        <v>2088</v>
      </c>
      <c r="BT5" s="2" t="s">
        <v>210</v>
      </c>
      <c r="BU5" s="38" t="s">
        <v>2088</v>
      </c>
      <c r="BV5" s="2" t="s">
        <v>210</v>
      </c>
      <c r="BW5" s="38" t="s">
        <v>2088</v>
      </c>
      <c r="BX5" s="8"/>
      <c r="BY5" s="2" t="s">
        <v>210</v>
      </c>
      <c r="BZ5" s="38" t="s">
        <v>2219</v>
      </c>
      <c r="CA5" s="2" t="s">
        <v>211</v>
      </c>
      <c r="CB5" s="2" t="s">
        <v>211</v>
      </c>
      <c r="CC5" s="2" t="s">
        <v>168</v>
      </c>
      <c r="CD5" s="2" t="s">
        <v>168</v>
      </c>
      <c r="CE5" s="2" t="s">
        <v>168</v>
      </c>
      <c r="CF5" s="2" t="s">
        <v>168</v>
      </c>
      <c r="CG5" s="8"/>
      <c r="CH5" s="2" t="s">
        <v>212</v>
      </c>
      <c r="CI5" s="2" t="s">
        <v>139</v>
      </c>
      <c r="CJ5" s="2" t="s">
        <v>139</v>
      </c>
      <c r="CK5" s="2" t="s">
        <v>74</v>
      </c>
      <c r="CL5" s="2" t="s">
        <v>141</v>
      </c>
      <c r="CM5" s="8"/>
      <c r="CN5" s="2" t="s">
        <v>213</v>
      </c>
      <c r="CO5" s="2" t="s">
        <v>213</v>
      </c>
      <c r="CP5" s="2" t="s">
        <v>107</v>
      </c>
      <c r="CQ5" s="8"/>
      <c r="CR5" s="2" t="s">
        <v>74</v>
      </c>
      <c r="CS5" s="8"/>
      <c r="CT5" s="21"/>
      <c r="CU5" s="8"/>
      <c r="CV5" s="8"/>
      <c r="CW5" s="8"/>
      <c r="CX5" s="8"/>
      <c r="CY5" s="8"/>
      <c r="CZ5" s="8"/>
      <c r="DA5" s="8"/>
      <c r="DB5" s="8"/>
      <c r="DC5" s="8"/>
      <c r="DD5" s="8"/>
      <c r="DE5" s="8"/>
      <c r="DF5" s="8"/>
      <c r="DG5" s="8"/>
      <c r="DH5" s="8"/>
      <c r="DI5" s="8"/>
      <c r="DJ5" s="8"/>
      <c r="DK5" s="8"/>
      <c r="DL5" s="8"/>
    </row>
    <row r="6" spans="1:116" ht="15.75" customHeight="1">
      <c r="A6" s="8">
        <v>5</v>
      </c>
      <c r="B6" s="8" t="s">
        <v>214</v>
      </c>
      <c r="C6" s="2" t="s">
        <v>69</v>
      </c>
      <c r="D6" s="2" t="s">
        <v>70</v>
      </c>
      <c r="E6" s="9">
        <v>43648.783036539353</v>
      </c>
      <c r="F6" s="2" t="s">
        <v>215</v>
      </c>
      <c r="G6" s="2" t="s">
        <v>216</v>
      </c>
      <c r="H6" s="10" t="s">
        <v>217</v>
      </c>
      <c r="I6" s="2" t="s">
        <v>74</v>
      </c>
      <c r="J6" s="2" t="s">
        <v>218</v>
      </c>
      <c r="K6" s="2" t="s">
        <v>219</v>
      </c>
      <c r="L6" s="2" t="s">
        <v>220</v>
      </c>
      <c r="M6" s="2" t="s">
        <v>152</v>
      </c>
      <c r="N6" s="2" t="s">
        <v>152</v>
      </c>
      <c r="O6" s="2" t="s">
        <v>199</v>
      </c>
      <c r="P6" s="2" t="s">
        <v>221</v>
      </c>
      <c r="Q6" s="2" t="s">
        <v>222</v>
      </c>
      <c r="R6" s="2" t="s">
        <v>81</v>
      </c>
      <c r="S6" s="2" t="s">
        <v>81</v>
      </c>
      <c r="T6" s="2">
        <v>2013</v>
      </c>
      <c r="U6" s="2" t="s">
        <v>82</v>
      </c>
      <c r="V6" s="2" t="s">
        <v>95</v>
      </c>
      <c r="W6" s="2" t="s">
        <v>95</v>
      </c>
      <c r="X6" s="2" t="s">
        <v>223</v>
      </c>
      <c r="Y6" s="38" t="s">
        <v>282</v>
      </c>
      <c r="Z6" s="2" t="s">
        <v>84</v>
      </c>
      <c r="AA6" s="2" t="s">
        <v>84</v>
      </c>
      <c r="AB6" s="2" t="s">
        <v>120</v>
      </c>
      <c r="AC6" s="2" t="s">
        <v>120</v>
      </c>
      <c r="AD6" s="2" t="s">
        <v>74</v>
      </c>
      <c r="AE6" s="2" t="s">
        <v>224</v>
      </c>
      <c r="AF6" s="2" t="s">
        <v>224</v>
      </c>
      <c r="AG6" s="2" t="s">
        <v>190</v>
      </c>
      <c r="AH6" s="2" t="s">
        <v>190</v>
      </c>
      <c r="AI6" s="2" t="s">
        <v>88</v>
      </c>
      <c r="AJ6" s="2" t="s">
        <v>88</v>
      </c>
      <c r="AK6" s="2" t="s">
        <v>225</v>
      </c>
      <c r="AL6" s="38" t="s">
        <v>2149</v>
      </c>
      <c r="AM6" s="8"/>
      <c r="AN6" s="2" t="s">
        <v>89</v>
      </c>
      <c r="AO6" s="2" t="s">
        <v>90</v>
      </c>
      <c r="AP6" s="2" t="s">
        <v>90</v>
      </c>
      <c r="AQ6" s="2" t="s">
        <v>226</v>
      </c>
      <c r="AR6" s="2" t="s">
        <v>2154</v>
      </c>
      <c r="AS6" s="2" t="s">
        <v>227</v>
      </c>
      <c r="AT6" s="2" t="s">
        <v>227</v>
      </c>
      <c r="AU6" s="2" t="s">
        <v>93</v>
      </c>
      <c r="AV6" s="2" t="s">
        <v>93</v>
      </c>
      <c r="AW6" s="2" t="s">
        <v>163</v>
      </c>
      <c r="AX6" s="2" t="s">
        <v>163</v>
      </c>
      <c r="AY6" s="2" t="s">
        <v>74</v>
      </c>
      <c r="AZ6" s="2" t="s">
        <v>74</v>
      </c>
      <c r="BA6" s="2" t="s">
        <v>228</v>
      </c>
      <c r="BB6" s="2" t="s">
        <v>96</v>
      </c>
      <c r="BC6" s="2" t="s">
        <v>74</v>
      </c>
      <c r="BD6" s="2" t="s">
        <v>95</v>
      </c>
      <c r="BE6" s="2" t="s">
        <v>83</v>
      </c>
      <c r="BF6" s="2" t="s">
        <v>74</v>
      </c>
      <c r="BG6" s="2" t="s">
        <v>74</v>
      </c>
      <c r="BH6" s="2" t="s">
        <v>97</v>
      </c>
      <c r="BI6" s="2" t="s">
        <v>97</v>
      </c>
      <c r="BJ6" s="2" t="s">
        <v>130</v>
      </c>
      <c r="BK6" s="2" t="s">
        <v>130</v>
      </c>
      <c r="BL6" s="2" t="s">
        <v>229</v>
      </c>
      <c r="BM6" s="2" t="s">
        <v>229</v>
      </c>
      <c r="BN6" s="2" t="s">
        <v>230</v>
      </c>
      <c r="BO6" s="39" t="s">
        <v>74</v>
      </c>
      <c r="BP6" s="39"/>
      <c r="BQ6" s="2" t="s">
        <v>74</v>
      </c>
      <c r="BR6" s="2" t="s">
        <v>231</v>
      </c>
      <c r="BS6" s="38" t="s">
        <v>101</v>
      </c>
      <c r="BT6" s="2" t="s">
        <v>102</v>
      </c>
      <c r="BU6" s="2" t="s">
        <v>102</v>
      </c>
      <c r="BV6" s="2" t="s">
        <v>83</v>
      </c>
      <c r="BW6" s="2" t="s">
        <v>83</v>
      </c>
      <c r="BX6" s="8"/>
      <c r="BY6" s="2" t="s">
        <v>103</v>
      </c>
      <c r="BZ6" s="2" t="s">
        <v>103</v>
      </c>
      <c r="CA6" s="2" t="s">
        <v>233</v>
      </c>
      <c r="CB6" s="2" t="s">
        <v>233</v>
      </c>
      <c r="CC6" s="2" t="s">
        <v>233</v>
      </c>
      <c r="CD6" s="2" t="s">
        <v>233</v>
      </c>
      <c r="CE6" s="2" t="s">
        <v>233</v>
      </c>
      <c r="CF6" s="2" t="s">
        <v>233</v>
      </c>
      <c r="CG6" s="8"/>
      <c r="CH6" s="2" t="s">
        <v>138</v>
      </c>
      <c r="CI6" s="2" t="s">
        <v>234</v>
      </c>
      <c r="CJ6" s="2" t="s">
        <v>235</v>
      </c>
      <c r="CK6" s="2" t="s">
        <v>83</v>
      </c>
      <c r="CL6" s="2" t="s">
        <v>141</v>
      </c>
      <c r="CM6" s="10" t="s">
        <v>236</v>
      </c>
      <c r="CN6" s="2" t="s">
        <v>237</v>
      </c>
      <c r="CO6" s="2" t="s">
        <v>237</v>
      </c>
      <c r="CP6" s="2" t="s">
        <v>238</v>
      </c>
      <c r="CQ6" s="8"/>
      <c r="CR6" s="2" t="s">
        <v>74</v>
      </c>
      <c r="CS6" s="8"/>
      <c r="CU6" s="8"/>
      <c r="CV6" s="8"/>
      <c r="CW6" s="8"/>
      <c r="CX6" s="8"/>
      <c r="CY6" s="8"/>
      <c r="CZ6" s="8"/>
      <c r="DA6" s="8"/>
      <c r="DB6" s="8"/>
      <c r="DC6" s="8"/>
      <c r="DD6" s="8"/>
      <c r="DE6" s="8"/>
      <c r="DF6" s="8"/>
      <c r="DG6" s="8"/>
      <c r="DH6" s="8"/>
      <c r="DI6" s="8"/>
      <c r="DJ6" s="8"/>
      <c r="DK6" s="8"/>
      <c r="DL6" s="8"/>
    </row>
    <row r="7" spans="1:116" ht="15.75" customHeight="1">
      <c r="A7" s="8">
        <v>6</v>
      </c>
      <c r="B7" s="4" t="s">
        <v>242</v>
      </c>
      <c r="C7" s="14" t="s">
        <v>69</v>
      </c>
      <c r="D7" s="9" t="s">
        <v>246</v>
      </c>
      <c r="E7" s="15">
        <v>43650.731530381949</v>
      </c>
      <c r="F7" s="16" t="s">
        <v>247</v>
      </c>
      <c r="G7" s="16" t="s">
        <v>248</v>
      </c>
      <c r="H7" s="16" t="s">
        <v>249</v>
      </c>
      <c r="I7" s="16" t="s">
        <v>83</v>
      </c>
      <c r="J7" s="17" t="s">
        <v>250</v>
      </c>
      <c r="K7" s="16" t="s">
        <v>251</v>
      </c>
      <c r="L7" s="124" t="s">
        <v>252</v>
      </c>
      <c r="M7" s="16" t="s">
        <v>152</v>
      </c>
      <c r="N7" s="16" t="s">
        <v>152</v>
      </c>
      <c r="O7" s="16" t="s">
        <v>199</v>
      </c>
      <c r="P7" s="16" t="s">
        <v>253</v>
      </c>
      <c r="Q7" s="16" t="s">
        <v>254</v>
      </c>
      <c r="R7" s="16" t="s">
        <v>255</v>
      </c>
      <c r="S7" s="38" t="s">
        <v>2116</v>
      </c>
      <c r="T7" s="16">
        <v>2017</v>
      </c>
      <c r="U7" s="16" t="s">
        <v>82</v>
      </c>
      <c r="V7" s="16" t="s">
        <v>74</v>
      </c>
      <c r="W7" s="16" t="s">
        <v>74</v>
      </c>
      <c r="X7" s="16" t="s">
        <v>256</v>
      </c>
      <c r="Y7" s="16" t="s">
        <v>256</v>
      </c>
      <c r="Z7" s="16" t="s">
        <v>257</v>
      </c>
      <c r="AA7" s="16" t="s">
        <v>257</v>
      </c>
      <c r="AB7" s="16" t="s">
        <v>258</v>
      </c>
      <c r="AC7" s="16" t="s">
        <v>258</v>
      </c>
      <c r="AD7" s="16" t="s">
        <v>74</v>
      </c>
      <c r="AE7" s="16" t="s">
        <v>259</v>
      </c>
      <c r="AF7" s="16" t="s">
        <v>259</v>
      </c>
      <c r="AG7" s="16" t="s">
        <v>260</v>
      </c>
      <c r="AH7" s="16" t="s">
        <v>260</v>
      </c>
      <c r="AI7" s="16" t="s">
        <v>261</v>
      </c>
      <c r="AJ7" s="16" t="s">
        <v>261</v>
      </c>
      <c r="AK7" s="16" t="s">
        <v>74</v>
      </c>
      <c r="AL7" s="16" t="s">
        <v>74</v>
      </c>
      <c r="AM7" s="16" t="s">
        <v>262</v>
      </c>
      <c r="AN7" s="16" t="s">
        <v>205</v>
      </c>
      <c r="AO7" s="16" t="s">
        <v>126</v>
      </c>
      <c r="AP7" s="16" t="s">
        <v>126</v>
      </c>
      <c r="AQ7" s="16" t="s">
        <v>263</v>
      </c>
      <c r="AR7" s="16" t="s">
        <v>263</v>
      </c>
      <c r="AS7" s="16" t="s">
        <v>162</v>
      </c>
      <c r="AT7" s="16" t="s">
        <v>162</v>
      </c>
      <c r="AU7" s="16" t="s">
        <v>93</v>
      </c>
      <c r="AV7" s="16" t="s">
        <v>93</v>
      </c>
      <c r="AW7" s="16" t="s">
        <v>264</v>
      </c>
      <c r="AX7" s="16" t="s">
        <v>264</v>
      </c>
      <c r="AY7" s="16" t="s">
        <v>74</v>
      </c>
      <c r="AZ7" s="16" t="s">
        <v>74</v>
      </c>
      <c r="BA7" s="16" t="s">
        <v>265</v>
      </c>
      <c r="BB7" s="16" t="s">
        <v>265</v>
      </c>
      <c r="BC7" s="16" t="s">
        <v>83</v>
      </c>
      <c r="BD7" s="16" t="s">
        <v>95</v>
      </c>
      <c r="BE7" s="16" t="s">
        <v>74</v>
      </c>
      <c r="BF7" s="16" t="s">
        <v>74</v>
      </c>
      <c r="BG7" s="16" t="s">
        <v>74</v>
      </c>
      <c r="BH7" s="16" t="s">
        <v>97</v>
      </c>
      <c r="BI7" s="16" t="s">
        <v>97</v>
      </c>
      <c r="BJ7" s="16" t="s">
        <v>92</v>
      </c>
      <c r="BK7" s="16" t="s">
        <v>92</v>
      </c>
      <c r="BL7" s="16" t="s">
        <v>266</v>
      </c>
      <c r="BM7" s="16" t="s">
        <v>266</v>
      </c>
      <c r="BN7" s="16" t="s">
        <v>267</v>
      </c>
      <c r="BO7" s="39" t="s">
        <v>74</v>
      </c>
      <c r="BP7" s="39"/>
      <c r="BQ7" s="16" t="s">
        <v>74</v>
      </c>
      <c r="BR7" s="16" t="s">
        <v>101</v>
      </c>
      <c r="BS7" s="16" t="s">
        <v>101</v>
      </c>
      <c r="BT7" s="16" t="s">
        <v>107</v>
      </c>
      <c r="BU7" s="16" t="s">
        <v>107</v>
      </c>
      <c r="BV7" s="16" t="s">
        <v>107</v>
      </c>
      <c r="BW7" s="16" t="s">
        <v>107</v>
      </c>
      <c r="BX7" s="4"/>
      <c r="BY7" s="16" t="s">
        <v>107</v>
      </c>
      <c r="BZ7" s="16" t="s">
        <v>107</v>
      </c>
      <c r="CA7" s="16" t="s">
        <v>268</v>
      </c>
      <c r="CB7" s="16" t="s">
        <v>268</v>
      </c>
      <c r="CC7" s="16" t="s">
        <v>168</v>
      </c>
      <c r="CD7" s="16" t="s">
        <v>168</v>
      </c>
      <c r="CE7" s="16" t="s">
        <v>269</v>
      </c>
      <c r="CF7" s="16" t="s">
        <v>269</v>
      </c>
      <c r="CG7" s="4"/>
      <c r="CH7" s="16" t="s">
        <v>233</v>
      </c>
      <c r="CI7" s="16" t="s">
        <v>233</v>
      </c>
      <c r="CJ7" s="16" t="s">
        <v>171</v>
      </c>
      <c r="CK7" s="16" t="s">
        <v>233</v>
      </c>
      <c r="CL7" s="16" t="s">
        <v>270</v>
      </c>
      <c r="CM7" s="4"/>
      <c r="CN7" s="16" t="s">
        <v>271</v>
      </c>
      <c r="CO7" s="16" t="s">
        <v>271</v>
      </c>
      <c r="CP7" s="16" t="s">
        <v>272</v>
      </c>
      <c r="CQ7" s="4"/>
      <c r="CR7" s="16" t="s">
        <v>74</v>
      </c>
      <c r="CS7" s="4"/>
      <c r="CU7" s="8"/>
      <c r="CV7" s="8"/>
      <c r="CW7" s="8"/>
      <c r="CX7" s="8"/>
      <c r="CY7" s="8"/>
      <c r="CZ7" s="8"/>
      <c r="DA7" s="8"/>
      <c r="DB7" s="8"/>
      <c r="DC7" s="8"/>
      <c r="DD7" s="8"/>
      <c r="DE7" s="8"/>
      <c r="DF7" s="8"/>
      <c r="DG7" s="8"/>
      <c r="DH7" s="8"/>
      <c r="DI7" s="8"/>
      <c r="DJ7" s="8"/>
      <c r="DK7" s="8"/>
      <c r="DL7" s="8"/>
    </row>
    <row r="8" spans="1:116" ht="15.75" customHeight="1">
      <c r="A8" s="8">
        <v>7</v>
      </c>
      <c r="B8" s="8"/>
      <c r="C8" s="2" t="s">
        <v>69</v>
      </c>
      <c r="D8" s="2" t="s">
        <v>70</v>
      </c>
      <c r="E8" s="9">
        <v>43651.924175659718</v>
      </c>
      <c r="F8" s="2" t="s">
        <v>273</v>
      </c>
      <c r="G8" s="2" t="s">
        <v>274</v>
      </c>
      <c r="H8" s="2" t="s">
        <v>275</v>
      </c>
      <c r="I8" s="2" t="s">
        <v>74</v>
      </c>
      <c r="J8" s="10" t="s">
        <v>276</v>
      </c>
      <c r="K8" s="2" t="s">
        <v>273</v>
      </c>
      <c r="L8" s="2" t="s">
        <v>277</v>
      </c>
      <c r="M8" s="2" t="s">
        <v>77</v>
      </c>
      <c r="N8" s="2" t="s">
        <v>77</v>
      </c>
      <c r="O8" s="2" t="s">
        <v>278</v>
      </c>
      <c r="P8" s="2" t="s">
        <v>279</v>
      </c>
      <c r="Q8" s="2" t="s">
        <v>280</v>
      </c>
      <c r="R8" s="2" t="s">
        <v>81</v>
      </c>
      <c r="S8" s="2" t="s">
        <v>81</v>
      </c>
      <c r="T8" s="2">
        <v>2017</v>
      </c>
      <c r="U8" s="2">
        <v>2017</v>
      </c>
      <c r="V8" s="2" t="s">
        <v>83</v>
      </c>
      <c r="W8" s="2" t="s">
        <v>83</v>
      </c>
      <c r="X8" s="2" t="s">
        <v>282</v>
      </c>
      <c r="Y8" s="2" t="s">
        <v>282</v>
      </c>
      <c r="Z8" s="2" t="s">
        <v>84</v>
      </c>
      <c r="AA8" s="2" t="s">
        <v>84</v>
      </c>
      <c r="AB8" s="38" t="s">
        <v>283</v>
      </c>
      <c r="AC8" s="38" t="s">
        <v>2130</v>
      </c>
      <c r="AD8" s="2" t="s">
        <v>74</v>
      </c>
      <c r="AE8" s="2" t="s">
        <v>86</v>
      </c>
      <c r="AF8" s="2" t="s">
        <v>86</v>
      </c>
      <c r="AG8" s="2" t="s">
        <v>190</v>
      </c>
      <c r="AH8" s="2" t="s">
        <v>190</v>
      </c>
      <c r="AI8" s="2" t="s">
        <v>161</v>
      </c>
      <c r="AJ8" s="2" t="s">
        <v>161</v>
      </c>
      <c r="AK8" s="2" t="s">
        <v>74</v>
      </c>
      <c r="AL8" s="2" t="s">
        <v>74</v>
      </c>
      <c r="AM8" s="2" t="s">
        <v>74</v>
      </c>
      <c r="AN8" s="2" t="s">
        <v>89</v>
      </c>
      <c r="AO8" s="2" t="s">
        <v>126</v>
      </c>
      <c r="AP8" s="2" t="s">
        <v>126</v>
      </c>
      <c r="AQ8" s="2" t="s">
        <v>32</v>
      </c>
      <c r="AR8" s="2" t="s">
        <v>32</v>
      </c>
      <c r="AS8" s="2" t="s">
        <v>92</v>
      </c>
      <c r="AT8" s="2" t="s">
        <v>92</v>
      </c>
      <c r="AU8" s="2" t="s">
        <v>284</v>
      </c>
      <c r="AV8" s="2" t="s">
        <v>284</v>
      </c>
      <c r="AW8" s="2" t="s">
        <v>264</v>
      </c>
      <c r="AX8" s="2" t="s">
        <v>264</v>
      </c>
      <c r="AY8" s="2" t="s">
        <v>74</v>
      </c>
      <c r="AZ8" s="2" t="s">
        <v>74</v>
      </c>
      <c r="BA8" s="2" t="s">
        <v>164</v>
      </c>
      <c r="BB8" s="2" t="s">
        <v>164</v>
      </c>
      <c r="BC8" s="2" t="s">
        <v>83</v>
      </c>
      <c r="BD8" s="2" t="s">
        <v>74</v>
      </c>
      <c r="BE8" s="2" t="s">
        <v>74</v>
      </c>
      <c r="BF8" s="2" t="s">
        <v>74</v>
      </c>
      <c r="BG8" s="2" t="s">
        <v>74</v>
      </c>
      <c r="BH8" s="2" t="s">
        <v>97</v>
      </c>
      <c r="BI8" s="2" t="s">
        <v>97</v>
      </c>
      <c r="BJ8" s="2" t="s">
        <v>92</v>
      </c>
      <c r="BK8" s="2" t="s">
        <v>92</v>
      </c>
      <c r="BL8" s="2" t="s">
        <v>285</v>
      </c>
      <c r="BM8" s="2" t="s">
        <v>285</v>
      </c>
      <c r="BN8" s="2" t="s">
        <v>233</v>
      </c>
      <c r="BO8" s="39" t="s">
        <v>2195</v>
      </c>
      <c r="BP8" s="39"/>
      <c r="BQ8" s="2" t="s">
        <v>74</v>
      </c>
      <c r="BR8" s="2" t="s">
        <v>101</v>
      </c>
      <c r="BS8" s="2" t="s">
        <v>101</v>
      </c>
      <c r="BT8" s="2" t="s">
        <v>286</v>
      </c>
      <c r="BU8" s="2" t="s">
        <v>286</v>
      </c>
      <c r="BV8" s="2" t="s">
        <v>74</v>
      </c>
      <c r="BW8" s="2" t="s">
        <v>74</v>
      </c>
      <c r="BX8" s="8"/>
      <c r="BY8" s="2" t="s">
        <v>233</v>
      </c>
      <c r="BZ8" s="2" t="s">
        <v>233</v>
      </c>
      <c r="CA8" s="2" t="s">
        <v>287</v>
      </c>
      <c r="CB8" s="2" t="s">
        <v>287</v>
      </c>
      <c r="CC8" s="2" t="s">
        <v>288</v>
      </c>
      <c r="CD8" s="2" t="s">
        <v>288</v>
      </c>
      <c r="CE8" s="2" t="s">
        <v>233</v>
      </c>
      <c r="CF8" s="2" t="s">
        <v>233</v>
      </c>
      <c r="CG8" s="2" t="s">
        <v>69</v>
      </c>
      <c r="CH8" s="2" t="s">
        <v>233</v>
      </c>
      <c r="CI8" s="2" t="s">
        <v>234</v>
      </c>
      <c r="CJ8" s="2" t="s">
        <v>172</v>
      </c>
      <c r="CK8" s="2" t="s">
        <v>74</v>
      </c>
      <c r="CL8" s="2" t="s">
        <v>141</v>
      </c>
      <c r="CM8" s="8"/>
      <c r="CN8" s="2" t="s">
        <v>143</v>
      </c>
      <c r="CO8" s="2" t="s">
        <v>143</v>
      </c>
      <c r="CP8" s="2" t="s">
        <v>238</v>
      </c>
      <c r="CQ8" s="8"/>
      <c r="CR8" s="2" t="s">
        <v>74</v>
      </c>
      <c r="CS8" s="8"/>
      <c r="CU8" s="8"/>
      <c r="CV8" s="8"/>
      <c r="CW8" s="8"/>
      <c r="CX8" s="8"/>
      <c r="CY8" s="8"/>
      <c r="CZ8" s="8"/>
      <c r="DA8" s="8"/>
      <c r="DB8" s="8"/>
      <c r="DC8" s="8"/>
      <c r="DD8" s="8"/>
      <c r="DE8" s="8"/>
      <c r="DF8" s="8"/>
      <c r="DG8" s="8"/>
      <c r="DH8" s="8"/>
      <c r="DI8" s="8"/>
      <c r="DJ8" s="8"/>
      <c r="DK8" s="8"/>
      <c r="DL8" s="8"/>
    </row>
    <row r="9" spans="1:116" ht="15.75" customHeight="1">
      <c r="A9" s="8">
        <v>8</v>
      </c>
      <c r="B9" s="8"/>
      <c r="C9" s="2" t="s">
        <v>69</v>
      </c>
      <c r="D9" s="2" t="s">
        <v>289</v>
      </c>
      <c r="E9" s="9">
        <v>43656.512883159725</v>
      </c>
      <c r="F9" s="2" t="s">
        <v>290</v>
      </c>
      <c r="G9" s="2" t="s">
        <v>291</v>
      </c>
      <c r="H9" s="2"/>
      <c r="I9" s="2" t="s">
        <v>83</v>
      </c>
      <c r="J9" s="10" t="s">
        <v>292</v>
      </c>
      <c r="K9" s="2" t="s">
        <v>293</v>
      </c>
      <c r="L9" s="2" t="s">
        <v>294</v>
      </c>
      <c r="M9" s="2" t="s">
        <v>152</v>
      </c>
      <c r="N9" s="2" t="s">
        <v>152</v>
      </c>
      <c r="O9" s="2" t="s">
        <v>295</v>
      </c>
      <c r="P9" s="2" t="s">
        <v>296</v>
      </c>
      <c r="Q9" s="2" t="s">
        <v>297</v>
      </c>
      <c r="R9" s="2" t="s">
        <v>298</v>
      </c>
      <c r="S9" s="2" t="s">
        <v>298</v>
      </c>
      <c r="T9" s="2">
        <v>2014</v>
      </c>
      <c r="U9" s="2" t="s">
        <v>82</v>
      </c>
      <c r="V9" s="2" t="s">
        <v>74</v>
      </c>
      <c r="W9" s="2" t="s">
        <v>74</v>
      </c>
      <c r="X9" s="2" t="s">
        <v>299</v>
      </c>
      <c r="Y9" s="38" t="s">
        <v>282</v>
      </c>
      <c r="Z9" s="2" t="s">
        <v>300</v>
      </c>
      <c r="AA9" s="2" t="s">
        <v>300</v>
      </c>
      <c r="AB9" s="2" t="s">
        <v>258</v>
      </c>
      <c r="AC9" s="2" t="s">
        <v>258</v>
      </c>
      <c r="AD9" s="2" t="s">
        <v>74</v>
      </c>
      <c r="AE9" s="2" t="s">
        <v>301</v>
      </c>
      <c r="AF9" s="2" t="s">
        <v>301</v>
      </c>
      <c r="AG9" s="2" t="s">
        <v>122</v>
      </c>
      <c r="AH9" s="2" t="s">
        <v>122</v>
      </c>
      <c r="AI9" s="2" t="s">
        <v>261</v>
      </c>
      <c r="AJ9" s="2" t="s">
        <v>261</v>
      </c>
      <c r="AK9" s="2" t="s">
        <v>74</v>
      </c>
      <c r="AL9" s="2" t="s">
        <v>74</v>
      </c>
      <c r="AM9" s="2" t="s">
        <v>302</v>
      </c>
      <c r="AN9" s="2" t="s">
        <v>303</v>
      </c>
      <c r="AO9" s="2" t="s">
        <v>90</v>
      </c>
      <c r="AP9" s="2" t="s">
        <v>90</v>
      </c>
      <c r="AQ9" s="2" t="s">
        <v>304</v>
      </c>
      <c r="AR9" s="2" t="s">
        <v>304</v>
      </c>
      <c r="AS9" s="2" t="s">
        <v>305</v>
      </c>
      <c r="AT9" s="2" t="s">
        <v>305</v>
      </c>
      <c r="AU9" s="2" t="s">
        <v>93</v>
      </c>
      <c r="AV9" s="2" t="s">
        <v>93</v>
      </c>
      <c r="AW9" s="2" t="s">
        <v>94</v>
      </c>
      <c r="AX9" s="2" t="s">
        <v>94</v>
      </c>
      <c r="AY9" s="2" t="s">
        <v>74</v>
      </c>
      <c r="AZ9" s="2" t="s">
        <v>74</v>
      </c>
      <c r="BA9" s="2" t="s">
        <v>306</v>
      </c>
      <c r="BB9" s="2" t="s">
        <v>306</v>
      </c>
      <c r="BC9" s="2" t="s">
        <v>74</v>
      </c>
      <c r="BD9" s="2" t="s">
        <v>74</v>
      </c>
      <c r="BE9" s="2" t="s">
        <v>74</v>
      </c>
      <c r="BF9" s="2" t="s">
        <v>74</v>
      </c>
      <c r="BG9" s="2" t="s">
        <v>74</v>
      </c>
      <c r="BH9" s="2" t="s">
        <v>97</v>
      </c>
      <c r="BI9" s="2" t="s">
        <v>97</v>
      </c>
      <c r="BJ9" s="2" t="s">
        <v>307</v>
      </c>
      <c r="BK9" s="2" t="s">
        <v>2165</v>
      </c>
      <c r="BL9" s="2" t="s">
        <v>308</v>
      </c>
      <c r="BM9" s="2" t="s">
        <v>308</v>
      </c>
      <c r="BN9" s="2" t="s">
        <v>309</v>
      </c>
      <c r="BO9" s="39" t="s">
        <v>74</v>
      </c>
      <c r="BP9" s="39"/>
      <c r="BQ9" s="2" t="s">
        <v>74</v>
      </c>
      <c r="BR9" s="2" t="s">
        <v>310</v>
      </c>
      <c r="BS9" s="38" t="s">
        <v>101</v>
      </c>
      <c r="BT9" s="2" t="s">
        <v>107</v>
      </c>
      <c r="BU9" s="2" t="s">
        <v>107</v>
      </c>
      <c r="BV9" s="2" t="s">
        <v>311</v>
      </c>
      <c r="BW9" s="38" t="s">
        <v>74</v>
      </c>
      <c r="BX9" s="8"/>
      <c r="BY9" s="2" t="s">
        <v>103</v>
      </c>
      <c r="BZ9" s="2" t="s">
        <v>103</v>
      </c>
      <c r="CA9" s="2" t="s">
        <v>312</v>
      </c>
      <c r="CB9" s="2" t="s">
        <v>312</v>
      </c>
      <c r="CC9" s="2" t="s">
        <v>105</v>
      </c>
      <c r="CD9" s="2" t="s">
        <v>105</v>
      </c>
      <c r="CE9" s="2" t="s">
        <v>313</v>
      </c>
      <c r="CF9" s="2" t="s">
        <v>313</v>
      </c>
      <c r="CG9" s="8"/>
      <c r="CH9" s="2" t="s">
        <v>107</v>
      </c>
      <c r="CI9" s="2" t="s">
        <v>314</v>
      </c>
      <c r="CJ9" s="2" t="s">
        <v>315</v>
      </c>
      <c r="CK9" s="2" t="s">
        <v>74</v>
      </c>
      <c r="CL9" s="2" t="s">
        <v>316</v>
      </c>
      <c r="CM9" s="8"/>
      <c r="CN9" s="2" t="s">
        <v>143</v>
      </c>
      <c r="CO9" s="2" t="s">
        <v>143</v>
      </c>
      <c r="CP9" s="2" t="s">
        <v>238</v>
      </c>
      <c r="CQ9" s="8"/>
      <c r="CR9" s="2" t="s">
        <v>74</v>
      </c>
      <c r="CS9" s="8"/>
      <c r="CU9" s="8"/>
      <c r="CV9" s="8"/>
      <c r="CW9" s="8"/>
      <c r="CX9" s="8"/>
      <c r="CY9" s="8"/>
      <c r="CZ9" s="8"/>
      <c r="DA9" s="8"/>
      <c r="DB9" s="8"/>
      <c r="DC9" s="8"/>
      <c r="DD9" s="8"/>
      <c r="DE9" s="8"/>
      <c r="DF9" s="8"/>
      <c r="DG9" s="8"/>
      <c r="DH9" s="8"/>
      <c r="DI9" s="8"/>
      <c r="DJ9" s="8"/>
      <c r="DK9" s="8"/>
      <c r="DL9" s="8"/>
    </row>
    <row r="10" spans="1:116" ht="15.75" customHeight="1">
      <c r="A10" s="8">
        <v>9</v>
      </c>
      <c r="B10" s="8"/>
      <c r="C10" s="2" t="s">
        <v>69</v>
      </c>
      <c r="D10" s="2" t="s">
        <v>70</v>
      </c>
      <c r="E10" s="9">
        <v>43656.768682199079</v>
      </c>
      <c r="F10" s="2" t="s">
        <v>317</v>
      </c>
      <c r="G10" s="2" t="s">
        <v>318</v>
      </c>
      <c r="H10" s="2" t="s">
        <v>319</v>
      </c>
      <c r="I10" s="2" t="s">
        <v>83</v>
      </c>
      <c r="J10" s="10" t="s">
        <v>321</v>
      </c>
      <c r="K10" s="2" t="s">
        <v>317</v>
      </c>
      <c r="L10" s="2" t="s">
        <v>327</v>
      </c>
      <c r="M10" s="2" t="s">
        <v>328</v>
      </c>
      <c r="N10" s="2" t="s">
        <v>328</v>
      </c>
      <c r="O10" s="2" t="s">
        <v>329</v>
      </c>
      <c r="P10" s="2" t="s">
        <v>330</v>
      </c>
      <c r="Q10" s="2" t="s">
        <v>331</v>
      </c>
      <c r="R10" s="2" t="s">
        <v>118</v>
      </c>
      <c r="S10" s="2" t="s">
        <v>118</v>
      </c>
      <c r="T10" s="2">
        <v>2015</v>
      </c>
      <c r="U10" s="2" t="s">
        <v>82</v>
      </c>
      <c r="V10" s="2" t="s">
        <v>74</v>
      </c>
      <c r="W10" s="2" t="s">
        <v>74</v>
      </c>
      <c r="X10" s="2" t="s">
        <v>256</v>
      </c>
      <c r="Y10" s="2" t="s">
        <v>256</v>
      </c>
      <c r="Z10" s="2" t="s">
        <v>84</v>
      </c>
      <c r="AA10" s="2" t="s">
        <v>84</v>
      </c>
      <c r="AB10" s="2" t="s">
        <v>332</v>
      </c>
      <c r="AC10" s="2" t="s">
        <v>332</v>
      </c>
      <c r="AD10" s="2" t="s">
        <v>74</v>
      </c>
      <c r="AE10" s="2" t="s">
        <v>333</v>
      </c>
      <c r="AF10" s="2" t="s">
        <v>333</v>
      </c>
      <c r="AG10" s="2" t="s">
        <v>260</v>
      </c>
      <c r="AH10" s="2" t="s">
        <v>260</v>
      </c>
      <c r="AI10" s="2" t="s">
        <v>261</v>
      </c>
      <c r="AJ10" s="2" t="s">
        <v>261</v>
      </c>
      <c r="AK10" s="2" t="s">
        <v>107</v>
      </c>
      <c r="AL10" s="2" t="s">
        <v>107</v>
      </c>
      <c r="AM10" s="8"/>
      <c r="AN10" s="2" t="s">
        <v>89</v>
      </c>
      <c r="AO10" s="2" t="s">
        <v>126</v>
      </c>
      <c r="AP10" s="2" t="s">
        <v>126</v>
      </c>
      <c r="AQ10" s="2" t="s">
        <v>334</v>
      </c>
      <c r="AR10" s="2" t="s">
        <v>334</v>
      </c>
      <c r="AS10" s="2" t="s">
        <v>162</v>
      </c>
      <c r="AT10" s="2" t="s">
        <v>162</v>
      </c>
      <c r="AU10" s="2" t="s">
        <v>284</v>
      </c>
      <c r="AV10" s="2" t="s">
        <v>284</v>
      </c>
      <c r="AW10" s="2" t="s">
        <v>163</v>
      </c>
      <c r="AX10" s="2" t="s">
        <v>163</v>
      </c>
      <c r="AY10" s="2" t="s">
        <v>74</v>
      </c>
      <c r="AZ10" s="2" t="s">
        <v>83</v>
      </c>
      <c r="BA10" s="2" t="s">
        <v>284</v>
      </c>
      <c r="BB10" s="2" t="s">
        <v>284</v>
      </c>
      <c r="BC10" s="2" t="s">
        <v>74</v>
      </c>
      <c r="BD10" s="2" t="s">
        <v>74</v>
      </c>
      <c r="BE10" s="2" t="s">
        <v>74</v>
      </c>
      <c r="BF10" s="2" t="s">
        <v>74</v>
      </c>
      <c r="BG10" s="2" t="s">
        <v>74</v>
      </c>
      <c r="BH10" s="2" t="s">
        <v>97</v>
      </c>
      <c r="BI10" s="2" t="s">
        <v>97</v>
      </c>
      <c r="BJ10" s="2" t="s">
        <v>130</v>
      </c>
      <c r="BK10" s="2" t="s">
        <v>130</v>
      </c>
      <c r="BL10" s="2" t="s">
        <v>308</v>
      </c>
      <c r="BM10" s="2" t="s">
        <v>308</v>
      </c>
      <c r="BN10" s="2" t="s">
        <v>336</v>
      </c>
      <c r="BO10" s="39" t="s">
        <v>74</v>
      </c>
      <c r="BP10" s="39"/>
      <c r="BQ10" s="2" t="s">
        <v>74</v>
      </c>
      <c r="BR10" s="2" t="s">
        <v>337</v>
      </c>
      <c r="BS10" s="2" t="s">
        <v>980</v>
      </c>
      <c r="BT10" s="2" t="s">
        <v>107</v>
      </c>
      <c r="BU10" s="2" t="s">
        <v>107</v>
      </c>
      <c r="BV10" s="2" t="s">
        <v>83</v>
      </c>
      <c r="BW10" s="2" t="s">
        <v>83</v>
      </c>
      <c r="BX10" s="8"/>
      <c r="BY10" s="2" t="s">
        <v>103</v>
      </c>
      <c r="BZ10" s="2" t="s">
        <v>103</v>
      </c>
      <c r="CA10" s="2" t="s">
        <v>167</v>
      </c>
      <c r="CB10" s="2" t="s">
        <v>167</v>
      </c>
      <c r="CC10" s="2" t="s">
        <v>339</v>
      </c>
      <c r="CD10" s="2" t="s">
        <v>339</v>
      </c>
      <c r="CE10" s="2" t="s">
        <v>233</v>
      </c>
      <c r="CF10" s="2" t="s">
        <v>233</v>
      </c>
      <c r="CG10" s="8"/>
      <c r="CH10" s="2" t="s">
        <v>107</v>
      </c>
      <c r="CI10" s="2" t="s">
        <v>108</v>
      </c>
      <c r="CJ10" s="2" t="s">
        <v>341</v>
      </c>
      <c r="CK10" s="2" t="s">
        <v>83</v>
      </c>
      <c r="CL10" s="2">
        <v>0</v>
      </c>
      <c r="CM10" s="8"/>
      <c r="CN10" s="2" t="s">
        <v>233</v>
      </c>
      <c r="CO10" s="2" t="s">
        <v>233</v>
      </c>
      <c r="CP10" s="2" t="s">
        <v>233</v>
      </c>
      <c r="CQ10" s="8"/>
      <c r="CR10" s="2" t="s">
        <v>74</v>
      </c>
      <c r="CS10" s="8"/>
      <c r="CU10" s="8"/>
      <c r="CV10" s="8"/>
      <c r="CW10" s="8"/>
      <c r="CX10" s="8"/>
      <c r="CY10" s="8"/>
      <c r="CZ10" s="8"/>
      <c r="DA10" s="8"/>
      <c r="DB10" s="8"/>
      <c r="DC10" s="8"/>
      <c r="DD10" s="8"/>
      <c r="DE10" s="8"/>
      <c r="DF10" s="8"/>
      <c r="DG10" s="8"/>
      <c r="DH10" s="8"/>
      <c r="DI10" s="8"/>
      <c r="DJ10" s="8"/>
      <c r="DK10" s="8"/>
      <c r="DL10" s="8"/>
    </row>
    <row r="11" spans="1:116" ht="15.75" customHeight="1">
      <c r="A11" s="8">
        <v>12</v>
      </c>
      <c r="B11" s="8"/>
      <c r="C11" s="2" t="s">
        <v>69</v>
      </c>
      <c r="D11" s="2" t="s">
        <v>70</v>
      </c>
      <c r="E11" s="9">
        <v>43658.577312881942</v>
      </c>
      <c r="F11" s="2" t="s">
        <v>347</v>
      </c>
      <c r="G11" s="2" t="s">
        <v>349</v>
      </c>
      <c r="H11" s="2" t="s">
        <v>350</v>
      </c>
      <c r="I11" s="2" t="s">
        <v>83</v>
      </c>
      <c r="J11" s="10" t="s">
        <v>351</v>
      </c>
      <c r="K11" s="2" t="s">
        <v>354</v>
      </c>
      <c r="L11" s="2" t="s">
        <v>355</v>
      </c>
      <c r="M11" s="2" t="s">
        <v>328</v>
      </c>
      <c r="N11" s="2" t="s">
        <v>328</v>
      </c>
      <c r="O11" s="2" t="s">
        <v>356</v>
      </c>
      <c r="P11" s="2" t="s">
        <v>200</v>
      </c>
      <c r="Q11" s="2" t="s">
        <v>357</v>
      </c>
      <c r="R11" s="2" t="s">
        <v>81</v>
      </c>
      <c r="S11" s="2" t="s">
        <v>81</v>
      </c>
      <c r="T11" s="2">
        <v>2017</v>
      </c>
      <c r="U11" s="2" t="s">
        <v>82</v>
      </c>
      <c r="V11" s="2" t="s">
        <v>74</v>
      </c>
      <c r="W11" s="2" t="s">
        <v>74</v>
      </c>
      <c r="X11" s="2" t="s">
        <v>223</v>
      </c>
      <c r="Y11" s="38" t="s">
        <v>282</v>
      </c>
      <c r="Z11" s="2" t="s">
        <v>360</v>
      </c>
      <c r="AA11" s="2" t="s">
        <v>360</v>
      </c>
      <c r="AB11" s="2" t="s">
        <v>361</v>
      </c>
      <c r="AC11" s="38" t="s">
        <v>731</v>
      </c>
      <c r="AD11" s="2" t="s">
        <v>74</v>
      </c>
      <c r="AE11" s="2" t="s">
        <v>363</v>
      </c>
      <c r="AF11" s="2" t="s">
        <v>363</v>
      </c>
      <c r="AG11" s="2" t="s">
        <v>364</v>
      </c>
      <c r="AH11" s="2" t="s">
        <v>364</v>
      </c>
      <c r="AI11" s="2" t="s">
        <v>366</v>
      </c>
      <c r="AJ11" s="2" t="s">
        <v>366</v>
      </c>
      <c r="AK11" s="2" t="s">
        <v>107</v>
      </c>
      <c r="AL11" s="2" t="s">
        <v>107</v>
      </c>
      <c r="AM11" s="8"/>
      <c r="AN11" s="2" t="s">
        <v>205</v>
      </c>
      <c r="AO11" s="2" t="s">
        <v>90</v>
      </c>
      <c r="AP11" s="2" t="s">
        <v>90</v>
      </c>
      <c r="AQ11" s="2" t="s">
        <v>107</v>
      </c>
      <c r="AR11" s="2" t="s">
        <v>107</v>
      </c>
      <c r="AS11" s="2" t="s">
        <v>92</v>
      </c>
      <c r="AT11" s="2" t="s">
        <v>92</v>
      </c>
      <c r="AU11" s="2" t="s">
        <v>284</v>
      </c>
      <c r="AV11" s="2" t="s">
        <v>284</v>
      </c>
      <c r="AW11" s="2" t="s">
        <v>107</v>
      </c>
      <c r="AX11" s="2" t="s">
        <v>107</v>
      </c>
      <c r="AY11" s="2" t="s">
        <v>74</v>
      </c>
      <c r="AZ11" s="2" t="s">
        <v>74</v>
      </c>
      <c r="BA11" s="2" t="s">
        <v>96</v>
      </c>
      <c r="BB11" s="2" t="s">
        <v>96</v>
      </c>
      <c r="BC11" s="2" t="s">
        <v>74</v>
      </c>
      <c r="BD11" s="2" t="s">
        <v>107</v>
      </c>
      <c r="BE11" s="2" t="s">
        <v>107</v>
      </c>
      <c r="BF11" s="2" t="s">
        <v>107</v>
      </c>
      <c r="BG11" s="2" t="s">
        <v>74</v>
      </c>
      <c r="BH11" s="2" t="s">
        <v>97</v>
      </c>
      <c r="BI11" s="2" t="s">
        <v>97</v>
      </c>
      <c r="BJ11" s="2" t="s">
        <v>107</v>
      </c>
      <c r="BK11" s="2" t="s">
        <v>107</v>
      </c>
      <c r="BL11" s="2" t="s">
        <v>229</v>
      </c>
      <c r="BM11" s="2" t="s">
        <v>229</v>
      </c>
      <c r="BN11" s="2" t="s">
        <v>369</v>
      </c>
      <c r="BO11" s="39" t="s">
        <v>83</v>
      </c>
      <c r="BP11" s="39"/>
      <c r="BQ11" s="2" t="s">
        <v>74</v>
      </c>
      <c r="BR11" s="2" t="s">
        <v>107</v>
      </c>
      <c r="BS11" s="2" t="s">
        <v>107</v>
      </c>
      <c r="BT11" s="2" t="s">
        <v>107</v>
      </c>
      <c r="BU11" s="2" t="s">
        <v>107</v>
      </c>
      <c r="BV11" s="2" t="s">
        <v>107</v>
      </c>
      <c r="BW11" s="2" t="s">
        <v>107</v>
      </c>
      <c r="BX11" s="8"/>
      <c r="BY11" s="2" t="s">
        <v>107</v>
      </c>
      <c r="BZ11" s="2" t="s">
        <v>107</v>
      </c>
      <c r="CA11" s="2" t="s">
        <v>107</v>
      </c>
      <c r="CB11" s="2" t="s">
        <v>107</v>
      </c>
      <c r="CC11" s="2" t="s">
        <v>107</v>
      </c>
      <c r="CD11" s="2" t="s">
        <v>107</v>
      </c>
      <c r="CE11" s="2" t="s">
        <v>107</v>
      </c>
      <c r="CF11" s="2" t="s">
        <v>107</v>
      </c>
      <c r="CG11" s="8"/>
      <c r="CH11" s="2" t="s">
        <v>107</v>
      </c>
      <c r="CI11" s="2" t="s">
        <v>108</v>
      </c>
      <c r="CJ11" s="2" t="s">
        <v>108</v>
      </c>
      <c r="CK11" s="2" t="s">
        <v>107</v>
      </c>
      <c r="CL11" s="2" t="s">
        <v>107</v>
      </c>
      <c r="CM11" s="8"/>
      <c r="CN11" s="2" t="s">
        <v>143</v>
      </c>
      <c r="CO11" s="2" t="s">
        <v>143</v>
      </c>
      <c r="CP11" s="2" t="s">
        <v>107</v>
      </c>
      <c r="CQ11" s="8"/>
      <c r="CR11" s="2" t="s">
        <v>74</v>
      </c>
      <c r="CS11" s="8"/>
      <c r="CU11" s="8"/>
      <c r="CV11" s="8"/>
      <c r="CW11" s="8"/>
      <c r="CX11" s="8"/>
      <c r="CY11" s="8"/>
      <c r="CZ11" s="8"/>
      <c r="DA11" s="8"/>
      <c r="DB11" s="8"/>
      <c r="DC11" s="8"/>
      <c r="DD11" s="8"/>
      <c r="DE11" s="8"/>
      <c r="DF11" s="8"/>
      <c r="DG11" s="8"/>
      <c r="DH11" s="8"/>
      <c r="DI11" s="8"/>
      <c r="DJ11" s="8"/>
      <c r="DK11" s="8"/>
      <c r="DL11" s="8"/>
    </row>
    <row r="12" spans="1:116" ht="15.75" customHeight="1">
      <c r="A12" s="8">
        <v>13</v>
      </c>
      <c r="B12" s="8"/>
      <c r="C12" s="2" t="s">
        <v>69</v>
      </c>
      <c r="D12" s="2" t="s">
        <v>70</v>
      </c>
      <c r="E12" s="9">
        <v>43661.790158194446</v>
      </c>
      <c r="F12" s="2" t="s">
        <v>374</v>
      </c>
      <c r="G12" s="2" t="s">
        <v>375</v>
      </c>
      <c r="H12" s="2" t="s">
        <v>376</v>
      </c>
      <c r="I12" s="2" t="s">
        <v>74</v>
      </c>
      <c r="J12" s="10" t="s">
        <v>377</v>
      </c>
      <c r="K12" s="2" t="s">
        <v>374</v>
      </c>
      <c r="L12" s="2" t="s">
        <v>380</v>
      </c>
      <c r="M12" s="2" t="s">
        <v>152</v>
      </c>
      <c r="N12" s="2" t="s">
        <v>152</v>
      </c>
      <c r="O12" s="2" t="s">
        <v>381</v>
      </c>
      <c r="P12" s="2" t="s">
        <v>382</v>
      </c>
      <c r="Q12" s="2" t="s">
        <v>383</v>
      </c>
      <c r="R12" s="2" t="s">
        <v>384</v>
      </c>
      <c r="S12" s="38" t="s">
        <v>2116</v>
      </c>
      <c r="T12" s="2">
        <v>2016</v>
      </c>
      <c r="U12" s="2" t="s">
        <v>82</v>
      </c>
      <c r="V12" s="2" t="s">
        <v>83</v>
      </c>
      <c r="W12" s="2" t="s">
        <v>83</v>
      </c>
      <c r="X12" s="8"/>
      <c r="Y12" s="8"/>
      <c r="Z12" s="2" t="s">
        <v>84</v>
      </c>
      <c r="AA12" s="2" t="s">
        <v>84</v>
      </c>
      <c r="AB12" s="2" t="s">
        <v>385</v>
      </c>
      <c r="AC12" s="2" t="s">
        <v>385</v>
      </c>
      <c r="AD12" s="2" t="s">
        <v>74</v>
      </c>
      <c r="AE12" s="2" t="s">
        <v>386</v>
      </c>
      <c r="AF12" s="2" t="s">
        <v>386</v>
      </c>
      <c r="AG12" s="2" t="s">
        <v>387</v>
      </c>
      <c r="AH12" s="2" t="s">
        <v>387</v>
      </c>
      <c r="AI12" s="2" t="s">
        <v>85</v>
      </c>
      <c r="AJ12" s="2" t="s">
        <v>85</v>
      </c>
      <c r="AK12" s="2" t="s">
        <v>74</v>
      </c>
      <c r="AL12" s="2" t="s">
        <v>74</v>
      </c>
      <c r="AM12" s="2" t="s">
        <v>388</v>
      </c>
      <c r="AN12" s="2" t="s">
        <v>205</v>
      </c>
      <c r="AO12" s="2" t="s">
        <v>126</v>
      </c>
      <c r="AP12" s="2" t="s">
        <v>126</v>
      </c>
      <c r="AQ12" s="2" t="s">
        <v>390</v>
      </c>
      <c r="AR12" s="38" t="s">
        <v>2153</v>
      </c>
      <c r="AS12" s="2" t="s">
        <v>391</v>
      </c>
      <c r="AT12" s="2" t="s">
        <v>2161</v>
      </c>
      <c r="AU12" s="2" t="s">
        <v>93</v>
      </c>
      <c r="AV12" s="2" t="s">
        <v>93</v>
      </c>
      <c r="AW12" s="2" t="s">
        <v>163</v>
      </c>
      <c r="AX12" s="2" t="s">
        <v>163</v>
      </c>
      <c r="AY12" s="2" t="s">
        <v>74</v>
      </c>
      <c r="AZ12" s="2" t="s">
        <v>74</v>
      </c>
      <c r="BA12" s="2" t="s">
        <v>164</v>
      </c>
      <c r="BB12" s="2" t="s">
        <v>164</v>
      </c>
      <c r="BC12" s="2" t="s">
        <v>208</v>
      </c>
      <c r="BD12" s="2" t="s">
        <v>74</v>
      </c>
      <c r="BE12" s="2" t="s">
        <v>74</v>
      </c>
      <c r="BF12" s="2" t="s">
        <v>74</v>
      </c>
      <c r="BG12" s="2" t="s">
        <v>74</v>
      </c>
      <c r="BH12" s="2" t="s">
        <v>97</v>
      </c>
      <c r="BI12" s="2" t="s">
        <v>97</v>
      </c>
      <c r="BJ12" s="2" t="s">
        <v>392</v>
      </c>
      <c r="BK12" s="2" t="s">
        <v>2170</v>
      </c>
      <c r="BL12" s="2" t="s">
        <v>393</v>
      </c>
      <c r="BM12" s="2" t="s">
        <v>393</v>
      </c>
      <c r="BN12" s="2" t="s">
        <v>166</v>
      </c>
      <c r="BO12" s="39" t="s">
        <v>83</v>
      </c>
      <c r="BP12" s="39"/>
      <c r="BQ12" s="2" t="s">
        <v>83</v>
      </c>
      <c r="BR12" s="2" t="s">
        <v>101</v>
      </c>
      <c r="BS12" s="2" t="s">
        <v>101</v>
      </c>
      <c r="BT12" s="2" t="s">
        <v>394</v>
      </c>
      <c r="BU12" s="2" t="s">
        <v>394</v>
      </c>
      <c r="BV12" s="2" t="s">
        <v>83</v>
      </c>
      <c r="BW12" s="2" t="s">
        <v>83</v>
      </c>
      <c r="BX12" s="8"/>
      <c r="BY12" s="2" t="s">
        <v>396</v>
      </c>
      <c r="BZ12" s="38" t="s">
        <v>284</v>
      </c>
      <c r="CA12" s="2" t="s">
        <v>398</v>
      </c>
      <c r="CB12" s="2" t="s">
        <v>398</v>
      </c>
      <c r="CC12" s="2" t="s">
        <v>399</v>
      </c>
      <c r="CD12" s="2" t="s">
        <v>399</v>
      </c>
      <c r="CE12" s="2" t="s">
        <v>136</v>
      </c>
      <c r="CF12" s="2" t="s">
        <v>136</v>
      </c>
      <c r="CG12" s="2" t="s">
        <v>400</v>
      </c>
      <c r="CH12" s="2">
        <v>0</v>
      </c>
      <c r="CI12" s="16" t="s">
        <v>234</v>
      </c>
      <c r="CJ12" s="16" t="s">
        <v>171</v>
      </c>
      <c r="CK12" s="2" t="s">
        <v>74</v>
      </c>
      <c r="CL12" s="2" t="s">
        <v>141</v>
      </c>
      <c r="CM12" s="10" t="s">
        <v>402</v>
      </c>
      <c r="CN12" s="2" t="s">
        <v>213</v>
      </c>
      <c r="CO12" s="2" t="s">
        <v>213</v>
      </c>
      <c r="CP12" s="2" t="s">
        <v>282</v>
      </c>
      <c r="CQ12" s="8"/>
      <c r="CR12" s="2" t="s">
        <v>74</v>
      </c>
      <c r="CS12" s="2" t="s">
        <v>403</v>
      </c>
      <c r="CU12" s="8"/>
      <c r="CV12" s="8"/>
      <c r="CW12" s="8"/>
      <c r="CX12" s="8"/>
      <c r="CY12" s="8"/>
      <c r="CZ12" s="8"/>
      <c r="DA12" s="8"/>
      <c r="DB12" s="8"/>
      <c r="DC12" s="8"/>
      <c r="DD12" s="8"/>
      <c r="DE12" s="8"/>
      <c r="DF12" s="8"/>
      <c r="DG12" s="8"/>
      <c r="DH12" s="8"/>
      <c r="DI12" s="8"/>
      <c r="DJ12" s="8"/>
      <c r="DK12" s="8"/>
      <c r="DL12" s="8"/>
    </row>
    <row r="13" spans="1:116" ht="15.75" customHeight="1">
      <c r="A13" s="8">
        <v>15</v>
      </c>
      <c r="B13" s="8"/>
      <c r="C13" s="2" t="s">
        <v>69</v>
      </c>
      <c r="D13" s="2" t="s">
        <v>70</v>
      </c>
      <c r="E13" s="9">
        <v>43663.342417615742</v>
      </c>
      <c r="F13" s="2" t="s">
        <v>407</v>
      </c>
      <c r="G13" s="2" t="s">
        <v>408</v>
      </c>
      <c r="H13" s="2" t="s">
        <v>410</v>
      </c>
      <c r="I13" s="2" t="s">
        <v>74</v>
      </c>
      <c r="J13" s="10" t="s">
        <v>411</v>
      </c>
      <c r="K13" s="2" t="s">
        <v>407</v>
      </c>
      <c r="L13" s="2" t="s">
        <v>413</v>
      </c>
      <c r="M13" s="2" t="s">
        <v>328</v>
      </c>
      <c r="N13" s="2" t="s">
        <v>328</v>
      </c>
      <c r="O13" s="2" t="s">
        <v>414</v>
      </c>
      <c r="P13" s="2" t="s">
        <v>416</v>
      </c>
      <c r="Q13" s="2" t="s">
        <v>417</v>
      </c>
      <c r="R13" s="2" t="s">
        <v>418</v>
      </c>
      <c r="S13" s="2" t="s">
        <v>418</v>
      </c>
      <c r="T13" s="2">
        <v>2019</v>
      </c>
      <c r="U13" s="2" t="s">
        <v>82</v>
      </c>
      <c r="V13" s="2" t="s">
        <v>74</v>
      </c>
      <c r="W13" s="2" t="s">
        <v>74</v>
      </c>
      <c r="X13" s="38" t="s">
        <v>419</v>
      </c>
      <c r="Y13" s="38" t="s">
        <v>282</v>
      </c>
      <c r="Z13" s="2" t="s">
        <v>420</v>
      </c>
      <c r="AA13" s="2" t="s">
        <v>420</v>
      </c>
      <c r="AB13" s="2" t="s">
        <v>85</v>
      </c>
      <c r="AC13" s="2" t="s">
        <v>85</v>
      </c>
      <c r="AD13" s="2" t="s">
        <v>74</v>
      </c>
      <c r="AE13" s="2" t="s">
        <v>421</v>
      </c>
      <c r="AF13" s="2" t="s">
        <v>421</v>
      </c>
      <c r="AG13" s="2" t="s">
        <v>422</v>
      </c>
      <c r="AH13" s="38" t="s">
        <v>2144</v>
      </c>
      <c r="AI13" s="2" t="s">
        <v>85</v>
      </c>
      <c r="AJ13" s="2" t="s">
        <v>85</v>
      </c>
      <c r="AK13" s="2" t="s">
        <v>107</v>
      </c>
      <c r="AL13" s="2" t="s">
        <v>107</v>
      </c>
      <c r="AM13" s="8"/>
      <c r="AN13" s="2" t="s">
        <v>89</v>
      </c>
      <c r="AO13" s="2" t="s">
        <v>423</v>
      </c>
      <c r="AP13" s="2" t="s">
        <v>126</v>
      </c>
      <c r="AQ13" s="2" t="s">
        <v>424</v>
      </c>
      <c r="AR13" s="2" t="s">
        <v>424</v>
      </c>
      <c r="AS13" s="2" t="s">
        <v>425</v>
      </c>
      <c r="AT13" s="2" t="s">
        <v>305</v>
      </c>
      <c r="AU13" s="2" t="s">
        <v>284</v>
      </c>
      <c r="AV13" s="2" t="s">
        <v>284</v>
      </c>
      <c r="AW13" s="2" t="s">
        <v>163</v>
      </c>
      <c r="AX13" s="2" t="s">
        <v>163</v>
      </c>
      <c r="AY13" s="2" t="s">
        <v>74</v>
      </c>
      <c r="AZ13" s="2" t="s">
        <v>74</v>
      </c>
      <c r="BA13" s="2" t="s">
        <v>426</v>
      </c>
      <c r="BB13" s="2" t="s">
        <v>2163</v>
      </c>
      <c r="BC13" s="2" t="s">
        <v>233</v>
      </c>
      <c r="BD13" s="2" t="s">
        <v>233</v>
      </c>
      <c r="BE13" s="2" t="s">
        <v>233</v>
      </c>
      <c r="BF13" s="2" t="s">
        <v>74</v>
      </c>
      <c r="BG13" s="2" t="s">
        <v>74</v>
      </c>
      <c r="BH13" s="2" t="s">
        <v>97</v>
      </c>
      <c r="BI13" s="2" t="s">
        <v>97</v>
      </c>
      <c r="BJ13" s="2" t="s">
        <v>233</v>
      </c>
      <c r="BK13" s="2" t="s">
        <v>233</v>
      </c>
      <c r="BL13" s="2" t="s">
        <v>427</v>
      </c>
      <c r="BM13" s="2" t="s">
        <v>1378</v>
      </c>
      <c r="BN13" s="2" t="s">
        <v>336</v>
      </c>
      <c r="BO13" s="39" t="s">
        <v>74</v>
      </c>
      <c r="BP13" s="39"/>
      <c r="BQ13" s="2" t="s">
        <v>74</v>
      </c>
      <c r="BR13" s="2" t="s">
        <v>101</v>
      </c>
      <c r="BS13" s="2" t="s">
        <v>101</v>
      </c>
      <c r="BT13" s="2" t="s">
        <v>102</v>
      </c>
      <c r="BU13" s="2" t="s">
        <v>102</v>
      </c>
      <c r="BV13" s="2" t="s">
        <v>428</v>
      </c>
      <c r="BW13" s="2" t="s">
        <v>74</v>
      </c>
      <c r="BX13" s="8"/>
      <c r="BY13" s="2" t="s">
        <v>107</v>
      </c>
      <c r="BZ13" s="2" t="s">
        <v>107</v>
      </c>
      <c r="CA13" s="2" t="s">
        <v>233</v>
      </c>
      <c r="CB13" s="2" t="s">
        <v>233</v>
      </c>
      <c r="CC13" s="2" t="s">
        <v>233</v>
      </c>
      <c r="CD13" s="2" t="s">
        <v>233</v>
      </c>
      <c r="CE13" s="2" t="s">
        <v>233</v>
      </c>
      <c r="CF13" s="2" t="s">
        <v>233</v>
      </c>
      <c r="CG13" s="8"/>
      <c r="CH13" s="2" t="s">
        <v>233</v>
      </c>
      <c r="CI13" s="2" t="s">
        <v>172</v>
      </c>
      <c r="CJ13" s="2" t="s">
        <v>108</v>
      </c>
      <c r="CK13" s="2" t="s">
        <v>74</v>
      </c>
      <c r="CL13" s="2">
        <v>0</v>
      </c>
      <c r="CM13" s="8"/>
      <c r="CN13" s="2" t="s">
        <v>233</v>
      </c>
      <c r="CO13" s="2" t="s">
        <v>233</v>
      </c>
      <c r="CP13" s="2" t="s">
        <v>233</v>
      </c>
      <c r="CQ13" s="8"/>
      <c r="CR13" s="2" t="s">
        <v>74</v>
      </c>
      <c r="CS13" s="2" t="s">
        <v>431</v>
      </c>
      <c r="CT13" s="21"/>
      <c r="CU13" s="8"/>
      <c r="CV13" s="8"/>
      <c r="CW13" s="8"/>
      <c r="CX13" s="8"/>
      <c r="CY13" s="8"/>
      <c r="CZ13" s="8"/>
      <c r="DA13" s="8"/>
      <c r="DB13" s="8"/>
      <c r="DC13" s="8"/>
      <c r="DD13" s="8"/>
      <c r="DE13" s="8"/>
      <c r="DF13" s="8"/>
      <c r="DG13" s="8"/>
      <c r="DH13" s="8"/>
      <c r="DI13" s="8"/>
      <c r="DJ13" s="8"/>
      <c r="DK13" s="8"/>
      <c r="DL13" s="8"/>
    </row>
    <row r="14" spans="1:116" ht="15.75" customHeight="1">
      <c r="A14" s="8">
        <v>16</v>
      </c>
      <c r="B14" s="8"/>
      <c r="C14" s="2" t="s">
        <v>69</v>
      </c>
      <c r="D14" s="2" t="s">
        <v>436</v>
      </c>
      <c r="E14" s="9">
        <v>43665.420723923613</v>
      </c>
      <c r="F14" s="2" t="s">
        <v>437</v>
      </c>
      <c r="G14" s="2" t="s">
        <v>438</v>
      </c>
      <c r="H14" s="2" t="s">
        <v>440</v>
      </c>
      <c r="I14" s="2" t="s">
        <v>74</v>
      </c>
      <c r="J14" s="10" t="s">
        <v>441</v>
      </c>
      <c r="K14" s="2" t="s">
        <v>437</v>
      </c>
      <c r="L14" s="2" t="s">
        <v>446</v>
      </c>
      <c r="M14" s="2" t="s">
        <v>152</v>
      </c>
      <c r="N14" s="2" t="s">
        <v>152</v>
      </c>
      <c r="O14" s="2" t="s">
        <v>447</v>
      </c>
      <c r="P14" s="2" t="s">
        <v>448</v>
      </c>
      <c r="Q14" s="2" t="s">
        <v>449</v>
      </c>
      <c r="R14" s="2" t="s">
        <v>81</v>
      </c>
      <c r="S14" s="2" t="s">
        <v>81</v>
      </c>
      <c r="T14" s="2">
        <v>2014</v>
      </c>
      <c r="U14" s="2">
        <v>2018</v>
      </c>
      <c r="V14" s="2" t="s">
        <v>74</v>
      </c>
      <c r="W14" s="2" t="s">
        <v>74</v>
      </c>
      <c r="X14" s="2" t="s">
        <v>119</v>
      </c>
      <c r="Y14" s="2" t="s">
        <v>119</v>
      </c>
      <c r="Z14" s="2" t="s">
        <v>452</v>
      </c>
      <c r="AA14" s="2" t="s">
        <v>452</v>
      </c>
      <c r="AB14" s="2" t="s">
        <v>453</v>
      </c>
      <c r="AC14" s="2" t="s">
        <v>453</v>
      </c>
      <c r="AD14" s="2" t="s">
        <v>74</v>
      </c>
      <c r="AE14" s="2" t="s">
        <v>454</v>
      </c>
      <c r="AF14" s="2" t="s">
        <v>454</v>
      </c>
      <c r="AG14" s="2" t="s">
        <v>455</v>
      </c>
      <c r="AH14" s="2" t="s">
        <v>455</v>
      </c>
      <c r="AI14" s="2" t="s">
        <v>456</v>
      </c>
      <c r="AJ14" s="2" t="s">
        <v>456</v>
      </c>
      <c r="AK14" s="2" t="s">
        <v>107</v>
      </c>
      <c r="AL14" s="2" t="s">
        <v>107</v>
      </c>
      <c r="AM14" s="8"/>
      <c r="AN14" s="2" t="s">
        <v>205</v>
      </c>
      <c r="AO14" s="2" t="s">
        <v>90</v>
      </c>
      <c r="AP14" s="2" t="s">
        <v>90</v>
      </c>
      <c r="AQ14" s="2" t="s">
        <v>458</v>
      </c>
      <c r="AR14" s="2" t="s">
        <v>2150</v>
      </c>
      <c r="AS14" s="2" t="s">
        <v>284</v>
      </c>
      <c r="AT14" s="2" t="s">
        <v>284</v>
      </c>
      <c r="AU14" s="2" t="s">
        <v>284</v>
      </c>
      <c r="AV14" s="2" t="s">
        <v>284</v>
      </c>
      <c r="AW14" s="2" t="s">
        <v>459</v>
      </c>
      <c r="AX14" s="38" t="s">
        <v>264</v>
      </c>
      <c r="AY14" s="2" t="s">
        <v>74</v>
      </c>
      <c r="AZ14" s="2" t="s">
        <v>74</v>
      </c>
      <c r="BA14" s="2" t="s">
        <v>460</v>
      </c>
      <c r="BB14" s="2" t="s">
        <v>2163</v>
      </c>
      <c r="BC14" s="2" t="s">
        <v>74</v>
      </c>
      <c r="BD14" s="2" t="s">
        <v>74</v>
      </c>
      <c r="BE14" s="2" t="s">
        <v>74</v>
      </c>
      <c r="BF14" s="2" t="s">
        <v>74</v>
      </c>
      <c r="BG14" s="2" t="s">
        <v>74</v>
      </c>
      <c r="BH14" s="2" t="s">
        <v>97</v>
      </c>
      <c r="BI14" s="2" t="s">
        <v>97</v>
      </c>
      <c r="BJ14" s="2" t="s">
        <v>130</v>
      </c>
      <c r="BK14" s="2" t="s">
        <v>130</v>
      </c>
      <c r="BL14" s="2" t="s">
        <v>99</v>
      </c>
      <c r="BM14" s="2" t="s">
        <v>99</v>
      </c>
      <c r="BN14" s="2" t="s">
        <v>166</v>
      </c>
      <c r="BO14" s="39" t="s">
        <v>83</v>
      </c>
      <c r="BP14" s="39"/>
      <c r="BQ14" s="2" t="s">
        <v>74</v>
      </c>
      <c r="BR14" s="2" t="s">
        <v>101</v>
      </c>
      <c r="BS14" s="2" t="s">
        <v>101</v>
      </c>
      <c r="BT14" s="2" t="s">
        <v>107</v>
      </c>
      <c r="BU14" s="2" t="s">
        <v>107</v>
      </c>
      <c r="BV14" s="2" t="s">
        <v>83</v>
      </c>
      <c r="BW14" s="2" t="s">
        <v>83</v>
      </c>
      <c r="BX14" s="8"/>
      <c r="BY14" s="2" t="s">
        <v>107</v>
      </c>
      <c r="BZ14" s="2" t="s">
        <v>107</v>
      </c>
      <c r="CA14" s="2" t="s">
        <v>368</v>
      </c>
      <c r="CB14" s="2" t="s">
        <v>368</v>
      </c>
      <c r="CC14" s="2" t="s">
        <v>313</v>
      </c>
      <c r="CD14" s="2" t="s">
        <v>313</v>
      </c>
      <c r="CE14" s="2" t="s">
        <v>136</v>
      </c>
      <c r="CF14" s="2" t="s">
        <v>136</v>
      </c>
      <c r="CG14" s="2" t="s">
        <v>462</v>
      </c>
      <c r="CH14" s="2" t="s">
        <v>463</v>
      </c>
      <c r="CI14" s="2" t="s">
        <v>139</v>
      </c>
      <c r="CJ14" s="2" t="s">
        <v>234</v>
      </c>
      <c r="CK14" s="2" t="s">
        <v>83</v>
      </c>
      <c r="CL14" s="2" t="s">
        <v>141</v>
      </c>
      <c r="CM14" s="10" t="s">
        <v>465</v>
      </c>
      <c r="CN14" s="2" t="s">
        <v>470</v>
      </c>
      <c r="CO14" s="2" t="s">
        <v>470</v>
      </c>
      <c r="CP14" s="2" t="s">
        <v>471</v>
      </c>
      <c r="CQ14" s="8"/>
      <c r="CR14" s="2" t="s">
        <v>74</v>
      </c>
      <c r="CS14" s="8"/>
      <c r="CU14" s="8"/>
      <c r="CV14" s="8"/>
      <c r="CW14" s="8"/>
      <c r="CX14" s="8"/>
      <c r="CY14" s="8"/>
      <c r="CZ14" s="8"/>
      <c r="DA14" s="8"/>
      <c r="DB14" s="8"/>
      <c r="DC14" s="8"/>
      <c r="DD14" s="8"/>
      <c r="DE14" s="8"/>
      <c r="DF14" s="8"/>
      <c r="DG14" s="8"/>
      <c r="DH14" s="8"/>
      <c r="DI14" s="8"/>
      <c r="DJ14" s="8"/>
      <c r="DK14" s="8"/>
      <c r="DL14" s="8"/>
    </row>
    <row r="15" spans="1:116" ht="15.75" customHeight="1">
      <c r="A15" s="8">
        <v>20</v>
      </c>
      <c r="B15" s="4" t="s">
        <v>473</v>
      </c>
      <c r="C15" s="2" t="s">
        <v>69</v>
      </c>
      <c r="D15" s="2" t="s">
        <v>70</v>
      </c>
      <c r="E15" s="9">
        <v>43740.387021979172</v>
      </c>
      <c r="F15" s="2" t="s">
        <v>474</v>
      </c>
      <c r="G15" s="2" t="s">
        <v>475</v>
      </c>
      <c r="H15" s="2" t="s">
        <v>476</v>
      </c>
      <c r="I15" s="2" t="s">
        <v>83</v>
      </c>
      <c r="J15" s="10" t="s">
        <v>477</v>
      </c>
      <c r="K15" s="10" t="s">
        <v>479</v>
      </c>
      <c r="L15" s="2" t="s">
        <v>481</v>
      </c>
      <c r="M15" s="2" t="s">
        <v>152</v>
      </c>
      <c r="N15" s="2" t="s">
        <v>152</v>
      </c>
      <c r="O15" s="2" t="s">
        <v>483</v>
      </c>
      <c r="P15" s="2" t="s">
        <v>485</v>
      </c>
      <c r="Q15" s="10" t="s">
        <v>487</v>
      </c>
      <c r="R15" s="2" t="s">
        <v>488</v>
      </c>
      <c r="S15" s="37" t="s">
        <v>2116</v>
      </c>
      <c r="T15" s="2">
        <v>2007</v>
      </c>
      <c r="U15" s="2" t="s">
        <v>82</v>
      </c>
      <c r="V15" s="2" t="s">
        <v>83</v>
      </c>
      <c r="W15" s="2" t="s">
        <v>83</v>
      </c>
      <c r="X15" s="8"/>
      <c r="Y15" s="8"/>
      <c r="Z15" s="2" t="s">
        <v>84</v>
      </c>
      <c r="AA15" s="2" t="s">
        <v>84</v>
      </c>
      <c r="AB15" s="2" t="s">
        <v>120</v>
      </c>
      <c r="AC15" s="2" t="s">
        <v>120</v>
      </c>
      <c r="AD15" s="2" t="s">
        <v>74</v>
      </c>
      <c r="AE15" s="2" t="s">
        <v>490</v>
      </c>
      <c r="AF15" s="2" t="s">
        <v>490</v>
      </c>
      <c r="AG15" s="2" t="s">
        <v>491</v>
      </c>
      <c r="AH15" s="2" t="s">
        <v>491</v>
      </c>
      <c r="AI15" s="2" t="s">
        <v>85</v>
      </c>
      <c r="AJ15" s="2" t="s">
        <v>85</v>
      </c>
      <c r="AK15" s="2" t="s">
        <v>83</v>
      </c>
      <c r="AL15" s="2" t="s">
        <v>83</v>
      </c>
      <c r="AM15" s="8"/>
      <c r="AN15" s="2" t="s">
        <v>89</v>
      </c>
      <c r="AO15" s="2" t="s">
        <v>107</v>
      </c>
      <c r="AP15" s="2" t="s">
        <v>107</v>
      </c>
      <c r="AQ15" s="2" t="s">
        <v>493</v>
      </c>
      <c r="AR15" s="2" t="s">
        <v>738</v>
      </c>
      <c r="AS15" s="2" t="s">
        <v>284</v>
      </c>
      <c r="AT15" s="2" t="s">
        <v>284</v>
      </c>
      <c r="AU15" s="2" t="s">
        <v>284</v>
      </c>
      <c r="AV15" s="2" t="s">
        <v>284</v>
      </c>
      <c r="AW15" s="2" t="s">
        <v>163</v>
      </c>
      <c r="AX15" s="2" t="s">
        <v>163</v>
      </c>
      <c r="AY15" s="2" t="s">
        <v>95</v>
      </c>
      <c r="AZ15" s="2" t="s">
        <v>83</v>
      </c>
      <c r="BA15" s="2" t="s">
        <v>284</v>
      </c>
      <c r="BB15" s="2" t="s">
        <v>284</v>
      </c>
      <c r="BC15" s="2" t="s">
        <v>74</v>
      </c>
      <c r="BD15" s="2" t="s">
        <v>83</v>
      </c>
      <c r="BE15" s="2" t="s">
        <v>233</v>
      </c>
      <c r="BF15" s="2" t="s">
        <v>83</v>
      </c>
      <c r="BG15" s="2" t="s">
        <v>74</v>
      </c>
      <c r="BH15" s="2" t="s">
        <v>358</v>
      </c>
      <c r="BI15" s="2" t="s">
        <v>358</v>
      </c>
      <c r="BJ15" s="2" t="s">
        <v>495</v>
      </c>
      <c r="BK15" s="2" t="s">
        <v>738</v>
      </c>
      <c r="BL15" s="2" t="s">
        <v>229</v>
      </c>
      <c r="BM15" s="2" t="s">
        <v>229</v>
      </c>
      <c r="BN15" s="2" t="s">
        <v>100</v>
      </c>
      <c r="BO15" s="39" t="s">
        <v>74</v>
      </c>
      <c r="BP15" s="39"/>
      <c r="BQ15" s="2" t="s">
        <v>74</v>
      </c>
      <c r="BR15" s="2" t="s">
        <v>107</v>
      </c>
      <c r="BS15" s="2" t="s">
        <v>107</v>
      </c>
      <c r="BT15" s="2" t="s">
        <v>107</v>
      </c>
      <c r="BU15" s="2" t="s">
        <v>107</v>
      </c>
      <c r="BV15" s="2" t="s">
        <v>83</v>
      </c>
      <c r="BW15" s="2" t="s">
        <v>83</v>
      </c>
      <c r="BX15" s="8"/>
      <c r="BY15" s="2" t="s">
        <v>107</v>
      </c>
      <c r="BZ15" s="2" t="s">
        <v>107</v>
      </c>
      <c r="CA15" s="2" t="s">
        <v>107</v>
      </c>
      <c r="CB15" s="2" t="s">
        <v>107</v>
      </c>
      <c r="CC15" s="2" t="s">
        <v>168</v>
      </c>
      <c r="CD15" s="2" t="s">
        <v>168</v>
      </c>
      <c r="CE15" s="2" t="s">
        <v>136</v>
      </c>
      <c r="CF15" s="2" t="s">
        <v>136</v>
      </c>
      <c r="CG15" s="2" t="s">
        <v>498</v>
      </c>
      <c r="CH15" s="2" t="s">
        <v>107</v>
      </c>
      <c r="CI15" s="2" t="s">
        <v>139</v>
      </c>
      <c r="CJ15" s="2" t="s">
        <v>139</v>
      </c>
      <c r="CK15" s="2" t="s">
        <v>83</v>
      </c>
      <c r="CL15" s="2">
        <v>0</v>
      </c>
      <c r="CM15" s="8"/>
      <c r="CN15" s="2" t="s">
        <v>233</v>
      </c>
      <c r="CO15" s="2" t="s">
        <v>233</v>
      </c>
      <c r="CP15" s="2" t="s">
        <v>233</v>
      </c>
      <c r="CQ15" s="8"/>
      <c r="CR15" s="2" t="s">
        <v>74</v>
      </c>
      <c r="CS15" s="2" t="s">
        <v>500</v>
      </c>
      <c r="CT15" s="21"/>
      <c r="CU15" s="2"/>
      <c r="CV15" s="2"/>
      <c r="CW15" s="2"/>
      <c r="CX15" s="2"/>
      <c r="CY15" s="8"/>
      <c r="CZ15" s="8"/>
      <c r="DA15" s="8"/>
      <c r="DB15" s="8"/>
      <c r="DC15" s="8"/>
      <c r="DD15" s="8"/>
      <c r="DE15" s="8"/>
      <c r="DF15" s="8"/>
      <c r="DG15" s="8"/>
      <c r="DH15" s="8"/>
      <c r="DI15" s="8"/>
      <c r="DJ15" s="8"/>
      <c r="DK15" s="8"/>
      <c r="DL15" s="8"/>
    </row>
    <row r="16" spans="1:116" ht="15.75" customHeight="1">
      <c r="A16" s="8">
        <v>21</v>
      </c>
      <c r="B16" s="8" t="s">
        <v>502</v>
      </c>
      <c r="C16" s="2" t="s">
        <v>69</v>
      </c>
      <c r="D16" s="2" t="s">
        <v>246</v>
      </c>
      <c r="E16" s="9">
        <v>43671.58613275463</v>
      </c>
      <c r="F16" s="2" t="s">
        <v>503</v>
      </c>
      <c r="G16" s="2" t="s">
        <v>503</v>
      </c>
      <c r="H16" s="2" t="s">
        <v>504</v>
      </c>
      <c r="I16" s="2" t="s">
        <v>74</v>
      </c>
      <c r="J16" s="10" t="s">
        <v>505</v>
      </c>
      <c r="K16" s="2" t="s">
        <v>503</v>
      </c>
      <c r="L16" s="2" t="s">
        <v>508</v>
      </c>
      <c r="M16" s="2" t="s">
        <v>152</v>
      </c>
      <c r="N16" s="2" t="s">
        <v>152</v>
      </c>
      <c r="O16" s="2" t="s">
        <v>510</v>
      </c>
      <c r="P16" s="2" t="s">
        <v>511</v>
      </c>
      <c r="Q16" s="2" t="s">
        <v>512</v>
      </c>
      <c r="R16" s="2" t="s">
        <v>513</v>
      </c>
      <c r="S16" s="2" t="s">
        <v>513</v>
      </c>
      <c r="T16" s="2">
        <v>2013</v>
      </c>
      <c r="U16" s="2" t="s">
        <v>82</v>
      </c>
      <c r="V16" s="2" t="s">
        <v>95</v>
      </c>
      <c r="W16" s="2" t="s">
        <v>95</v>
      </c>
      <c r="X16" s="2" t="s">
        <v>515</v>
      </c>
      <c r="Y16" s="2" t="s">
        <v>515</v>
      </c>
      <c r="Z16" s="2" t="s">
        <v>84</v>
      </c>
      <c r="AA16" s="2" t="s">
        <v>84</v>
      </c>
      <c r="AB16" s="2" t="s">
        <v>120</v>
      </c>
      <c r="AC16" s="2" t="s">
        <v>120</v>
      </c>
      <c r="AD16" s="2" t="s">
        <v>95</v>
      </c>
      <c r="AE16" s="2" t="s">
        <v>516</v>
      </c>
      <c r="AF16" s="38" t="s">
        <v>2141</v>
      </c>
      <c r="AG16" s="2" t="s">
        <v>245</v>
      </c>
      <c r="AH16" s="2" t="s">
        <v>245</v>
      </c>
      <c r="AI16" s="2" t="s">
        <v>499</v>
      </c>
      <c r="AJ16" s="2" t="s">
        <v>499</v>
      </c>
      <c r="AK16" s="2" t="s">
        <v>74</v>
      </c>
      <c r="AL16" s="2" t="s">
        <v>74</v>
      </c>
      <c r="AM16" s="2" t="s">
        <v>517</v>
      </c>
      <c r="AN16" s="2" t="s">
        <v>518</v>
      </c>
      <c r="AO16" s="2" t="s">
        <v>90</v>
      </c>
      <c r="AP16" s="2" t="s">
        <v>90</v>
      </c>
      <c r="AQ16" s="2" t="s">
        <v>263</v>
      </c>
      <c r="AR16" s="2" t="s">
        <v>263</v>
      </c>
      <c r="AS16" s="2" t="s">
        <v>92</v>
      </c>
      <c r="AT16" s="2" t="s">
        <v>92</v>
      </c>
      <c r="AU16" s="2" t="s">
        <v>284</v>
      </c>
      <c r="AV16" s="2" t="s">
        <v>284</v>
      </c>
      <c r="AW16" s="2" t="s">
        <v>94</v>
      </c>
      <c r="AX16" s="2" t="s">
        <v>94</v>
      </c>
      <c r="AY16" s="2" t="s">
        <v>95</v>
      </c>
      <c r="AZ16" s="2" t="s">
        <v>74</v>
      </c>
      <c r="BA16" s="2" t="s">
        <v>284</v>
      </c>
      <c r="BB16" s="2" t="s">
        <v>284</v>
      </c>
      <c r="BC16" s="2" t="s">
        <v>208</v>
      </c>
      <c r="BD16" s="2" t="s">
        <v>74</v>
      </c>
      <c r="BE16" s="2" t="s">
        <v>83</v>
      </c>
      <c r="BF16" s="2" t="s">
        <v>74</v>
      </c>
      <c r="BG16" s="2" t="s">
        <v>74</v>
      </c>
      <c r="BH16" s="2" t="s">
        <v>97</v>
      </c>
      <c r="BI16" s="2" t="s">
        <v>97</v>
      </c>
      <c r="BJ16" s="2" t="s">
        <v>130</v>
      </c>
      <c r="BK16" s="2" t="s">
        <v>130</v>
      </c>
      <c r="BL16" s="2" t="s">
        <v>520</v>
      </c>
      <c r="BM16" s="2" t="s">
        <v>520</v>
      </c>
      <c r="BN16" s="2" t="s">
        <v>521</v>
      </c>
      <c r="BO16" s="2" t="s">
        <v>83</v>
      </c>
      <c r="BP16" s="2" t="s">
        <v>2201</v>
      </c>
      <c r="BQ16" s="2" t="s">
        <v>83</v>
      </c>
      <c r="BR16" s="2" t="s">
        <v>101</v>
      </c>
      <c r="BS16" s="2" t="s">
        <v>101</v>
      </c>
      <c r="BT16" s="2" t="s">
        <v>107</v>
      </c>
      <c r="BU16" s="2" t="s">
        <v>107</v>
      </c>
      <c r="BV16" s="2" t="s">
        <v>83</v>
      </c>
      <c r="BW16" s="2" t="s">
        <v>83</v>
      </c>
      <c r="BX16" s="8"/>
      <c r="BY16" s="2" t="s">
        <v>233</v>
      </c>
      <c r="BZ16" s="2" t="s">
        <v>233</v>
      </c>
      <c r="CA16" s="2" t="s">
        <v>522</v>
      </c>
      <c r="CB16" s="2" t="s">
        <v>522</v>
      </c>
      <c r="CC16" s="2" t="s">
        <v>168</v>
      </c>
      <c r="CD16" s="2" t="s">
        <v>168</v>
      </c>
      <c r="CE16" s="2" t="s">
        <v>168</v>
      </c>
      <c r="CF16" s="2" t="s">
        <v>168</v>
      </c>
      <c r="CG16" s="2" t="s">
        <v>523</v>
      </c>
      <c r="CH16" s="2" t="s">
        <v>233</v>
      </c>
      <c r="CI16" s="2" t="s">
        <v>139</v>
      </c>
      <c r="CJ16" s="2" t="s">
        <v>233</v>
      </c>
      <c r="CK16" s="2" t="s">
        <v>233</v>
      </c>
      <c r="CL16" s="2">
        <v>0</v>
      </c>
      <c r="CM16" s="8"/>
      <c r="CN16" s="2" t="s">
        <v>233</v>
      </c>
      <c r="CO16" s="2" t="s">
        <v>233</v>
      </c>
      <c r="CP16" s="2" t="s">
        <v>233</v>
      </c>
      <c r="CQ16" s="8"/>
      <c r="CR16" s="2" t="s">
        <v>74</v>
      </c>
      <c r="CS16" s="8"/>
      <c r="CU16" s="8"/>
      <c r="CV16" s="8"/>
      <c r="CW16" s="8"/>
      <c r="CX16" s="8"/>
      <c r="CY16" s="8"/>
      <c r="CZ16" s="8"/>
      <c r="DA16" s="8"/>
      <c r="DB16" s="8"/>
      <c r="DC16" s="8"/>
      <c r="DD16" s="8"/>
      <c r="DE16" s="8"/>
      <c r="DF16" s="8"/>
      <c r="DG16" s="8"/>
      <c r="DH16" s="8"/>
      <c r="DI16" s="8"/>
      <c r="DJ16" s="8"/>
      <c r="DK16" s="8"/>
      <c r="DL16" s="8"/>
    </row>
    <row r="17" spans="1:118" ht="15.75" customHeight="1">
      <c r="A17" s="8">
        <v>22</v>
      </c>
      <c r="B17" s="8"/>
      <c r="C17" s="2" t="s">
        <v>69</v>
      </c>
      <c r="D17" s="2" t="s">
        <v>70</v>
      </c>
      <c r="E17" s="9">
        <v>43672.534604212968</v>
      </c>
      <c r="F17" s="2" t="s">
        <v>528</v>
      </c>
      <c r="G17" s="2" t="s">
        <v>529</v>
      </c>
      <c r="H17" s="2" t="s">
        <v>530</v>
      </c>
      <c r="I17" s="2" t="s">
        <v>74</v>
      </c>
      <c r="J17" s="10" t="s">
        <v>532</v>
      </c>
      <c r="K17" s="2" t="s">
        <v>537</v>
      </c>
      <c r="L17" s="2" t="s">
        <v>538</v>
      </c>
      <c r="M17" s="2" t="s">
        <v>114</v>
      </c>
      <c r="N17" s="2" t="s">
        <v>114</v>
      </c>
      <c r="O17" s="2" t="s">
        <v>539</v>
      </c>
      <c r="P17" s="2" t="s">
        <v>541</v>
      </c>
      <c r="Q17" s="2" t="s">
        <v>542</v>
      </c>
      <c r="R17" s="2" t="s">
        <v>418</v>
      </c>
      <c r="S17" s="2" t="s">
        <v>418</v>
      </c>
      <c r="T17" s="2">
        <v>2019</v>
      </c>
      <c r="U17" s="2" t="s">
        <v>82</v>
      </c>
      <c r="V17" s="2" t="s">
        <v>74</v>
      </c>
      <c r="W17" s="2" t="s">
        <v>74</v>
      </c>
      <c r="X17" s="2" t="s">
        <v>119</v>
      </c>
      <c r="Y17" s="2" t="s">
        <v>119</v>
      </c>
      <c r="Z17" s="2" t="s">
        <v>300</v>
      </c>
      <c r="AA17" s="2" t="s">
        <v>300</v>
      </c>
      <c r="AB17" s="2" t="s">
        <v>120</v>
      </c>
      <c r="AC17" s="2" t="s">
        <v>120</v>
      </c>
      <c r="AD17" s="2" t="s">
        <v>74</v>
      </c>
      <c r="AE17" s="2" t="s">
        <v>545</v>
      </c>
      <c r="AF17" s="2" t="s">
        <v>545</v>
      </c>
      <c r="AG17" s="2" t="s">
        <v>190</v>
      </c>
      <c r="AH17" s="2" t="s">
        <v>190</v>
      </c>
      <c r="AI17" s="2" t="s">
        <v>85</v>
      </c>
      <c r="AJ17" s="2" t="s">
        <v>85</v>
      </c>
      <c r="AK17" s="2" t="s">
        <v>74</v>
      </c>
      <c r="AL17" s="2" t="s">
        <v>74</v>
      </c>
      <c r="AM17" s="2" t="s">
        <v>546</v>
      </c>
      <c r="AN17" s="2" t="s">
        <v>89</v>
      </c>
      <c r="AO17" s="2" t="s">
        <v>90</v>
      </c>
      <c r="AP17" s="2" t="s">
        <v>90</v>
      </c>
      <c r="AQ17" s="2" t="s">
        <v>547</v>
      </c>
      <c r="AR17" s="2" t="s">
        <v>547</v>
      </c>
      <c r="AS17" s="2" t="s">
        <v>548</v>
      </c>
      <c r="AT17" s="2" t="s">
        <v>548</v>
      </c>
      <c r="AU17" s="2" t="s">
        <v>284</v>
      </c>
      <c r="AV17" s="2" t="s">
        <v>284</v>
      </c>
      <c r="AW17" s="2" t="s">
        <v>94</v>
      </c>
      <c r="AX17" s="2" t="s">
        <v>94</v>
      </c>
      <c r="AY17" s="2" t="s">
        <v>74</v>
      </c>
      <c r="AZ17" s="2" t="s">
        <v>74</v>
      </c>
      <c r="BA17" s="2" t="s">
        <v>550</v>
      </c>
      <c r="BB17" s="2" t="s">
        <v>550</v>
      </c>
      <c r="BC17" s="2" t="s">
        <v>74</v>
      </c>
      <c r="BD17" s="2" t="s">
        <v>74</v>
      </c>
      <c r="BE17" s="2" t="s">
        <v>74</v>
      </c>
      <c r="BF17" s="2" t="s">
        <v>74</v>
      </c>
      <c r="BG17" s="2" t="s">
        <v>95</v>
      </c>
      <c r="BH17" s="2" t="s">
        <v>97</v>
      </c>
      <c r="BI17" s="2" t="s">
        <v>97</v>
      </c>
      <c r="BJ17" s="2" t="s">
        <v>589</v>
      </c>
      <c r="BK17" s="2" t="s">
        <v>589</v>
      </c>
      <c r="BL17" s="2" t="s">
        <v>590</v>
      </c>
      <c r="BM17" s="2" t="s">
        <v>2172</v>
      </c>
      <c r="BN17" s="2" t="s">
        <v>336</v>
      </c>
      <c r="BO17" s="39" t="s">
        <v>74</v>
      </c>
      <c r="BP17" s="39"/>
      <c r="BQ17" s="2" t="s">
        <v>74</v>
      </c>
      <c r="BR17" s="2" t="s">
        <v>591</v>
      </c>
      <c r="BS17" s="38" t="s">
        <v>738</v>
      </c>
      <c r="BT17" s="2" t="s">
        <v>102</v>
      </c>
      <c r="BU17" s="2" t="s">
        <v>102</v>
      </c>
      <c r="BV17" s="2" t="s">
        <v>592</v>
      </c>
      <c r="BW17" s="2" t="s">
        <v>74</v>
      </c>
      <c r="BX17" s="8"/>
      <c r="BY17" s="2" t="s">
        <v>103</v>
      </c>
      <c r="BZ17" s="2" t="s">
        <v>103</v>
      </c>
      <c r="CA17" s="2" t="s">
        <v>312</v>
      </c>
      <c r="CB17" s="2" t="s">
        <v>312</v>
      </c>
      <c r="CC17" s="2" t="s">
        <v>288</v>
      </c>
      <c r="CD17" s="2" t="s">
        <v>288</v>
      </c>
      <c r="CE17" s="2" t="s">
        <v>593</v>
      </c>
      <c r="CF17" s="2" t="s">
        <v>593</v>
      </c>
      <c r="CG17" s="2" t="s">
        <v>594</v>
      </c>
      <c r="CH17" s="2" t="s">
        <v>107</v>
      </c>
      <c r="CI17" s="2" t="s">
        <v>108</v>
      </c>
      <c r="CJ17" s="2" t="s">
        <v>108</v>
      </c>
      <c r="CK17" s="2" t="s">
        <v>233</v>
      </c>
      <c r="CL17" s="2">
        <v>0</v>
      </c>
      <c r="CM17" s="8"/>
      <c r="CN17" s="2" t="s">
        <v>233</v>
      </c>
      <c r="CO17" s="2" t="s">
        <v>233</v>
      </c>
      <c r="CP17" s="2" t="s">
        <v>233</v>
      </c>
      <c r="CQ17" s="8"/>
      <c r="CR17" s="2" t="s">
        <v>74</v>
      </c>
      <c r="CS17" s="8"/>
      <c r="CU17" s="8"/>
      <c r="CV17" s="8"/>
      <c r="CW17" s="8"/>
      <c r="CX17" s="8"/>
      <c r="CY17" s="8"/>
      <c r="CZ17" s="8"/>
      <c r="DA17" s="8"/>
      <c r="DB17" s="8"/>
      <c r="DC17" s="8"/>
      <c r="DD17" s="8"/>
      <c r="DE17" s="8"/>
      <c r="DF17" s="8"/>
      <c r="DG17" s="8"/>
      <c r="DH17" s="8"/>
      <c r="DI17" s="8"/>
      <c r="DJ17" s="8"/>
      <c r="DK17" s="8"/>
      <c r="DL17" s="8"/>
    </row>
    <row r="18" spans="1:118" ht="15.75" customHeight="1">
      <c r="A18" s="8">
        <v>23</v>
      </c>
      <c r="B18" s="16" t="s">
        <v>599</v>
      </c>
      <c r="C18" s="2" t="s">
        <v>69</v>
      </c>
      <c r="D18" s="2" t="s">
        <v>70</v>
      </c>
      <c r="E18" s="9">
        <v>43672.581142627314</v>
      </c>
      <c r="F18" s="2" t="s">
        <v>600</v>
      </c>
      <c r="G18" s="2" t="s">
        <v>601</v>
      </c>
      <c r="H18" s="2" t="s">
        <v>602</v>
      </c>
      <c r="I18" s="2" t="s">
        <v>83</v>
      </c>
      <c r="J18" s="10" t="s">
        <v>603</v>
      </c>
      <c r="K18" s="2" t="s">
        <v>605</v>
      </c>
      <c r="L18" s="2" t="s">
        <v>606</v>
      </c>
      <c r="M18" s="2" t="s">
        <v>77</v>
      </c>
      <c r="N18" s="2" t="s">
        <v>77</v>
      </c>
      <c r="O18" s="2" t="s">
        <v>607</v>
      </c>
      <c r="P18" s="2" t="s">
        <v>608</v>
      </c>
      <c r="Q18" s="2" t="s">
        <v>609</v>
      </c>
      <c r="R18" s="2" t="s">
        <v>610</v>
      </c>
      <c r="S18" s="38" t="s">
        <v>2117</v>
      </c>
      <c r="T18" s="2">
        <v>2017</v>
      </c>
      <c r="U18" s="2" t="s">
        <v>82</v>
      </c>
      <c r="V18" s="2" t="s">
        <v>74</v>
      </c>
      <c r="W18" s="2" t="s">
        <v>74</v>
      </c>
      <c r="X18" s="2" t="s">
        <v>611</v>
      </c>
      <c r="Y18" s="38" t="s">
        <v>738</v>
      </c>
      <c r="Z18" s="38" t="s">
        <v>612</v>
      </c>
      <c r="AA18" s="38" t="s">
        <v>2121</v>
      </c>
      <c r="AB18" s="38" t="s">
        <v>613</v>
      </c>
      <c r="AC18" s="38" t="s">
        <v>731</v>
      </c>
      <c r="AD18" s="2" t="s">
        <v>74</v>
      </c>
      <c r="AE18" s="2" t="s">
        <v>614</v>
      </c>
      <c r="AF18" s="2" t="s">
        <v>614</v>
      </c>
      <c r="AG18" s="2" t="s">
        <v>122</v>
      </c>
      <c r="AH18" s="2" t="s">
        <v>122</v>
      </c>
      <c r="AI18" s="2" t="s">
        <v>161</v>
      </c>
      <c r="AJ18" s="2" t="s">
        <v>161</v>
      </c>
      <c r="AK18" s="2" t="s">
        <v>74</v>
      </c>
      <c r="AL18" s="2" t="s">
        <v>74</v>
      </c>
      <c r="AM18" s="2" t="s">
        <v>617</v>
      </c>
      <c r="AN18" s="2" t="s">
        <v>205</v>
      </c>
      <c r="AO18" s="2" t="s">
        <v>90</v>
      </c>
      <c r="AP18" s="2" t="s">
        <v>90</v>
      </c>
      <c r="AQ18" s="2" t="s">
        <v>618</v>
      </c>
      <c r="AR18" s="2" t="s">
        <v>618</v>
      </c>
      <c r="AS18" s="2" t="s">
        <v>548</v>
      </c>
      <c r="AT18" s="2" t="s">
        <v>548</v>
      </c>
      <c r="AU18" s="2" t="s">
        <v>93</v>
      </c>
      <c r="AV18" s="2" t="s">
        <v>93</v>
      </c>
      <c r="AW18" s="2" t="s">
        <v>94</v>
      </c>
      <c r="AX18" s="2" t="s">
        <v>94</v>
      </c>
      <c r="AY18" s="2" t="s">
        <v>74</v>
      </c>
      <c r="AZ18" s="2" t="s">
        <v>74</v>
      </c>
      <c r="BA18" s="2" t="s">
        <v>265</v>
      </c>
      <c r="BB18" s="2" t="s">
        <v>265</v>
      </c>
      <c r="BC18" s="2" t="s">
        <v>74</v>
      </c>
      <c r="BD18" s="2" t="s">
        <v>74</v>
      </c>
      <c r="BE18" s="2" t="s">
        <v>233</v>
      </c>
      <c r="BF18" s="2" t="s">
        <v>74</v>
      </c>
      <c r="BG18" s="2" t="s">
        <v>74</v>
      </c>
      <c r="BH18" s="2" t="s">
        <v>97</v>
      </c>
      <c r="BI18" s="2" t="s">
        <v>97</v>
      </c>
      <c r="BJ18" s="2" t="s">
        <v>130</v>
      </c>
      <c r="BK18" s="2" t="s">
        <v>130</v>
      </c>
      <c r="BL18" s="2" t="s">
        <v>620</v>
      </c>
      <c r="BM18" s="2" t="s">
        <v>2174</v>
      </c>
      <c r="BN18" s="2" t="s">
        <v>233</v>
      </c>
      <c r="BO18" s="39" t="s">
        <v>2195</v>
      </c>
      <c r="BP18" s="39"/>
      <c r="BQ18" s="2" t="s">
        <v>107</v>
      </c>
      <c r="BR18" s="2" t="s">
        <v>621</v>
      </c>
      <c r="BS18" s="2" t="s">
        <v>101</v>
      </c>
      <c r="BT18" s="2" t="s">
        <v>107</v>
      </c>
      <c r="BU18" s="2" t="s">
        <v>107</v>
      </c>
      <c r="BV18" s="2" t="s">
        <v>233</v>
      </c>
      <c r="BW18" s="2" t="s">
        <v>233</v>
      </c>
      <c r="BX18" s="8"/>
      <c r="BY18" s="2" t="s">
        <v>233</v>
      </c>
      <c r="BZ18" s="2" t="s">
        <v>233</v>
      </c>
      <c r="CA18" s="2" t="s">
        <v>104</v>
      </c>
      <c r="CB18" s="2" t="s">
        <v>104</v>
      </c>
      <c r="CC18" s="2" t="s">
        <v>105</v>
      </c>
      <c r="CD18" s="2" t="s">
        <v>105</v>
      </c>
      <c r="CE18" s="2" t="s">
        <v>233</v>
      </c>
      <c r="CF18" s="2" t="s">
        <v>233</v>
      </c>
      <c r="CG18" s="8"/>
      <c r="CH18" s="2" t="s">
        <v>233</v>
      </c>
      <c r="CI18" s="2" t="s">
        <v>233</v>
      </c>
      <c r="CJ18" s="2" t="s">
        <v>233</v>
      </c>
      <c r="CK18" s="2" t="s">
        <v>233</v>
      </c>
      <c r="CL18" s="2" t="s">
        <v>233</v>
      </c>
      <c r="CM18" s="8"/>
      <c r="CN18" s="2" t="s">
        <v>624</v>
      </c>
      <c r="CO18" s="2" t="s">
        <v>233</v>
      </c>
      <c r="CP18" s="2" t="s">
        <v>233</v>
      </c>
      <c r="CQ18" s="8"/>
      <c r="CR18" s="2" t="s">
        <v>74</v>
      </c>
      <c r="CS18" s="2" t="s">
        <v>625</v>
      </c>
      <c r="CU18" s="8"/>
      <c r="CV18" s="8"/>
      <c r="CW18" s="8"/>
      <c r="CX18" s="8"/>
      <c r="CY18" s="8"/>
      <c r="CZ18" s="8"/>
      <c r="DA18" s="8"/>
      <c r="DB18" s="8"/>
      <c r="DC18" s="8"/>
      <c r="DD18" s="8"/>
      <c r="DE18" s="8"/>
      <c r="DF18" s="8"/>
      <c r="DG18" s="8"/>
      <c r="DH18" s="8"/>
      <c r="DI18" s="8"/>
      <c r="DJ18" s="8"/>
      <c r="DK18" s="8"/>
      <c r="DL18" s="8"/>
    </row>
    <row r="19" spans="1:118" ht="15.75" customHeight="1">
      <c r="A19" s="8">
        <v>24</v>
      </c>
      <c r="B19" s="8"/>
      <c r="C19" s="2" t="s">
        <v>69</v>
      </c>
      <c r="D19" s="2" t="s">
        <v>70</v>
      </c>
      <c r="E19" s="9">
        <v>43672.709051481477</v>
      </c>
      <c r="F19" s="2" t="s">
        <v>626</v>
      </c>
      <c r="G19" s="2" t="s">
        <v>627</v>
      </c>
      <c r="H19" s="2" t="s">
        <v>628</v>
      </c>
      <c r="I19" s="2" t="s">
        <v>74</v>
      </c>
      <c r="J19" s="10" t="s">
        <v>629</v>
      </c>
      <c r="K19" s="2" t="s">
        <v>633</v>
      </c>
      <c r="L19" s="2" t="s">
        <v>634</v>
      </c>
      <c r="M19" s="2" t="s">
        <v>77</v>
      </c>
      <c r="N19" s="2" t="s">
        <v>77</v>
      </c>
      <c r="O19" s="2" t="s">
        <v>635</v>
      </c>
      <c r="P19" s="2" t="s">
        <v>636</v>
      </c>
      <c r="Q19" s="2" t="s">
        <v>637</v>
      </c>
      <c r="R19" s="2" t="s">
        <v>118</v>
      </c>
      <c r="S19" s="2" t="s">
        <v>118</v>
      </c>
      <c r="T19" s="2">
        <v>2016</v>
      </c>
      <c r="U19" s="2" t="s">
        <v>82</v>
      </c>
      <c r="V19" s="2" t="s">
        <v>74</v>
      </c>
      <c r="W19" s="2" t="s">
        <v>74</v>
      </c>
      <c r="X19" s="2" t="s">
        <v>515</v>
      </c>
      <c r="Y19" s="2" t="s">
        <v>515</v>
      </c>
      <c r="Z19" s="38" t="s">
        <v>639</v>
      </c>
      <c r="AA19" s="38" t="s">
        <v>2122</v>
      </c>
      <c r="AB19" s="2" t="s">
        <v>85</v>
      </c>
      <c r="AC19" s="2" t="s">
        <v>85</v>
      </c>
      <c r="AD19" s="2" t="s">
        <v>74</v>
      </c>
      <c r="AE19" s="2" t="s">
        <v>640</v>
      </c>
      <c r="AF19" s="2" t="s">
        <v>640</v>
      </c>
      <c r="AG19" s="2" t="s">
        <v>260</v>
      </c>
      <c r="AH19" s="2" t="s">
        <v>260</v>
      </c>
      <c r="AI19" s="2" t="s">
        <v>641</v>
      </c>
      <c r="AJ19" s="2" t="s">
        <v>641</v>
      </c>
      <c r="AK19" s="2" t="s">
        <v>107</v>
      </c>
      <c r="AL19" s="2" t="s">
        <v>107</v>
      </c>
      <c r="AM19" s="8"/>
      <c r="AN19" s="2" t="s">
        <v>125</v>
      </c>
      <c r="AO19" s="2" t="s">
        <v>126</v>
      </c>
      <c r="AP19" s="2" t="s">
        <v>126</v>
      </c>
      <c r="AQ19" s="2" t="s">
        <v>642</v>
      </c>
      <c r="AR19" s="2" t="s">
        <v>642</v>
      </c>
      <c r="AS19" s="2" t="s">
        <v>162</v>
      </c>
      <c r="AT19" s="2" t="s">
        <v>162</v>
      </c>
      <c r="AU19" s="2" t="s">
        <v>284</v>
      </c>
      <c r="AV19" s="2" t="s">
        <v>284</v>
      </c>
      <c r="AW19" s="2" t="s">
        <v>264</v>
      </c>
      <c r="AX19" s="2" t="s">
        <v>264</v>
      </c>
      <c r="AY19" s="2" t="s">
        <v>74</v>
      </c>
      <c r="AZ19" s="2" t="s">
        <v>74</v>
      </c>
      <c r="BA19" s="2" t="s">
        <v>643</v>
      </c>
      <c r="BB19" s="2" t="s">
        <v>643</v>
      </c>
      <c r="BC19" s="2" t="s">
        <v>74</v>
      </c>
      <c r="BD19" s="2" t="s">
        <v>74</v>
      </c>
      <c r="BE19" s="2" t="s">
        <v>74</v>
      </c>
      <c r="BF19" s="2" t="s">
        <v>74</v>
      </c>
      <c r="BG19" s="2" t="s">
        <v>74</v>
      </c>
      <c r="BH19" s="2" t="s">
        <v>97</v>
      </c>
      <c r="BI19" s="2" t="s">
        <v>97</v>
      </c>
      <c r="BJ19" s="2" t="s">
        <v>92</v>
      </c>
      <c r="BK19" s="2" t="s">
        <v>92</v>
      </c>
      <c r="BL19" s="2" t="s">
        <v>644</v>
      </c>
      <c r="BM19" s="2" t="s">
        <v>644</v>
      </c>
      <c r="BN19" s="2" t="s">
        <v>365</v>
      </c>
      <c r="BO19" s="2" t="s">
        <v>74</v>
      </c>
      <c r="BP19" s="2" t="s">
        <v>2199</v>
      </c>
      <c r="BQ19" s="2" t="s">
        <v>74</v>
      </c>
      <c r="BR19" s="2" t="s">
        <v>101</v>
      </c>
      <c r="BS19" s="2" t="s">
        <v>101</v>
      </c>
      <c r="BT19" s="2" t="s">
        <v>107</v>
      </c>
      <c r="BU19" s="2" t="s">
        <v>107</v>
      </c>
      <c r="BV19" s="2" t="s">
        <v>107</v>
      </c>
      <c r="BW19" s="2" t="s">
        <v>107</v>
      </c>
      <c r="BX19" s="8"/>
      <c r="BY19" s="2" t="s">
        <v>107</v>
      </c>
      <c r="BZ19" s="2" t="s">
        <v>107</v>
      </c>
      <c r="CA19" s="2" t="s">
        <v>167</v>
      </c>
      <c r="CB19" s="2" t="s">
        <v>167</v>
      </c>
      <c r="CC19" s="2" t="s">
        <v>105</v>
      </c>
      <c r="CD19" s="2" t="s">
        <v>105</v>
      </c>
      <c r="CE19" s="2" t="s">
        <v>233</v>
      </c>
      <c r="CF19" s="2" t="s">
        <v>233</v>
      </c>
      <c r="CG19" s="8"/>
      <c r="CH19" s="2" t="s">
        <v>233</v>
      </c>
      <c r="CI19" s="2" t="s">
        <v>140</v>
      </c>
      <c r="CJ19" s="2" t="s">
        <v>140</v>
      </c>
      <c r="CK19" s="2" t="s">
        <v>74</v>
      </c>
      <c r="CL19" s="2" t="s">
        <v>316</v>
      </c>
      <c r="CM19" s="10" t="s">
        <v>645</v>
      </c>
      <c r="CN19" s="2" t="s">
        <v>213</v>
      </c>
      <c r="CO19" s="2" t="s">
        <v>213</v>
      </c>
      <c r="CP19" s="2" t="s">
        <v>652</v>
      </c>
      <c r="CQ19" s="8"/>
      <c r="CR19" s="2" t="s">
        <v>74</v>
      </c>
      <c r="CS19" s="8"/>
      <c r="CU19" s="8"/>
      <c r="CV19" s="8"/>
      <c r="CW19" s="8"/>
      <c r="CX19" s="8"/>
      <c r="CY19" s="8"/>
      <c r="CZ19" s="8"/>
      <c r="DA19" s="8"/>
      <c r="DB19" s="8"/>
      <c r="DC19" s="8"/>
      <c r="DD19" s="8"/>
      <c r="DE19" s="8"/>
      <c r="DF19" s="8"/>
      <c r="DG19" s="8"/>
      <c r="DH19" s="8"/>
      <c r="DI19" s="8"/>
      <c r="DJ19" s="8"/>
      <c r="DK19" s="8"/>
      <c r="DL19" s="8"/>
    </row>
    <row r="20" spans="1:118" ht="15.75" customHeight="1">
      <c r="A20" s="8">
        <v>25</v>
      </c>
      <c r="B20" s="4" t="s">
        <v>657</v>
      </c>
      <c r="C20" s="2" t="s">
        <v>69</v>
      </c>
      <c r="D20" s="2" t="s">
        <v>70</v>
      </c>
      <c r="E20" s="9">
        <v>43672.743725138891</v>
      </c>
      <c r="F20" s="2" t="s">
        <v>659</v>
      </c>
      <c r="G20" s="2" t="s">
        <v>660</v>
      </c>
      <c r="H20" s="2" t="s">
        <v>661</v>
      </c>
      <c r="I20" s="2" t="s">
        <v>74</v>
      </c>
      <c r="J20" s="2" t="s">
        <v>284</v>
      </c>
      <c r="K20" s="2" t="s">
        <v>659</v>
      </c>
      <c r="L20" s="2" t="s">
        <v>663</v>
      </c>
      <c r="M20" s="2" t="s">
        <v>665</v>
      </c>
      <c r="N20" s="2" t="s">
        <v>665</v>
      </c>
      <c r="O20" s="2" t="s">
        <v>666</v>
      </c>
      <c r="P20" s="2" t="s">
        <v>608</v>
      </c>
      <c r="Q20" s="2" t="s">
        <v>667</v>
      </c>
      <c r="R20" s="2" t="s">
        <v>81</v>
      </c>
      <c r="S20" s="2" t="s">
        <v>81</v>
      </c>
      <c r="T20" s="2">
        <v>2019</v>
      </c>
      <c r="U20" s="2" t="s">
        <v>82</v>
      </c>
      <c r="V20" s="2" t="s">
        <v>83</v>
      </c>
      <c r="W20" s="2" t="s">
        <v>83</v>
      </c>
      <c r="X20" s="8"/>
      <c r="Y20" s="8"/>
      <c r="Z20" s="2" t="s">
        <v>670</v>
      </c>
      <c r="AA20" s="38" t="s">
        <v>738</v>
      </c>
      <c r="AB20" s="2" t="s">
        <v>385</v>
      </c>
      <c r="AC20" s="2" t="s">
        <v>385</v>
      </c>
      <c r="AD20" s="2" t="s">
        <v>74</v>
      </c>
      <c r="AE20" s="2" t="s">
        <v>674</v>
      </c>
      <c r="AF20" s="2" t="s">
        <v>674</v>
      </c>
      <c r="AG20" s="2" t="s">
        <v>676</v>
      </c>
      <c r="AH20" s="2" t="s">
        <v>676</v>
      </c>
      <c r="AI20" s="2" t="s">
        <v>123</v>
      </c>
      <c r="AJ20" s="2" t="s">
        <v>123</v>
      </c>
      <c r="AK20" s="2" t="s">
        <v>107</v>
      </c>
      <c r="AL20" s="2" t="s">
        <v>107</v>
      </c>
      <c r="AM20" s="8"/>
      <c r="AN20" s="2" t="s">
        <v>125</v>
      </c>
      <c r="AO20" s="2" t="s">
        <v>679</v>
      </c>
      <c r="AP20" s="2" t="s">
        <v>90</v>
      </c>
      <c r="AQ20" s="2" t="s">
        <v>681</v>
      </c>
      <c r="AR20" s="38" t="s">
        <v>2088</v>
      </c>
      <c r="AS20" s="2" t="s">
        <v>681</v>
      </c>
      <c r="AT20" s="38" t="s">
        <v>2088</v>
      </c>
      <c r="AU20" s="2" t="s">
        <v>107</v>
      </c>
      <c r="AV20" s="2" t="s">
        <v>107</v>
      </c>
      <c r="AW20" s="2" t="s">
        <v>107</v>
      </c>
      <c r="AX20" s="2" t="s">
        <v>107</v>
      </c>
      <c r="AY20" s="2" t="s">
        <v>83</v>
      </c>
      <c r="AZ20" s="2" t="s">
        <v>107</v>
      </c>
      <c r="BA20" s="2" t="s">
        <v>107</v>
      </c>
      <c r="BB20" s="2" t="s">
        <v>107</v>
      </c>
      <c r="BC20" s="2" t="s">
        <v>233</v>
      </c>
      <c r="BD20" s="2" t="s">
        <v>107</v>
      </c>
      <c r="BE20" s="2" t="s">
        <v>107</v>
      </c>
      <c r="BF20" s="2" t="s">
        <v>107</v>
      </c>
      <c r="BG20" s="2" t="s">
        <v>107</v>
      </c>
      <c r="BH20" s="2" t="s">
        <v>107</v>
      </c>
      <c r="BI20" s="2" t="s">
        <v>107</v>
      </c>
      <c r="BJ20" s="2" t="s">
        <v>107</v>
      </c>
      <c r="BK20" s="2" t="s">
        <v>107</v>
      </c>
      <c r="BL20" s="2" t="s">
        <v>308</v>
      </c>
      <c r="BM20" s="2" t="s">
        <v>308</v>
      </c>
      <c r="BN20" s="2" t="s">
        <v>683</v>
      </c>
      <c r="BO20" s="2" t="s">
        <v>74</v>
      </c>
      <c r="BP20" s="2" t="s">
        <v>2213</v>
      </c>
      <c r="BQ20" s="2" t="s">
        <v>74</v>
      </c>
      <c r="BR20" s="2" t="s">
        <v>107</v>
      </c>
      <c r="BS20" s="2" t="s">
        <v>107</v>
      </c>
      <c r="BT20" s="2" t="s">
        <v>107</v>
      </c>
      <c r="BU20" s="2" t="s">
        <v>107</v>
      </c>
      <c r="BV20" s="2" t="s">
        <v>107</v>
      </c>
      <c r="BW20" s="2" t="s">
        <v>107</v>
      </c>
      <c r="BX20" s="8"/>
      <c r="BY20" s="2" t="s">
        <v>107</v>
      </c>
      <c r="BZ20" s="2" t="s">
        <v>107</v>
      </c>
      <c r="CA20" s="2" t="s">
        <v>107</v>
      </c>
      <c r="CB20" s="2" t="s">
        <v>107</v>
      </c>
      <c r="CC20" s="2" t="s">
        <v>107</v>
      </c>
      <c r="CD20" s="2" t="s">
        <v>107</v>
      </c>
      <c r="CE20" s="2" t="s">
        <v>107</v>
      </c>
      <c r="CF20" s="2" t="s">
        <v>107</v>
      </c>
      <c r="CG20" s="8"/>
      <c r="CH20" s="2" t="s">
        <v>107</v>
      </c>
      <c r="CI20" s="2" t="s">
        <v>108</v>
      </c>
      <c r="CJ20" s="2" t="s">
        <v>108</v>
      </c>
      <c r="CK20" s="2" t="s">
        <v>107</v>
      </c>
      <c r="CL20" s="2" t="s">
        <v>107</v>
      </c>
      <c r="CM20" s="8"/>
      <c r="CN20" s="2" t="s">
        <v>107</v>
      </c>
      <c r="CO20" s="2" t="s">
        <v>107</v>
      </c>
      <c r="CP20" s="2" t="s">
        <v>107</v>
      </c>
      <c r="CQ20" s="8"/>
      <c r="CR20" s="2" t="s">
        <v>74</v>
      </c>
      <c r="CS20" s="2" t="s">
        <v>686</v>
      </c>
      <c r="CU20" s="8"/>
      <c r="CV20" s="8"/>
      <c r="CW20" s="8"/>
      <c r="CX20" s="8"/>
      <c r="CY20" s="8"/>
      <c r="CZ20" s="8"/>
      <c r="DA20" s="8"/>
      <c r="DB20" s="8"/>
      <c r="DC20" s="8"/>
      <c r="DD20" s="8"/>
      <c r="DE20" s="8"/>
      <c r="DF20" s="8"/>
      <c r="DG20" s="8"/>
      <c r="DH20" s="8"/>
      <c r="DI20" s="8"/>
      <c r="DJ20" s="8"/>
      <c r="DK20" s="8"/>
      <c r="DL20" s="8"/>
    </row>
    <row r="21" spans="1:118" ht="15.75" customHeight="1">
      <c r="A21" s="8">
        <v>26</v>
      </c>
      <c r="B21" s="118" t="s">
        <v>689</v>
      </c>
      <c r="C21" s="14" t="s">
        <v>69</v>
      </c>
      <c r="D21" s="2" t="s">
        <v>70</v>
      </c>
      <c r="E21" s="15">
        <v>43673.651002372688</v>
      </c>
      <c r="F21" s="16" t="s">
        <v>595</v>
      </c>
      <c r="G21" s="16" t="s">
        <v>596</v>
      </c>
      <c r="H21" s="16" t="s">
        <v>698</v>
      </c>
      <c r="I21" s="16" t="s">
        <v>83</v>
      </c>
      <c r="J21" s="17" t="s">
        <v>700</v>
      </c>
      <c r="K21" s="16" t="s">
        <v>708</v>
      </c>
      <c r="L21" s="16" t="s">
        <v>709</v>
      </c>
      <c r="M21" s="16" t="s">
        <v>152</v>
      </c>
      <c r="N21" s="16" t="s">
        <v>152</v>
      </c>
      <c r="O21" s="16" t="s">
        <v>78</v>
      </c>
      <c r="P21" s="16" t="s">
        <v>79</v>
      </c>
      <c r="Q21" s="16" t="s">
        <v>710</v>
      </c>
      <c r="R21" s="16" t="s">
        <v>118</v>
      </c>
      <c r="S21" s="16" t="s">
        <v>118</v>
      </c>
      <c r="T21" s="16" t="s">
        <v>107</v>
      </c>
      <c r="U21" s="16" t="s">
        <v>82</v>
      </c>
      <c r="V21" s="16" t="s">
        <v>83</v>
      </c>
      <c r="W21" s="16" t="s">
        <v>83</v>
      </c>
      <c r="X21" s="16"/>
      <c r="Y21" s="16"/>
      <c r="Z21" s="16" t="s">
        <v>84</v>
      </c>
      <c r="AA21" s="16" t="s">
        <v>84</v>
      </c>
      <c r="AB21" s="16" t="s">
        <v>712</v>
      </c>
      <c r="AC21" s="16" t="s">
        <v>738</v>
      </c>
      <c r="AD21" s="16" t="s">
        <v>74</v>
      </c>
      <c r="AE21" s="16" t="s">
        <v>715</v>
      </c>
      <c r="AF21" s="16" t="s">
        <v>715</v>
      </c>
      <c r="AG21" s="16" t="s">
        <v>260</v>
      </c>
      <c r="AH21" s="16" t="s">
        <v>260</v>
      </c>
      <c r="AI21" s="16" t="s">
        <v>366</v>
      </c>
      <c r="AJ21" s="16" t="s">
        <v>366</v>
      </c>
      <c r="AK21" s="16" t="s">
        <v>107</v>
      </c>
      <c r="AL21" s="16" t="s">
        <v>107</v>
      </c>
      <c r="AM21" s="16"/>
      <c r="AN21" s="16" t="s">
        <v>303</v>
      </c>
      <c r="AO21" s="16" t="s">
        <v>126</v>
      </c>
      <c r="AP21" s="16" t="s">
        <v>126</v>
      </c>
      <c r="AQ21" s="16" t="s">
        <v>409</v>
      </c>
      <c r="AR21" s="16" t="s">
        <v>409</v>
      </c>
      <c r="AS21" s="16" t="s">
        <v>207</v>
      </c>
      <c r="AT21" s="16" t="s">
        <v>207</v>
      </c>
      <c r="AU21" s="16" t="s">
        <v>93</v>
      </c>
      <c r="AV21" s="16" t="s">
        <v>93</v>
      </c>
      <c r="AW21" s="16" t="s">
        <v>94</v>
      </c>
      <c r="AX21" s="16" t="s">
        <v>94</v>
      </c>
      <c r="AY21" s="16" t="s">
        <v>83</v>
      </c>
      <c r="AZ21" s="16" t="s">
        <v>83</v>
      </c>
      <c r="BA21" s="16" t="s">
        <v>107</v>
      </c>
      <c r="BB21" s="16" t="s">
        <v>107</v>
      </c>
      <c r="BC21" s="16" t="s">
        <v>74</v>
      </c>
      <c r="BD21" s="16" t="s">
        <v>74</v>
      </c>
      <c r="BE21" s="16" t="s">
        <v>107</v>
      </c>
      <c r="BF21" s="16" t="s">
        <v>107</v>
      </c>
      <c r="BG21" s="16" t="s">
        <v>107</v>
      </c>
      <c r="BH21" s="16" t="s">
        <v>233</v>
      </c>
      <c r="BI21" s="16" t="s">
        <v>233</v>
      </c>
      <c r="BJ21" s="16" t="s">
        <v>130</v>
      </c>
      <c r="BK21" s="16" t="s">
        <v>130</v>
      </c>
      <c r="BL21" s="16" t="s">
        <v>725</v>
      </c>
      <c r="BM21" s="16" t="s">
        <v>725</v>
      </c>
      <c r="BN21" s="16" t="s">
        <v>631</v>
      </c>
      <c r="BO21" s="2" t="s">
        <v>74</v>
      </c>
      <c r="BP21" s="39" t="s">
        <v>2225</v>
      </c>
      <c r="BQ21" s="16" t="s">
        <v>107</v>
      </c>
      <c r="BR21" s="16" t="s">
        <v>107</v>
      </c>
      <c r="BS21" s="16" t="s">
        <v>107</v>
      </c>
      <c r="BT21" s="16" t="s">
        <v>107</v>
      </c>
      <c r="BU21" s="16" t="s">
        <v>107</v>
      </c>
      <c r="BV21" s="16" t="s">
        <v>74</v>
      </c>
      <c r="BW21" s="16" t="s">
        <v>74</v>
      </c>
      <c r="BX21" s="16" t="s">
        <v>728</v>
      </c>
      <c r="BY21" s="16" t="s">
        <v>233</v>
      </c>
      <c r="BZ21" s="16" t="s">
        <v>233</v>
      </c>
      <c r="CA21" s="16" t="s">
        <v>522</v>
      </c>
      <c r="CB21" s="16" t="s">
        <v>522</v>
      </c>
      <c r="CC21" s="16" t="s">
        <v>370</v>
      </c>
      <c r="CD21" s="16" t="s">
        <v>370</v>
      </c>
      <c r="CE21" s="16" t="s">
        <v>269</v>
      </c>
      <c r="CF21" s="16" t="s">
        <v>269</v>
      </c>
      <c r="CG21" s="16" t="s">
        <v>732</v>
      </c>
      <c r="CH21" s="16" t="s">
        <v>233</v>
      </c>
      <c r="CI21" s="16" t="s">
        <v>139</v>
      </c>
      <c r="CJ21" s="16" t="s">
        <v>171</v>
      </c>
      <c r="CK21" s="16" t="s">
        <v>83</v>
      </c>
      <c r="CL21" s="16" t="s">
        <v>107</v>
      </c>
      <c r="CM21" s="16"/>
      <c r="CN21" s="16" t="s">
        <v>107</v>
      </c>
      <c r="CO21" s="16" t="s">
        <v>107</v>
      </c>
      <c r="CP21" s="16" t="s">
        <v>107</v>
      </c>
      <c r="CQ21" s="16"/>
      <c r="CR21" s="16" t="s">
        <v>74</v>
      </c>
      <c r="CS21" s="16"/>
      <c r="CU21" s="8"/>
      <c r="CV21" s="8"/>
      <c r="CW21" s="8"/>
      <c r="CX21" s="8"/>
      <c r="CY21" s="8"/>
      <c r="CZ21" s="8"/>
      <c r="DA21" s="8"/>
      <c r="DB21" s="8"/>
      <c r="DC21" s="8"/>
      <c r="DD21" s="8"/>
      <c r="DE21" s="8"/>
      <c r="DF21" s="8"/>
      <c r="DG21" s="8"/>
      <c r="DH21" s="8"/>
      <c r="DI21" s="8"/>
      <c r="DJ21" s="8"/>
      <c r="DK21" s="8"/>
      <c r="DL21" s="8"/>
    </row>
    <row r="22" spans="1:118" ht="15.75" customHeight="1">
      <c r="A22" s="8">
        <v>29</v>
      </c>
      <c r="B22" s="8"/>
      <c r="C22" s="2" t="s">
        <v>69</v>
      </c>
      <c r="D22" s="2" t="s">
        <v>70</v>
      </c>
      <c r="E22" s="9">
        <v>43675.445855925922</v>
      </c>
      <c r="F22" s="2" t="s">
        <v>740</v>
      </c>
      <c r="G22" s="2" t="s">
        <v>741</v>
      </c>
      <c r="H22" s="2" t="s">
        <v>742</v>
      </c>
      <c r="I22" s="2" t="s">
        <v>74</v>
      </c>
      <c r="J22" s="10" t="s">
        <v>743</v>
      </c>
      <c r="K22" s="2" t="s">
        <v>745</v>
      </c>
      <c r="L22" s="2" t="s">
        <v>746</v>
      </c>
      <c r="M22" s="2" t="s">
        <v>152</v>
      </c>
      <c r="N22" s="2" t="s">
        <v>152</v>
      </c>
      <c r="O22" s="2" t="s">
        <v>697</v>
      </c>
      <c r="P22" s="2" t="s">
        <v>748</v>
      </c>
      <c r="Q22" s="2" t="s">
        <v>749</v>
      </c>
      <c r="R22" s="2" t="s">
        <v>298</v>
      </c>
      <c r="S22" s="2" t="s">
        <v>298</v>
      </c>
      <c r="T22" s="2">
        <v>2017</v>
      </c>
      <c r="U22" s="2" t="s">
        <v>82</v>
      </c>
      <c r="V22" s="2" t="s">
        <v>74</v>
      </c>
      <c r="W22" s="2" t="s">
        <v>74</v>
      </c>
      <c r="X22" s="2" t="s">
        <v>256</v>
      </c>
      <c r="Y22" s="2" t="s">
        <v>256</v>
      </c>
      <c r="Z22" s="2" t="s">
        <v>84</v>
      </c>
      <c r="AA22" s="2" t="s">
        <v>84</v>
      </c>
      <c r="AB22" s="2" t="s">
        <v>85</v>
      </c>
      <c r="AC22" s="2" t="s">
        <v>85</v>
      </c>
      <c r="AD22" s="2" t="s">
        <v>74</v>
      </c>
      <c r="AE22" s="2" t="s">
        <v>752</v>
      </c>
      <c r="AF22" s="2" t="s">
        <v>752</v>
      </c>
      <c r="AG22" s="2" t="s">
        <v>190</v>
      </c>
      <c r="AH22" s="2" t="s">
        <v>190</v>
      </c>
      <c r="AI22" s="2" t="s">
        <v>123</v>
      </c>
      <c r="AJ22" s="2" t="s">
        <v>123</v>
      </c>
      <c r="AK22" s="2" t="s">
        <v>83</v>
      </c>
      <c r="AL22" s="2" t="s">
        <v>83</v>
      </c>
      <c r="AM22" s="8"/>
      <c r="AN22" s="2" t="s">
        <v>125</v>
      </c>
      <c r="AO22" s="2" t="s">
        <v>90</v>
      </c>
      <c r="AP22" s="2" t="s">
        <v>90</v>
      </c>
      <c r="AQ22" s="2" t="s">
        <v>756</v>
      </c>
      <c r="AR22" s="2" t="s">
        <v>756</v>
      </c>
      <c r="AS22" s="2" t="s">
        <v>162</v>
      </c>
      <c r="AT22" s="2" t="s">
        <v>162</v>
      </c>
      <c r="AU22" s="2" t="s">
        <v>284</v>
      </c>
      <c r="AV22" s="2" t="s">
        <v>284</v>
      </c>
      <c r="AW22" s="2" t="s">
        <v>94</v>
      </c>
      <c r="AX22" s="2" t="s">
        <v>94</v>
      </c>
      <c r="AY22" s="2" t="s">
        <v>74</v>
      </c>
      <c r="AZ22" s="2" t="s">
        <v>74</v>
      </c>
      <c r="BA22" s="2" t="s">
        <v>164</v>
      </c>
      <c r="BB22" s="2" t="s">
        <v>164</v>
      </c>
      <c r="BC22" s="2" t="s">
        <v>74</v>
      </c>
      <c r="BD22" s="2" t="s">
        <v>233</v>
      </c>
      <c r="BE22" s="2" t="s">
        <v>74</v>
      </c>
      <c r="BF22" s="2" t="s">
        <v>74</v>
      </c>
      <c r="BG22" s="2" t="s">
        <v>74</v>
      </c>
      <c r="BH22" s="2" t="s">
        <v>97</v>
      </c>
      <c r="BI22" s="2" t="s">
        <v>97</v>
      </c>
      <c r="BJ22" s="2" t="s">
        <v>130</v>
      </c>
      <c r="BK22" s="2" t="s">
        <v>130</v>
      </c>
      <c r="BL22" s="2" t="s">
        <v>308</v>
      </c>
      <c r="BM22" s="2" t="s">
        <v>308</v>
      </c>
      <c r="BN22" s="2" t="s">
        <v>631</v>
      </c>
      <c r="BO22" s="2" t="s">
        <v>74</v>
      </c>
      <c r="BP22" s="2" t="s">
        <v>2208</v>
      </c>
      <c r="BQ22" s="2" t="s">
        <v>74</v>
      </c>
      <c r="BR22" s="2" t="s">
        <v>759</v>
      </c>
      <c r="BS22" s="2" t="s">
        <v>738</v>
      </c>
      <c r="BT22" s="2" t="s">
        <v>760</v>
      </c>
      <c r="BU22" s="2" t="s">
        <v>284</v>
      </c>
      <c r="BV22" s="2" t="s">
        <v>83</v>
      </c>
      <c r="BW22" s="2" t="s">
        <v>83</v>
      </c>
      <c r="BX22" s="8"/>
      <c r="BY22" s="2" t="s">
        <v>233</v>
      </c>
      <c r="BZ22" s="2" t="s">
        <v>233</v>
      </c>
      <c r="CA22" s="2" t="s">
        <v>761</v>
      </c>
      <c r="CB22" s="2" t="s">
        <v>761</v>
      </c>
      <c r="CC22" s="2" t="s">
        <v>339</v>
      </c>
      <c r="CD22" s="2" t="s">
        <v>339</v>
      </c>
      <c r="CE22" s="2" t="s">
        <v>233</v>
      </c>
      <c r="CF22" s="2" t="s">
        <v>233</v>
      </c>
      <c r="CG22" s="8"/>
      <c r="CH22" s="2" t="s">
        <v>107</v>
      </c>
      <c r="CI22" s="2" t="s">
        <v>172</v>
      </c>
      <c r="CJ22" s="2" t="s">
        <v>139</v>
      </c>
      <c r="CK22" s="2" t="s">
        <v>233</v>
      </c>
      <c r="CL22" s="2">
        <v>0</v>
      </c>
      <c r="CM22" s="8"/>
      <c r="CN22" s="2" t="s">
        <v>233</v>
      </c>
      <c r="CO22" s="2" t="s">
        <v>233</v>
      </c>
      <c r="CP22" s="2" t="s">
        <v>233</v>
      </c>
      <c r="CQ22" s="8"/>
      <c r="CR22" s="2" t="s">
        <v>74</v>
      </c>
      <c r="CS22" s="2" t="s">
        <v>764</v>
      </c>
      <c r="CU22" s="8"/>
      <c r="CV22" s="8"/>
      <c r="CW22" s="8"/>
      <c r="CX22" s="8"/>
      <c r="CY22" s="8"/>
      <c r="CZ22" s="8"/>
      <c r="DA22" s="8"/>
      <c r="DB22" s="8"/>
      <c r="DC22" s="8"/>
      <c r="DD22" s="8"/>
      <c r="DE22" s="8"/>
      <c r="DF22" s="8"/>
      <c r="DG22" s="8"/>
      <c r="DH22" s="8"/>
      <c r="DI22" s="8"/>
      <c r="DJ22" s="8"/>
      <c r="DK22" s="8"/>
      <c r="DL22" s="8"/>
    </row>
    <row r="23" spans="1:118" ht="15.75" customHeight="1">
      <c r="A23" s="8">
        <v>30</v>
      </c>
      <c r="B23" s="118" t="s">
        <v>768</v>
      </c>
      <c r="C23" s="14" t="s">
        <v>69</v>
      </c>
      <c r="D23" s="2" t="s">
        <v>70</v>
      </c>
      <c r="E23" s="15">
        <v>43675.465374849533</v>
      </c>
      <c r="F23" s="16" t="s">
        <v>595</v>
      </c>
      <c r="G23" s="16" t="s">
        <v>596</v>
      </c>
      <c r="H23" s="16" t="s">
        <v>772</v>
      </c>
      <c r="I23" s="16" t="s">
        <v>83</v>
      </c>
      <c r="J23" s="123" t="s">
        <v>774</v>
      </c>
      <c r="K23" s="16" t="s">
        <v>778</v>
      </c>
      <c r="L23" s="16" t="s">
        <v>781</v>
      </c>
      <c r="M23" s="16" t="s">
        <v>77</v>
      </c>
      <c r="N23" s="16" t="s">
        <v>77</v>
      </c>
      <c r="O23" s="16" t="s">
        <v>78</v>
      </c>
      <c r="P23" s="16" t="s">
        <v>79</v>
      </c>
      <c r="Q23" s="16" t="s">
        <v>784</v>
      </c>
      <c r="R23" s="16" t="s">
        <v>418</v>
      </c>
      <c r="S23" s="16" t="s">
        <v>418</v>
      </c>
      <c r="T23" s="16">
        <v>2015</v>
      </c>
      <c r="U23" s="16" t="s">
        <v>107</v>
      </c>
      <c r="V23" s="16" t="s">
        <v>74</v>
      </c>
      <c r="W23" s="16" t="s">
        <v>74</v>
      </c>
      <c r="X23" s="125" t="s">
        <v>788</v>
      </c>
      <c r="Y23" s="125" t="s">
        <v>282</v>
      </c>
      <c r="Z23" s="16" t="s">
        <v>790</v>
      </c>
      <c r="AA23" s="16" t="s">
        <v>790</v>
      </c>
      <c r="AB23" s="16" t="s">
        <v>85</v>
      </c>
      <c r="AC23" s="16" t="s">
        <v>85</v>
      </c>
      <c r="AD23" s="16" t="s">
        <v>74</v>
      </c>
      <c r="AE23" s="16" t="s">
        <v>791</v>
      </c>
      <c r="AF23" s="16" t="s">
        <v>791</v>
      </c>
      <c r="AG23" s="16" t="s">
        <v>792</v>
      </c>
      <c r="AH23" s="16" t="s">
        <v>792</v>
      </c>
      <c r="AI23" s="16" t="s">
        <v>123</v>
      </c>
      <c r="AJ23" s="16" t="s">
        <v>123</v>
      </c>
      <c r="AK23" s="16" t="s">
        <v>74</v>
      </c>
      <c r="AL23" s="16" t="s">
        <v>74</v>
      </c>
      <c r="AM23" s="16" t="s">
        <v>794</v>
      </c>
      <c r="AN23" s="16" t="s">
        <v>89</v>
      </c>
      <c r="AO23" s="16" t="s">
        <v>126</v>
      </c>
      <c r="AP23" s="16" t="s">
        <v>126</v>
      </c>
      <c r="AQ23" s="16" t="s">
        <v>797</v>
      </c>
      <c r="AR23" s="16" t="s">
        <v>797</v>
      </c>
      <c r="AS23" s="16" t="s">
        <v>92</v>
      </c>
      <c r="AT23" s="16" t="s">
        <v>92</v>
      </c>
      <c r="AU23" s="16" t="s">
        <v>93</v>
      </c>
      <c r="AV23" s="16" t="s">
        <v>93</v>
      </c>
      <c r="AW23" s="16" t="s">
        <v>264</v>
      </c>
      <c r="AX23" s="16" t="s">
        <v>264</v>
      </c>
      <c r="AY23" s="16" t="s">
        <v>74</v>
      </c>
      <c r="AZ23" s="16" t="s">
        <v>74</v>
      </c>
      <c r="BA23" s="16" t="s">
        <v>96</v>
      </c>
      <c r="BB23" s="16" t="s">
        <v>96</v>
      </c>
      <c r="BC23" s="16" t="s">
        <v>107</v>
      </c>
      <c r="BD23" s="16" t="s">
        <v>107</v>
      </c>
      <c r="BE23" s="16" t="s">
        <v>74</v>
      </c>
      <c r="BF23" s="16" t="s">
        <v>74</v>
      </c>
      <c r="BG23" s="16" t="s">
        <v>74</v>
      </c>
      <c r="BH23" s="16" t="s">
        <v>97</v>
      </c>
      <c r="BI23" s="16" t="s">
        <v>97</v>
      </c>
      <c r="BJ23" s="16" t="s">
        <v>130</v>
      </c>
      <c r="BK23" s="16" t="s">
        <v>130</v>
      </c>
      <c r="BL23" s="16" t="s">
        <v>802</v>
      </c>
      <c r="BM23" s="16" t="s">
        <v>2176</v>
      </c>
      <c r="BN23" s="16" t="s">
        <v>631</v>
      </c>
      <c r="BO23" s="2" t="s">
        <v>83</v>
      </c>
      <c r="BP23" s="39" t="s">
        <v>2201</v>
      </c>
      <c r="BQ23" s="16" t="s">
        <v>74</v>
      </c>
      <c r="BR23" s="16" t="s">
        <v>107</v>
      </c>
      <c r="BS23" s="16" t="s">
        <v>107</v>
      </c>
      <c r="BT23" s="16" t="s">
        <v>107</v>
      </c>
      <c r="BU23" s="16" t="s">
        <v>107</v>
      </c>
      <c r="BV23" s="16" t="s">
        <v>107</v>
      </c>
      <c r="BW23" s="16" t="s">
        <v>107</v>
      </c>
      <c r="BX23" s="16"/>
      <c r="BY23" s="16" t="s">
        <v>233</v>
      </c>
      <c r="BZ23" s="16" t="s">
        <v>233</v>
      </c>
      <c r="CA23" s="16" t="s">
        <v>805</v>
      </c>
      <c r="CB23" s="16" t="s">
        <v>805</v>
      </c>
      <c r="CC23" s="16" t="s">
        <v>105</v>
      </c>
      <c r="CD23" s="16" t="s">
        <v>105</v>
      </c>
      <c r="CE23" s="16" t="s">
        <v>593</v>
      </c>
      <c r="CF23" s="16" t="s">
        <v>593</v>
      </c>
      <c r="CG23" s="16" t="s">
        <v>808</v>
      </c>
      <c r="CH23" s="16" t="s">
        <v>233</v>
      </c>
      <c r="CI23" s="16" t="s">
        <v>139</v>
      </c>
      <c r="CJ23" s="16" t="s">
        <v>108</v>
      </c>
      <c r="CK23" s="16" t="s">
        <v>74</v>
      </c>
      <c r="CL23" s="16" t="s">
        <v>107</v>
      </c>
      <c r="CM23" s="16"/>
      <c r="CN23" s="16" t="s">
        <v>107</v>
      </c>
      <c r="CO23" s="16" t="s">
        <v>107</v>
      </c>
      <c r="CP23" s="16" t="s">
        <v>107</v>
      </c>
      <c r="CQ23" s="16"/>
      <c r="CR23" s="16" t="s">
        <v>74</v>
      </c>
      <c r="CS23" s="16"/>
      <c r="CT23" s="21"/>
      <c r="CU23" s="8"/>
      <c r="CV23" s="8"/>
      <c r="CW23" s="8"/>
      <c r="CX23" s="8"/>
      <c r="CY23" s="8"/>
      <c r="CZ23" s="8"/>
      <c r="DA23" s="8"/>
      <c r="DB23" s="8"/>
      <c r="DC23" s="8"/>
      <c r="DD23" s="8"/>
      <c r="DE23" s="8"/>
      <c r="DF23" s="8"/>
      <c r="DG23" s="8"/>
      <c r="DH23" s="8"/>
      <c r="DI23" s="8"/>
      <c r="DJ23" s="8"/>
      <c r="DK23" s="8"/>
      <c r="DL23" s="8"/>
    </row>
    <row r="24" spans="1:118" ht="15.75" customHeight="1">
      <c r="A24" s="8">
        <v>31</v>
      </c>
      <c r="B24" s="117"/>
      <c r="C24" s="120" t="s">
        <v>69</v>
      </c>
      <c r="D24" s="2" t="s">
        <v>70</v>
      </c>
      <c r="E24" s="121">
        <v>43678.44958724537</v>
      </c>
      <c r="F24" s="120" t="s">
        <v>818</v>
      </c>
      <c r="G24" s="120" t="s">
        <v>820</v>
      </c>
      <c r="H24" s="120" t="s">
        <v>821</v>
      </c>
      <c r="I24" s="120" t="s">
        <v>74</v>
      </c>
      <c r="J24" s="122" t="s">
        <v>822</v>
      </c>
      <c r="K24" s="120" t="s">
        <v>818</v>
      </c>
      <c r="L24" s="120" t="s">
        <v>824</v>
      </c>
      <c r="M24" s="120" t="s">
        <v>152</v>
      </c>
      <c r="N24" s="120" t="s">
        <v>152</v>
      </c>
      <c r="O24" s="120" t="s">
        <v>578</v>
      </c>
      <c r="P24" s="120" t="s">
        <v>825</v>
      </c>
      <c r="Q24" s="120" t="s">
        <v>826</v>
      </c>
      <c r="R24" s="120" t="s">
        <v>298</v>
      </c>
      <c r="S24" s="120" t="s">
        <v>298</v>
      </c>
      <c r="T24" s="120">
        <v>2017</v>
      </c>
      <c r="U24" s="120" t="s">
        <v>82</v>
      </c>
      <c r="V24" s="120" t="s">
        <v>95</v>
      </c>
      <c r="W24" s="120" t="s">
        <v>95</v>
      </c>
      <c r="X24" s="120" t="s">
        <v>256</v>
      </c>
      <c r="Y24" s="120" t="s">
        <v>256</v>
      </c>
      <c r="Z24" s="120" t="s">
        <v>827</v>
      </c>
      <c r="AA24" s="126" t="s">
        <v>2215</v>
      </c>
      <c r="AB24" s="120" t="s">
        <v>734</v>
      </c>
      <c r="AC24" s="126" t="s">
        <v>735</v>
      </c>
      <c r="AD24" s="120" t="s">
        <v>74</v>
      </c>
      <c r="AE24" s="120" t="s">
        <v>828</v>
      </c>
      <c r="AF24" s="120" t="s">
        <v>828</v>
      </c>
      <c r="AG24" s="120" t="s">
        <v>829</v>
      </c>
      <c r="AH24" s="120" t="s">
        <v>829</v>
      </c>
      <c r="AI24" s="120" t="s">
        <v>366</v>
      </c>
      <c r="AJ24" s="120" t="s">
        <v>366</v>
      </c>
      <c r="AK24" s="120" t="s">
        <v>74</v>
      </c>
      <c r="AL24" s="120" t="s">
        <v>74</v>
      </c>
      <c r="AM24" s="120" t="s">
        <v>830</v>
      </c>
      <c r="AN24" s="120" t="s">
        <v>303</v>
      </c>
      <c r="AO24" s="120" t="s">
        <v>126</v>
      </c>
      <c r="AP24" s="120" t="s">
        <v>126</v>
      </c>
      <c r="AQ24" s="120" t="s">
        <v>831</v>
      </c>
      <c r="AR24" s="120" t="s">
        <v>831</v>
      </c>
      <c r="AS24" s="120" t="s">
        <v>92</v>
      </c>
      <c r="AT24" s="120" t="s">
        <v>92</v>
      </c>
      <c r="AU24" s="120" t="s">
        <v>284</v>
      </c>
      <c r="AV24" s="120" t="s">
        <v>284</v>
      </c>
      <c r="AW24" s="120" t="s">
        <v>163</v>
      </c>
      <c r="AX24" s="120" t="s">
        <v>163</v>
      </c>
      <c r="AY24" s="120" t="s">
        <v>74</v>
      </c>
      <c r="AZ24" s="120" t="s">
        <v>74</v>
      </c>
      <c r="BA24" s="120" t="s">
        <v>96</v>
      </c>
      <c r="BB24" s="120" t="s">
        <v>96</v>
      </c>
      <c r="BC24" s="120" t="s">
        <v>74</v>
      </c>
      <c r="BD24" s="120" t="s">
        <v>83</v>
      </c>
      <c r="BE24" s="120" t="s">
        <v>74</v>
      </c>
      <c r="BF24" s="120" t="s">
        <v>74</v>
      </c>
      <c r="BG24" s="120" t="s">
        <v>74</v>
      </c>
      <c r="BH24" s="120" t="s">
        <v>97</v>
      </c>
      <c r="BI24" s="120" t="s">
        <v>97</v>
      </c>
      <c r="BJ24" s="120" t="s">
        <v>233</v>
      </c>
      <c r="BK24" s="120" t="s">
        <v>233</v>
      </c>
      <c r="BL24" s="120" t="s">
        <v>99</v>
      </c>
      <c r="BM24" s="120" t="s">
        <v>99</v>
      </c>
      <c r="BN24" s="120" t="s">
        <v>166</v>
      </c>
      <c r="BO24" s="2" t="s">
        <v>83</v>
      </c>
      <c r="BP24" s="39"/>
      <c r="BQ24" s="120" t="s">
        <v>74</v>
      </c>
      <c r="BR24" s="120" t="s">
        <v>832</v>
      </c>
      <c r="BS24" s="120" t="s">
        <v>738</v>
      </c>
      <c r="BT24" s="120" t="s">
        <v>107</v>
      </c>
      <c r="BU24" s="120" t="s">
        <v>107</v>
      </c>
      <c r="BV24" s="120" t="s">
        <v>83</v>
      </c>
      <c r="BW24" s="120" t="s">
        <v>83</v>
      </c>
      <c r="BX24" s="117"/>
      <c r="BY24" s="120" t="s">
        <v>233</v>
      </c>
      <c r="BZ24" s="120" t="s">
        <v>233</v>
      </c>
      <c r="CA24" s="120" t="s">
        <v>833</v>
      </c>
      <c r="CB24" s="126" t="s">
        <v>2187</v>
      </c>
      <c r="CC24" s="120" t="s">
        <v>288</v>
      </c>
      <c r="CD24" s="120" t="s">
        <v>288</v>
      </c>
      <c r="CE24" s="120" t="s">
        <v>313</v>
      </c>
      <c r="CF24" s="120" t="s">
        <v>313</v>
      </c>
      <c r="CG24" s="117"/>
      <c r="CH24" s="120" t="s">
        <v>107</v>
      </c>
      <c r="CI24" s="120" t="s">
        <v>108</v>
      </c>
      <c r="CJ24" s="120" t="s">
        <v>108</v>
      </c>
      <c r="CK24" s="120" t="s">
        <v>83</v>
      </c>
      <c r="CL24" s="120" t="s">
        <v>107</v>
      </c>
      <c r="CM24" s="117"/>
      <c r="CN24" s="120" t="s">
        <v>233</v>
      </c>
      <c r="CO24" s="120" t="s">
        <v>233</v>
      </c>
      <c r="CP24" s="120" t="s">
        <v>233</v>
      </c>
      <c r="CQ24" s="117"/>
      <c r="CR24" s="120" t="s">
        <v>74</v>
      </c>
      <c r="CS24" s="117"/>
      <c r="CT24" s="8"/>
      <c r="CU24" s="2"/>
      <c r="CV24" s="2"/>
      <c r="CW24" s="2"/>
      <c r="CX24" s="2"/>
      <c r="CY24" s="8"/>
      <c r="CZ24" s="8"/>
      <c r="DA24" s="8"/>
      <c r="DB24" s="8"/>
      <c r="DC24" s="8"/>
      <c r="DD24" s="8"/>
      <c r="DE24" s="8"/>
      <c r="DF24" s="8"/>
      <c r="DG24" s="8"/>
      <c r="DH24" s="8"/>
      <c r="DI24" s="8"/>
      <c r="DJ24" s="8"/>
      <c r="DK24" s="8"/>
      <c r="DL24" s="8"/>
    </row>
    <row r="25" spans="1:118" ht="15.75" customHeight="1">
      <c r="A25" s="8">
        <v>32</v>
      </c>
      <c r="B25" s="8"/>
      <c r="C25" s="2" t="s">
        <v>69</v>
      </c>
      <c r="D25" s="2" t="s">
        <v>70</v>
      </c>
      <c r="E25" s="9">
        <v>43679.49545642361</v>
      </c>
      <c r="F25" s="2" t="s">
        <v>834</v>
      </c>
      <c r="G25" s="2" t="s">
        <v>835</v>
      </c>
      <c r="H25" s="10" t="s">
        <v>836</v>
      </c>
      <c r="I25" s="2" t="s">
        <v>83</v>
      </c>
      <c r="J25" s="10" t="s">
        <v>844</v>
      </c>
      <c r="K25" s="2" t="s">
        <v>834</v>
      </c>
      <c r="L25" s="2" t="s">
        <v>847</v>
      </c>
      <c r="M25" s="2" t="s">
        <v>152</v>
      </c>
      <c r="N25" s="2" t="s">
        <v>152</v>
      </c>
      <c r="O25" s="2" t="s">
        <v>510</v>
      </c>
      <c r="P25" s="2" t="s">
        <v>511</v>
      </c>
      <c r="Q25" s="2" t="s">
        <v>851</v>
      </c>
      <c r="R25" s="2" t="s">
        <v>81</v>
      </c>
      <c r="S25" s="2" t="s">
        <v>81</v>
      </c>
      <c r="T25" s="2">
        <v>2018</v>
      </c>
      <c r="U25" s="2" t="s">
        <v>82</v>
      </c>
      <c r="V25" s="2" t="s">
        <v>74</v>
      </c>
      <c r="W25" s="2" t="s">
        <v>74</v>
      </c>
      <c r="X25" s="2" t="s">
        <v>282</v>
      </c>
      <c r="Y25" s="2" t="s">
        <v>282</v>
      </c>
      <c r="Z25" s="2" t="s">
        <v>84</v>
      </c>
      <c r="AA25" s="2" t="s">
        <v>84</v>
      </c>
      <c r="AB25" s="2" t="s">
        <v>85</v>
      </c>
      <c r="AC25" s="2" t="s">
        <v>85</v>
      </c>
      <c r="AD25" s="2" t="s">
        <v>74</v>
      </c>
      <c r="AE25" s="2" t="s">
        <v>854</v>
      </c>
      <c r="AF25" s="2" t="s">
        <v>854</v>
      </c>
      <c r="AG25" s="2" t="s">
        <v>190</v>
      </c>
      <c r="AH25" s="2" t="s">
        <v>190</v>
      </c>
      <c r="AI25" s="2" t="s">
        <v>85</v>
      </c>
      <c r="AJ25" s="2" t="s">
        <v>85</v>
      </c>
      <c r="AK25" s="38" t="s">
        <v>855</v>
      </c>
      <c r="AL25" s="38" t="s">
        <v>2149</v>
      </c>
      <c r="AM25" s="8"/>
      <c r="AN25" s="2" t="s">
        <v>303</v>
      </c>
      <c r="AO25" s="2" t="s">
        <v>126</v>
      </c>
      <c r="AP25" s="2" t="s">
        <v>126</v>
      </c>
      <c r="AQ25" s="2" t="s">
        <v>856</v>
      </c>
      <c r="AR25" s="2" t="s">
        <v>2157</v>
      </c>
      <c r="AS25" s="2" t="s">
        <v>128</v>
      </c>
      <c r="AT25" s="2" t="s">
        <v>128</v>
      </c>
      <c r="AU25" s="2" t="s">
        <v>93</v>
      </c>
      <c r="AV25" s="2" t="s">
        <v>93</v>
      </c>
      <c r="AW25" s="2" t="s">
        <v>94</v>
      </c>
      <c r="AX25" s="2" t="s">
        <v>94</v>
      </c>
      <c r="AY25" s="2" t="s">
        <v>95</v>
      </c>
      <c r="AZ25" s="2" t="s">
        <v>107</v>
      </c>
      <c r="BA25" s="2" t="s">
        <v>284</v>
      </c>
      <c r="BB25" s="2" t="s">
        <v>284</v>
      </c>
      <c r="BC25" s="2" t="s">
        <v>208</v>
      </c>
      <c r="BD25" s="2" t="s">
        <v>95</v>
      </c>
      <c r="BE25" s="2" t="s">
        <v>74</v>
      </c>
      <c r="BF25" s="2" t="s">
        <v>74</v>
      </c>
      <c r="BG25" s="2" t="s">
        <v>74</v>
      </c>
      <c r="BH25" s="2" t="s">
        <v>97</v>
      </c>
      <c r="BI25" s="2" t="s">
        <v>97</v>
      </c>
      <c r="BJ25" s="2" t="s">
        <v>130</v>
      </c>
      <c r="BK25" s="2" t="s">
        <v>130</v>
      </c>
      <c r="BL25" s="2" t="s">
        <v>725</v>
      </c>
      <c r="BM25" s="2" t="s">
        <v>725</v>
      </c>
      <c r="BN25" s="2" t="s">
        <v>365</v>
      </c>
      <c r="BO25" s="39" t="s">
        <v>74</v>
      </c>
      <c r="BP25" s="39" t="s">
        <v>2209</v>
      </c>
      <c r="BQ25" s="2" t="s">
        <v>74</v>
      </c>
      <c r="BR25" s="2" t="s">
        <v>107</v>
      </c>
      <c r="BS25" s="2" t="s">
        <v>107</v>
      </c>
      <c r="BT25" s="2" t="s">
        <v>102</v>
      </c>
      <c r="BU25" s="2" t="s">
        <v>102</v>
      </c>
      <c r="BV25" s="2" t="s">
        <v>107</v>
      </c>
      <c r="BW25" s="2" t="s">
        <v>107</v>
      </c>
      <c r="BX25" s="8"/>
      <c r="BY25" s="2" t="s">
        <v>107</v>
      </c>
      <c r="BZ25" s="2" t="s">
        <v>107</v>
      </c>
      <c r="CA25" s="2" t="s">
        <v>805</v>
      </c>
      <c r="CB25" s="2" t="s">
        <v>805</v>
      </c>
      <c r="CC25" s="2" t="s">
        <v>288</v>
      </c>
      <c r="CD25" s="2" t="s">
        <v>288</v>
      </c>
      <c r="CE25" s="2" t="s">
        <v>861</v>
      </c>
      <c r="CF25" s="2" t="s">
        <v>861</v>
      </c>
      <c r="CG25" s="8"/>
      <c r="CH25" s="2" t="s">
        <v>107</v>
      </c>
      <c r="CI25" s="2" t="s">
        <v>172</v>
      </c>
      <c r="CJ25" s="2" t="s">
        <v>108</v>
      </c>
      <c r="CK25" s="2" t="s">
        <v>107</v>
      </c>
      <c r="CL25" s="2" t="s">
        <v>233</v>
      </c>
      <c r="CM25" s="8"/>
      <c r="CN25" s="2" t="s">
        <v>233</v>
      </c>
      <c r="CO25" s="2" t="s">
        <v>233</v>
      </c>
      <c r="CP25" s="2" t="s">
        <v>233</v>
      </c>
      <c r="CQ25" s="8"/>
      <c r="CR25" s="2" t="s">
        <v>74</v>
      </c>
      <c r="CS25" s="2" t="s">
        <v>862</v>
      </c>
      <c r="CT25" s="21"/>
      <c r="CU25" s="8"/>
      <c r="CV25" s="8"/>
      <c r="CW25" s="8"/>
      <c r="CX25" s="8"/>
      <c r="CY25" s="8"/>
      <c r="CZ25" s="8"/>
      <c r="DA25" s="8"/>
      <c r="DB25" s="8"/>
      <c r="DC25" s="8"/>
      <c r="DD25" s="8"/>
      <c r="DE25" s="8"/>
      <c r="DF25" s="8"/>
      <c r="DG25" s="8"/>
      <c r="DH25" s="8"/>
      <c r="DI25" s="8"/>
      <c r="DJ25" s="8"/>
      <c r="DK25" s="8"/>
      <c r="DL25" s="8"/>
    </row>
    <row r="26" spans="1:118" ht="15.75" customHeight="1">
      <c r="A26" s="8">
        <v>33</v>
      </c>
      <c r="B26" s="8"/>
      <c r="C26" s="2" t="s">
        <v>69</v>
      </c>
      <c r="D26" s="2" t="s">
        <v>70</v>
      </c>
      <c r="E26" s="9">
        <v>43683.523778888892</v>
      </c>
      <c r="F26" s="2" t="s">
        <v>865</v>
      </c>
      <c r="G26" s="2" t="s">
        <v>866</v>
      </c>
      <c r="H26" s="2" t="s">
        <v>869</v>
      </c>
      <c r="I26" s="2" t="s">
        <v>74</v>
      </c>
      <c r="J26" s="10" t="s">
        <v>873</v>
      </c>
      <c r="K26" s="2" t="s">
        <v>865</v>
      </c>
      <c r="L26" s="2" t="s">
        <v>881</v>
      </c>
      <c r="M26" s="2" t="s">
        <v>152</v>
      </c>
      <c r="N26" s="2" t="s">
        <v>152</v>
      </c>
      <c r="O26" s="2" t="s">
        <v>578</v>
      </c>
      <c r="P26" s="2" t="s">
        <v>825</v>
      </c>
      <c r="Q26" s="2" t="s">
        <v>883</v>
      </c>
      <c r="R26" s="2" t="s">
        <v>298</v>
      </c>
      <c r="S26" s="2" t="s">
        <v>298</v>
      </c>
      <c r="T26" s="2">
        <v>2019</v>
      </c>
      <c r="U26" s="2" t="s">
        <v>82</v>
      </c>
      <c r="V26" s="2" t="s">
        <v>74</v>
      </c>
      <c r="W26" s="2" t="s">
        <v>74</v>
      </c>
      <c r="X26" s="2" t="s">
        <v>884</v>
      </c>
      <c r="Y26" s="38" t="s">
        <v>282</v>
      </c>
      <c r="Z26" s="2" t="s">
        <v>885</v>
      </c>
      <c r="AA26" s="2" t="s">
        <v>885</v>
      </c>
      <c r="AB26" s="38" t="s">
        <v>886</v>
      </c>
      <c r="AC26" s="38" t="s">
        <v>2128</v>
      </c>
      <c r="AD26" s="2" t="s">
        <v>74</v>
      </c>
      <c r="AE26" s="2" t="s">
        <v>888</v>
      </c>
      <c r="AF26" s="2" t="s">
        <v>888</v>
      </c>
      <c r="AG26" s="2" t="s">
        <v>889</v>
      </c>
      <c r="AH26" s="2" t="s">
        <v>889</v>
      </c>
      <c r="AI26" s="2" t="s">
        <v>261</v>
      </c>
      <c r="AJ26" s="2" t="s">
        <v>261</v>
      </c>
      <c r="AK26" s="2" t="s">
        <v>74</v>
      </c>
      <c r="AL26" s="2" t="s">
        <v>74</v>
      </c>
      <c r="AM26" s="2" t="s">
        <v>890</v>
      </c>
      <c r="AN26" s="2" t="s">
        <v>303</v>
      </c>
      <c r="AO26" s="2" t="s">
        <v>126</v>
      </c>
      <c r="AP26" s="2" t="s">
        <v>126</v>
      </c>
      <c r="AQ26" s="2" t="s">
        <v>566</v>
      </c>
      <c r="AR26" s="2" t="s">
        <v>566</v>
      </c>
      <c r="AS26" s="2" t="s">
        <v>162</v>
      </c>
      <c r="AT26" s="2" t="s">
        <v>162</v>
      </c>
      <c r="AU26" s="2" t="s">
        <v>93</v>
      </c>
      <c r="AV26" s="2" t="s">
        <v>93</v>
      </c>
      <c r="AW26" s="2" t="s">
        <v>94</v>
      </c>
      <c r="AX26" s="2" t="s">
        <v>94</v>
      </c>
      <c r="AY26" s="2" t="s">
        <v>74</v>
      </c>
      <c r="AZ26" s="2" t="s">
        <v>74</v>
      </c>
      <c r="BA26" s="2" t="s">
        <v>265</v>
      </c>
      <c r="BB26" s="2" t="s">
        <v>265</v>
      </c>
      <c r="BC26" s="2" t="s">
        <v>74</v>
      </c>
      <c r="BD26" s="2" t="s">
        <v>74</v>
      </c>
      <c r="BE26" s="2" t="s">
        <v>74</v>
      </c>
      <c r="BF26" s="2" t="s">
        <v>74</v>
      </c>
      <c r="BG26" s="2" t="s">
        <v>74</v>
      </c>
      <c r="BH26" s="2" t="s">
        <v>97</v>
      </c>
      <c r="BI26" s="2" t="s">
        <v>97</v>
      </c>
      <c r="BJ26" s="2" t="s">
        <v>892</v>
      </c>
      <c r="BK26" s="2" t="s">
        <v>2088</v>
      </c>
      <c r="BL26" s="2" t="s">
        <v>893</v>
      </c>
      <c r="BM26" s="2" t="s">
        <v>2175</v>
      </c>
      <c r="BN26" s="2" t="s">
        <v>894</v>
      </c>
      <c r="BO26" s="2" t="s">
        <v>83</v>
      </c>
      <c r="BP26" s="39"/>
      <c r="BQ26" s="2" t="s">
        <v>74</v>
      </c>
      <c r="BR26" s="2" t="s">
        <v>101</v>
      </c>
      <c r="BS26" s="2" t="s">
        <v>101</v>
      </c>
      <c r="BT26" s="2" t="s">
        <v>394</v>
      </c>
      <c r="BU26" s="2" t="s">
        <v>394</v>
      </c>
      <c r="BV26" s="2" t="s">
        <v>107</v>
      </c>
      <c r="BW26" s="2" t="s">
        <v>107</v>
      </c>
      <c r="BX26" s="8"/>
      <c r="BY26" s="2" t="s">
        <v>233</v>
      </c>
      <c r="BZ26" s="2" t="s">
        <v>233</v>
      </c>
      <c r="CA26" s="2" t="s">
        <v>268</v>
      </c>
      <c r="CB26" s="2" t="s">
        <v>268</v>
      </c>
      <c r="CC26" s="2" t="s">
        <v>168</v>
      </c>
      <c r="CD26" s="2" t="s">
        <v>168</v>
      </c>
      <c r="CE26" s="2" t="s">
        <v>895</v>
      </c>
      <c r="CF26" s="2" t="s">
        <v>895</v>
      </c>
      <c r="CG26" s="8"/>
      <c r="CH26" s="2" t="s">
        <v>233</v>
      </c>
      <c r="CI26" s="2" t="s">
        <v>233</v>
      </c>
      <c r="CJ26" s="2" t="s">
        <v>233</v>
      </c>
      <c r="CK26" s="2" t="s">
        <v>233</v>
      </c>
      <c r="CL26" s="2" t="s">
        <v>233</v>
      </c>
      <c r="CM26" s="8"/>
      <c r="CN26" s="2" t="s">
        <v>233</v>
      </c>
      <c r="CO26" s="2" t="s">
        <v>233</v>
      </c>
      <c r="CP26" s="2" t="s">
        <v>233</v>
      </c>
      <c r="CQ26" s="8"/>
      <c r="CR26" s="2" t="s">
        <v>74</v>
      </c>
      <c r="CS26" s="2" t="s">
        <v>897</v>
      </c>
      <c r="CT26" s="21"/>
      <c r="CU26" s="8"/>
      <c r="CV26" s="8"/>
      <c r="CW26" s="8"/>
      <c r="CX26" s="8"/>
      <c r="CY26" s="8"/>
      <c r="CZ26" s="8"/>
      <c r="DA26" s="8"/>
      <c r="DB26" s="8"/>
      <c r="DC26" s="8"/>
      <c r="DD26" s="8"/>
      <c r="DE26" s="8"/>
      <c r="DF26" s="8"/>
      <c r="DG26" s="8"/>
      <c r="DH26" s="8"/>
      <c r="DI26" s="8"/>
      <c r="DJ26" s="8"/>
      <c r="DK26" s="8"/>
      <c r="DL26" s="8"/>
    </row>
    <row r="27" spans="1:118" ht="15.75" customHeight="1">
      <c r="A27" s="8">
        <v>34</v>
      </c>
      <c r="B27" s="8"/>
      <c r="C27" s="2" t="s">
        <v>69</v>
      </c>
      <c r="D27" s="2" t="s">
        <v>70</v>
      </c>
      <c r="E27" s="9">
        <v>43683.630885497681</v>
      </c>
      <c r="F27" s="2" t="s">
        <v>902</v>
      </c>
      <c r="G27" s="2" t="s">
        <v>903</v>
      </c>
      <c r="H27" s="2" t="s">
        <v>905</v>
      </c>
      <c r="I27" s="2" t="s">
        <v>83</v>
      </c>
      <c r="J27" s="10" t="s">
        <v>906</v>
      </c>
      <c r="K27" s="2" t="s">
        <v>902</v>
      </c>
      <c r="L27" s="2" t="s">
        <v>908</v>
      </c>
      <c r="M27" s="2" t="s">
        <v>152</v>
      </c>
      <c r="N27" s="2" t="s">
        <v>152</v>
      </c>
      <c r="O27" s="2" t="s">
        <v>690</v>
      </c>
      <c r="P27" s="2" t="s">
        <v>608</v>
      </c>
      <c r="Q27" s="2" t="s">
        <v>909</v>
      </c>
      <c r="R27" s="2" t="s">
        <v>298</v>
      </c>
      <c r="S27" s="2" t="s">
        <v>298</v>
      </c>
      <c r="T27" s="2">
        <v>2008</v>
      </c>
      <c r="U27" s="2" t="s">
        <v>82</v>
      </c>
      <c r="V27" s="2" t="s">
        <v>74</v>
      </c>
      <c r="W27" s="2" t="s">
        <v>74</v>
      </c>
      <c r="X27" s="2" t="s">
        <v>256</v>
      </c>
      <c r="Y27" s="2" t="s">
        <v>256</v>
      </c>
      <c r="Z27" s="2" t="s">
        <v>910</v>
      </c>
      <c r="AA27" s="38" t="s">
        <v>2125</v>
      </c>
      <c r="AB27" s="2" t="s">
        <v>85</v>
      </c>
      <c r="AC27" s="2" t="s">
        <v>85</v>
      </c>
      <c r="AD27" s="2" t="s">
        <v>74</v>
      </c>
      <c r="AE27" s="2" t="s">
        <v>911</v>
      </c>
      <c r="AF27" s="38" t="s">
        <v>2137</v>
      </c>
      <c r="AG27" s="2" t="s">
        <v>792</v>
      </c>
      <c r="AH27" s="2" t="s">
        <v>792</v>
      </c>
      <c r="AI27" s="2" t="s">
        <v>85</v>
      </c>
      <c r="AJ27" s="2" t="s">
        <v>85</v>
      </c>
      <c r="AK27" s="2" t="s">
        <v>83</v>
      </c>
      <c r="AL27" s="2" t="s">
        <v>83</v>
      </c>
      <c r="AM27" s="8"/>
      <c r="AN27" s="2" t="s">
        <v>89</v>
      </c>
      <c r="AO27" s="2" t="s">
        <v>90</v>
      </c>
      <c r="AP27" s="2" t="s">
        <v>90</v>
      </c>
      <c r="AQ27" s="2" t="s">
        <v>913</v>
      </c>
      <c r="AR27" s="2" t="s">
        <v>913</v>
      </c>
      <c r="AS27" s="2" t="s">
        <v>305</v>
      </c>
      <c r="AT27" s="2" t="s">
        <v>305</v>
      </c>
      <c r="AU27" s="2" t="s">
        <v>284</v>
      </c>
      <c r="AV27" s="2" t="s">
        <v>284</v>
      </c>
      <c r="AW27" s="2" t="s">
        <v>94</v>
      </c>
      <c r="AX27" s="2" t="s">
        <v>94</v>
      </c>
      <c r="AY27" s="2" t="s">
        <v>74</v>
      </c>
      <c r="AZ27" s="2" t="s">
        <v>83</v>
      </c>
      <c r="BA27" s="2" t="s">
        <v>96</v>
      </c>
      <c r="BB27" s="2" t="s">
        <v>96</v>
      </c>
      <c r="BC27" s="2" t="s">
        <v>74</v>
      </c>
      <c r="BD27" s="2" t="s">
        <v>95</v>
      </c>
      <c r="BE27" s="2" t="s">
        <v>74</v>
      </c>
      <c r="BF27" s="2" t="s">
        <v>74</v>
      </c>
      <c r="BG27" s="2" t="s">
        <v>74</v>
      </c>
      <c r="BH27" s="2" t="s">
        <v>97</v>
      </c>
      <c r="BI27" s="2" t="s">
        <v>97</v>
      </c>
      <c r="BJ27" s="2" t="s">
        <v>233</v>
      </c>
      <c r="BK27" s="2" t="s">
        <v>233</v>
      </c>
      <c r="BL27" s="2" t="s">
        <v>917</v>
      </c>
      <c r="BM27" s="2" t="s">
        <v>917</v>
      </c>
      <c r="BN27" s="2" t="s">
        <v>918</v>
      </c>
      <c r="BO27" s="39" t="s">
        <v>74</v>
      </c>
      <c r="BP27" s="39"/>
      <c r="BQ27" s="2" t="s">
        <v>74</v>
      </c>
      <c r="BR27" s="2" t="s">
        <v>919</v>
      </c>
      <c r="BS27" s="38" t="s">
        <v>2348</v>
      </c>
      <c r="BT27" s="2" t="s">
        <v>920</v>
      </c>
      <c r="BU27" s="2" t="s">
        <v>920</v>
      </c>
      <c r="BV27" s="2" t="s">
        <v>921</v>
      </c>
      <c r="BW27" s="38" t="s">
        <v>83</v>
      </c>
      <c r="BX27" s="8"/>
      <c r="BY27" s="2" t="s">
        <v>103</v>
      </c>
      <c r="BZ27" s="2" t="s">
        <v>103</v>
      </c>
      <c r="CA27" s="2" t="s">
        <v>922</v>
      </c>
      <c r="CB27" s="2" t="s">
        <v>922</v>
      </c>
      <c r="CC27" s="2" t="s">
        <v>288</v>
      </c>
      <c r="CD27" s="2" t="s">
        <v>288</v>
      </c>
      <c r="CE27" s="2" t="s">
        <v>469</v>
      </c>
      <c r="CF27" s="2" t="s">
        <v>469</v>
      </c>
      <c r="CG27" s="2" t="s">
        <v>923</v>
      </c>
      <c r="CH27" s="2" t="s">
        <v>107</v>
      </c>
      <c r="CI27" s="2" t="s">
        <v>140</v>
      </c>
      <c r="CJ27" s="2" t="s">
        <v>235</v>
      </c>
      <c r="CK27" s="2" t="s">
        <v>83</v>
      </c>
      <c r="CL27" s="2" t="s">
        <v>107</v>
      </c>
      <c r="CM27" s="8"/>
      <c r="CN27" s="2" t="s">
        <v>925</v>
      </c>
      <c r="CO27" s="2" t="s">
        <v>925</v>
      </c>
      <c r="CP27" s="2" t="s">
        <v>173</v>
      </c>
      <c r="CQ27" s="8"/>
      <c r="CR27" s="2" t="s">
        <v>74</v>
      </c>
      <c r="CS27" s="2" t="s">
        <v>926</v>
      </c>
      <c r="CU27" s="8"/>
      <c r="CV27" s="8"/>
      <c r="CW27" s="8"/>
      <c r="CX27" s="8"/>
      <c r="CY27" s="8"/>
      <c r="CZ27" s="8"/>
      <c r="DA27" s="8"/>
      <c r="DB27" s="8"/>
      <c r="DC27" s="8"/>
      <c r="DD27" s="8"/>
      <c r="DE27" s="8"/>
      <c r="DF27" s="8"/>
      <c r="DG27" s="8"/>
      <c r="DH27" s="8"/>
      <c r="DI27" s="8"/>
      <c r="DJ27" s="8"/>
      <c r="DK27" s="8"/>
      <c r="DL27" s="8"/>
    </row>
    <row r="28" spans="1:118" ht="15.75" customHeight="1">
      <c r="A28" s="8">
        <v>35</v>
      </c>
      <c r="B28" s="8"/>
      <c r="C28" s="2" t="s">
        <v>69</v>
      </c>
      <c r="D28" s="2" t="s">
        <v>289</v>
      </c>
      <c r="E28" s="9">
        <v>43685.465395833337</v>
      </c>
      <c r="F28" s="2" t="s">
        <v>928</v>
      </c>
      <c r="G28" s="2" t="s">
        <v>929</v>
      </c>
      <c r="H28" s="2" t="s">
        <v>930</v>
      </c>
      <c r="I28" s="2" t="s">
        <v>74</v>
      </c>
      <c r="J28" s="10" t="s">
        <v>932</v>
      </c>
      <c r="K28" s="2" t="s">
        <v>928</v>
      </c>
      <c r="L28" s="2" t="s">
        <v>935</v>
      </c>
      <c r="M28" s="2" t="s">
        <v>616</v>
      </c>
      <c r="N28" s="2" t="s">
        <v>616</v>
      </c>
      <c r="O28" s="2" t="s">
        <v>278</v>
      </c>
      <c r="P28" s="2" t="s">
        <v>936</v>
      </c>
      <c r="Q28" s="2" t="s">
        <v>937</v>
      </c>
      <c r="R28" s="2" t="s">
        <v>418</v>
      </c>
      <c r="S28" s="2" t="s">
        <v>418</v>
      </c>
      <c r="T28" s="2">
        <v>2018</v>
      </c>
      <c r="U28" s="2" t="s">
        <v>107</v>
      </c>
      <c r="V28" s="2" t="s">
        <v>74</v>
      </c>
      <c r="W28" s="2" t="s">
        <v>74</v>
      </c>
      <c r="X28" s="2" t="s">
        <v>256</v>
      </c>
      <c r="Y28" s="2" t="s">
        <v>256</v>
      </c>
      <c r="Z28" s="2" t="s">
        <v>84</v>
      </c>
      <c r="AA28" s="2" t="s">
        <v>84</v>
      </c>
      <c r="AB28" s="2" t="s">
        <v>258</v>
      </c>
      <c r="AC28" s="2" t="s">
        <v>258</v>
      </c>
      <c r="AD28" s="2" t="s">
        <v>74</v>
      </c>
      <c r="AE28" s="2" t="s">
        <v>940</v>
      </c>
      <c r="AF28" s="2" t="s">
        <v>940</v>
      </c>
      <c r="AG28" s="2" t="s">
        <v>87</v>
      </c>
      <c r="AH28" s="2" t="s">
        <v>87</v>
      </c>
      <c r="AI28" s="2" t="s">
        <v>123</v>
      </c>
      <c r="AJ28" s="2" t="s">
        <v>123</v>
      </c>
      <c r="AK28" s="2" t="s">
        <v>74</v>
      </c>
      <c r="AL28" s="2" t="s">
        <v>74</v>
      </c>
      <c r="AM28" s="2" t="s">
        <v>941</v>
      </c>
      <c r="AN28" s="2" t="s">
        <v>107</v>
      </c>
      <c r="AO28" s="2" t="s">
        <v>90</v>
      </c>
      <c r="AP28" s="2" t="s">
        <v>90</v>
      </c>
      <c r="AQ28" s="2" t="s">
        <v>942</v>
      </c>
      <c r="AR28" s="2" t="s">
        <v>738</v>
      </c>
      <c r="AS28" s="2" t="s">
        <v>284</v>
      </c>
      <c r="AT28" s="2" t="s">
        <v>284</v>
      </c>
      <c r="AU28" s="2" t="s">
        <v>93</v>
      </c>
      <c r="AV28" s="2" t="s">
        <v>93</v>
      </c>
      <c r="AW28" s="2" t="s">
        <v>264</v>
      </c>
      <c r="AX28" s="2" t="s">
        <v>264</v>
      </c>
      <c r="AY28" s="2" t="s">
        <v>233</v>
      </c>
      <c r="AZ28" s="2" t="s">
        <v>74</v>
      </c>
      <c r="BA28" s="2" t="s">
        <v>943</v>
      </c>
      <c r="BB28" s="2" t="s">
        <v>738</v>
      </c>
      <c r="BC28" s="2" t="s">
        <v>83</v>
      </c>
      <c r="BD28" s="2" t="s">
        <v>95</v>
      </c>
      <c r="BE28" s="2" t="s">
        <v>83</v>
      </c>
      <c r="BF28" s="2" t="s">
        <v>74</v>
      </c>
      <c r="BG28" s="2" t="s">
        <v>74</v>
      </c>
      <c r="BH28" s="2" t="s">
        <v>97</v>
      </c>
      <c r="BI28" s="2" t="s">
        <v>97</v>
      </c>
      <c r="BJ28" s="2" t="s">
        <v>233</v>
      </c>
      <c r="BK28" s="2" t="s">
        <v>233</v>
      </c>
      <c r="BL28" s="2" t="s">
        <v>945</v>
      </c>
      <c r="BM28" s="2" t="s">
        <v>945</v>
      </c>
      <c r="BN28" s="2" t="s">
        <v>631</v>
      </c>
      <c r="BO28" s="2" t="s">
        <v>83</v>
      </c>
      <c r="BP28" s="2" t="s">
        <v>2201</v>
      </c>
      <c r="BQ28" s="2" t="s">
        <v>83</v>
      </c>
      <c r="BR28" s="2" t="s">
        <v>101</v>
      </c>
      <c r="BS28" s="2" t="s">
        <v>101</v>
      </c>
      <c r="BT28" s="2" t="s">
        <v>107</v>
      </c>
      <c r="BU28" s="2" t="s">
        <v>107</v>
      </c>
      <c r="BV28" s="2" t="s">
        <v>107</v>
      </c>
      <c r="BW28" s="2" t="s">
        <v>107</v>
      </c>
      <c r="BX28" s="8"/>
      <c r="BY28" s="2" t="s">
        <v>233</v>
      </c>
      <c r="BZ28" s="2" t="s">
        <v>233</v>
      </c>
      <c r="CA28" s="2" t="s">
        <v>167</v>
      </c>
      <c r="CB28" s="2" t="s">
        <v>167</v>
      </c>
      <c r="CC28" s="2" t="s">
        <v>288</v>
      </c>
      <c r="CD28" s="2" t="s">
        <v>288</v>
      </c>
      <c r="CE28" s="2" t="s">
        <v>861</v>
      </c>
      <c r="CF28" s="2" t="s">
        <v>861</v>
      </c>
      <c r="CG28" s="2" t="s">
        <v>946</v>
      </c>
      <c r="CH28" s="2" t="s">
        <v>233</v>
      </c>
      <c r="CI28" s="2" t="s">
        <v>171</v>
      </c>
      <c r="CJ28" s="2" t="s">
        <v>171</v>
      </c>
      <c r="CK28" s="2" t="s">
        <v>233</v>
      </c>
      <c r="CL28" s="2" t="s">
        <v>141</v>
      </c>
      <c r="CM28" s="10" t="s">
        <v>947</v>
      </c>
      <c r="CN28" s="2" t="s">
        <v>271</v>
      </c>
      <c r="CO28" s="2" t="s">
        <v>271</v>
      </c>
      <c r="CP28" s="2" t="s">
        <v>471</v>
      </c>
      <c r="CQ28" s="8"/>
      <c r="CR28" s="2" t="s">
        <v>74</v>
      </c>
      <c r="CS28" s="2" t="s">
        <v>949</v>
      </c>
      <c r="CU28" s="8"/>
      <c r="CV28" s="8"/>
      <c r="CW28" s="8"/>
      <c r="CX28" s="8"/>
      <c r="CY28" s="8"/>
      <c r="CZ28" s="8"/>
      <c r="DA28" s="8"/>
      <c r="DB28" s="8"/>
      <c r="DC28" s="8"/>
      <c r="DD28" s="8"/>
      <c r="DE28" s="8"/>
      <c r="DF28" s="8"/>
      <c r="DG28" s="8"/>
      <c r="DH28" s="8"/>
      <c r="DI28" s="8"/>
      <c r="DJ28" s="8"/>
      <c r="DK28" s="8"/>
      <c r="DL28" s="8"/>
    </row>
    <row r="29" spans="1:118" ht="15.75" customHeight="1">
      <c r="A29" s="8">
        <v>36</v>
      </c>
      <c r="B29" s="8"/>
      <c r="C29" s="2" t="s">
        <v>69</v>
      </c>
      <c r="D29" s="2" t="s">
        <v>70</v>
      </c>
      <c r="E29" s="9">
        <v>43686.178142418983</v>
      </c>
      <c r="F29" s="2" t="s">
        <v>951</v>
      </c>
      <c r="G29" s="2" t="s">
        <v>952</v>
      </c>
      <c r="H29" s="2" t="s">
        <v>953</v>
      </c>
      <c r="I29" s="2" t="s">
        <v>74</v>
      </c>
      <c r="J29" s="10" t="s">
        <v>954</v>
      </c>
      <c r="K29" s="2" t="s">
        <v>960</v>
      </c>
      <c r="L29" s="2" t="s">
        <v>961</v>
      </c>
      <c r="M29" s="2" t="s">
        <v>152</v>
      </c>
      <c r="N29" s="2" t="s">
        <v>152</v>
      </c>
      <c r="O29" s="2" t="s">
        <v>685</v>
      </c>
      <c r="P29" s="2" t="s">
        <v>915</v>
      </c>
      <c r="Q29" s="2" t="s">
        <v>962</v>
      </c>
      <c r="R29" s="2" t="s">
        <v>963</v>
      </c>
      <c r="S29" s="38" t="s">
        <v>2118</v>
      </c>
      <c r="T29" s="2">
        <v>2009</v>
      </c>
      <c r="U29" s="2">
        <v>2015</v>
      </c>
      <c r="V29" s="2" t="s">
        <v>83</v>
      </c>
      <c r="W29" s="2" t="s">
        <v>83</v>
      </c>
      <c r="X29" s="8"/>
      <c r="Y29" s="8"/>
      <c r="Z29" s="2" t="s">
        <v>966</v>
      </c>
      <c r="AA29" s="2" t="s">
        <v>966</v>
      </c>
      <c r="AB29" s="2" t="s">
        <v>258</v>
      </c>
      <c r="AC29" s="2" t="s">
        <v>258</v>
      </c>
      <c r="AD29" s="2" t="s">
        <v>74</v>
      </c>
      <c r="AE29" s="2" t="s">
        <v>623</v>
      </c>
      <c r="AF29" s="2" t="s">
        <v>623</v>
      </c>
      <c r="AG29" s="2" t="s">
        <v>190</v>
      </c>
      <c r="AH29" s="2" t="s">
        <v>190</v>
      </c>
      <c r="AI29" s="2" t="s">
        <v>261</v>
      </c>
      <c r="AJ29" s="2" t="s">
        <v>261</v>
      </c>
      <c r="AK29" s="2" t="s">
        <v>107</v>
      </c>
      <c r="AL29" s="2" t="s">
        <v>107</v>
      </c>
      <c r="AM29" s="8"/>
      <c r="AN29" s="2" t="s">
        <v>205</v>
      </c>
      <c r="AO29" s="2" t="s">
        <v>126</v>
      </c>
      <c r="AP29" s="2" t="s">
        <v>126</v>
      </c>
      <c r="AQ29" s="2" t="s">
        <v>931</v>
      </c>
      <c r="AR29" s="2" t="s">
        <v>931</v>
      </c>
      <c r="AS29" s="2" t="s">
        <v>92</v>
      </c>
      <c r="AT29" s="2" t="s">
        <v>92</v>
      </c>
      <c r="AU29" s="2" t="s">
        <v>93</v>
      </c>
      <c r="AV29" s="2" t="s">
        <v>93</v>
      </c>
      <c r="AW29" s="2" t="s">
        <v>94</v>
      </c>
      <c r="AX29" s="2" t="s">
        <v>94</v>
      </c>
      <c r="AY29" s="2" t="s">
        <v>95</v>
      </c>
      <c r="AZ29" s="2" t="s">
        <v>74</v>
      </c>
      <c r="BA29" s="2" t="s">
        <v>284</v>
      </c>
      <c r="BB29" s="2" t="s">
        <v>284</v>
      </c>
      <c r="BC29" s="2" t="s">
        <v>74</v>
      </c>
      <c r="BD29" s="2" t="s">
        <v>95</v>
      </c>
      <c r="BE29" s="2" t="s">
        <v>74</v>
      </c>
      <c r="BF29" s="2" t="s">
        <v>74</v>
      </c>
      <c r="BG29" s="2" t="s">
        <v>74</v>
      </c>
      <c r="BH29" s="2" t="s">
        <v>358</v>
      </c>
      <c r="BI29" s="2" t="s">
        <v>358</v>
      </c>
      <c r="BJ29" s="2" t="s">
        <v>233</v>
      </c>
      <c r="BK29" s="2" t="s">
        <v>233</v>
      </c>
      <c r="BL29" s="2" t="s">
        <v>975</v>
      </c>
      <c r="BM29" s="2" t="s">
        <v>975</v>
      </c>
      <c r="BN29" s="2" t="s">
        <v>976</v>
      </c>
      <c r="BO29" s="2" t="s">
        <v>83</v>
      </c>
      <c r="BP29" s="39"/>
      <c r="BQ29" s="2" t="s">
        <v>83</v>
      </c>
      <c r="BR29" s="2" t="s">
        <v>977</v>
      </c>
      <c r="BS29" s="2" t="s">
        <v>980</v>
      </c>
      <c r="BT29" s="2" t="s">
        <v>107</v>
      </c>
      <c r="BU29" s="2" t="s">
        <v>107</v>
      </c>
      <c r="BV29" s="2" t="s">
        <v>83</v>
      </c>
      <c r="BW29" s="2" t="s">
        <v>83</v>
      </c>
      <c r="BX29" s="8"/>
      <c r="BY29" s="2" t="s">
        <v>233</v>
      </c>
      <c r="BZ29" s="2" t="s">
        <v>233</v>
      </c>
      <c r="CA29" s="2" t="s">
        <v>312</v>
      </c>
      <c r="CB29" s="2" t="s">
        <v>312</v>
      </c>
      <c r="CC29" s="2" t="s">
        <v>691</v>
      </c>
      <c r="CD29" s="2" t="s">
        <v>691</v>
      </c>
      <c r="CE29" s="2" t="s">
        <v>313</v>
      </c>
      <c r="CF29" s="2" t="s">
        <v>313</v>
      </c>
      <c r="CG29" s="2" t="s">
        <v>978</v>
      </c>
      <c r="CH29" s="2" t="s">
        <v>233</v>
      </c>
      <c r="CI29" s="2" t="s">
        <v>140</v>
      </c>
      <c r="CJ29" s="2" t="s">
        <v>140</v>
      </c>
      <c r="CK29" s="2" t="s">
        <v>83</v>
      </c>
      <c r="CL29" s="2" t="s">
        <v>141</v>
      </c>
      <c r="CM29" s="10" t="s">
        <v>979</v>
      </c>
      <c r="CN29" s="2" t="s">
        <v>983</v>
      </c>
      <c r="CO29" s="2" t="s">
        <v>2352</v>
      </c>
      <c r="CP29" s="2" t="s">
        <v>984</v>
      </c>
      <c r="CQ29" s="8"/>
      <c r="CR29" s="2" t="s">
        <v>74</v>
      </c>
      <c r="CS29" s="2" t="s">
        <v>985</v>
      </c>
      <c r="CT29" s="8"/>
      <c r="CU29" s="2"/>
      <c r="CV29" s="2"/>
      <c r="CW29" s="2"/>
      <c r="CX29" s="2"/>
      <c r="CY29" s="8"/>
      <c r="CZ29" s="8"/>
      <c r="DA29" s="8"/>
      <c r="DB29" s="8"/>
      <c r="DC29" s="8"/>
      <c r="DD29" s="8"/>
      <c r="DE29" s="8"/>
      <c r="DF29" s="8"/>
      <c r="DG29" s="8"/>
      <c r="DH29" s="8"/>
      <c r="DI29" s="8"/>
      <c r="DJ29" s="8"/>
      <c r="DK29" s="8"/>
      <c r="DL29" s="8"/>
      <c r="DM29" s="8"/>
      <c r="DN29" s="8"/>
    </row>
    <row r="30" spans="1:118" ht="15.75" customHeight="1">
      <c r="A30" s="8">
        <v>37</v>
      </c>
      <c r="B30" s="8"/>
      <c r="C30" s="9" t="s">
        <v>69</v>
      </c>
      <c r="D30" s="2" t="s">
        <v>70</v>
      </c>
      <c r="E30" s="9">
        <v>43688.312136469904</v>
      </c>
      <c r="F30" s="2" t="s">
        <v>647</v>
      </c>
      <c r="G30" s="2" t="s">
        <v>648</v>
      </c>
      <c r="H30" s="2" t="s">
        <v>990</v>
      </c>
      <c r="I30" s="2" t="s">
        <v>83</v>
      </c>
      <c r="J30" s="10" t="s">
        <v>991</v>
      </c>
      <c r="K30" s="2" t="s">
        <v>993</v>
      </c>
      <c r="L30" s="2" t="s">
        <v>994</v>
      </c>
      <c r="M30" s="2" t="s">
        <v>152</v>
      </c>
      <c r="N30" s="2" t="s">
        <v>152</v>
      </c>
      <c r="O30" s="2" t="s">
        <v>653</v>
      </c>
      <c r="P30" s="2" t="s">
        <v>654</v>
      </c>
      <c r="Q30" s="2" t="s">
        <v>995</v>
      </c>
      <c r="R30" s="2" t="s">
        <v>118</v>
      </c>
      <c r="S30" s="2" t="s">
        <v>118</v>
      </c>
      <c r="T30" s="2">
        <v>2011</v>
      </c>
      <c r="U30" s="2" t="s">
        <v>82</v>
      </c>
      <c r="V30" s="2" t="s">
        <v>74</v>
      </c>
      <c r="W30" s="2" t="s">
        <v>74</v>
      </c>
      <c r="X30" s="2" t="s">
        <v>720</v>
      </c>
      <c r="Y30" s="2" t="s">
        <v>720</v>
      </c>
      <c r="Z30" s="2" t="s">
        <v>84</v>
      </c>
      <c r="AA30" s="2" t="s">
        <v>84</v>
      </c>
      <c r="AB30" s="2" t="s">
        <v>85</v>
      </c>
      <c r="AC30" s="2" t="s">
        <v>85</v>
      </c>
      <c r="AD30" s="2" t="s">
        <v>74</v>
      </c>
      <c r="AE30" s="2" t="s">
        <v>386</v>
      </c>
      <c r="AF30" s="2" t="s">
        <v>386</v>
      </c>
      <c r="AG30" s="2" t="s">
        <v>190</v>
      </c>
      <c r="AH30" s="2" t="s">
        <v>190</v>
      </c>
      <c r="AI30" s="2" t="s">
        <v>85</v>
      </c>
      <c r="AJ30" s="2" t="s">
        <v>85</v>
      </c>
      <c r="AK30" s="2" t="s">
        <v>83</v>
      </c>
      <c r="AL30" s="2" t="s">
        <v>83</v>
      </c>
      <c r="AM30" s="8"/>
      <c r="AN30" s="2" t="s">
        <v>125</v>
      </c>
      <c r="AO30" s="2" t="s">
        <v>107</v>
      </c>
      <c r="AP30" s="2" t="s">
        <v>107</v>
      </c>
      <c r="AQ30" s="2" t="s">
        <v>999</v>
      </c>
      <c r="AR30" s="2" t="s">
        <v>999</v>
      </c>
      <c r="AS30" s="2" t="s">
        <v>107</v>
      </c>
      <c r="AT30" s="2" t="s">
        <v>107</v>
      </c>
      <c r="AU30" s="2" t="s">
        <v>93</v>
      </c>
      <c r="AV30" s="2" t="s">
        <v>93</v>
      </c>
      <c r="AW30" s="2" t="s">
        <v>94</v>
      </c>
      <c r="AX30" s="2" t="s">
        <v>94</v>
      </c>
      <c r="AY30" s="2" t="s">
        <v>95</v>
      </c>
      <c r="AZ30" s="2" t="s">
        <v>74</v>
      </c>
      <c r="BA30" s="2" t="s">
        <v>284</v>
      </c>
      <c r="BB30" s="2" t="s">
        <v>284</v>
      </c>
      <c r="BC30" s="2" t="s">
        <v>74</v>
      </c>
      <c r="BD30" s="2" t="s">
        <v>107</v>
      </c>
      <c r="BE30" s="2" t="s">
        <v>107</v>
      </c>
      <c r="BF30" s="2" t="s">
        <v>107</v>
      </c>
      <c r="BG30" s="2" t="s">
        <v>83</v>
      </c>
      <c r="BH30" s="2" t="s">
        <v>233</v>
      </c>
      <c r="BI30" s="2" t="s">
        <v>233</v>
      </c>
      <c r="BJ30" s="2" t="s">
        <v>130</v>
      </c>
      <c r="BK30" s="2" t="s">
        <v>130</v>
      </c>
      <c r="BL30" s="2" t="s">
        <v>725</v>
      </c>
      <c r="BM30" s="2" t="s">
        <v>725</v>
      </c>
      <c r="BN30" s="2" t="s">
        <v>631</v>
      </c>
      <c r="BO30" s="46"/>
      <c r="BP30" s="46"/>
      <c r="BQ30" s="2" t="s">
        <v>74</v>
      </c>
      <c r="BR30" s="2" t="s">
        <v>101</v>
      </c>
      <c r="BS30" s="2" t="s">
        <v>101</v>
      </c>
      <c r="BT30" s="2" t="s">
        <v>107</v>
      </c>
      <c r="BU30" s="2" t="s">
        <v>107</v>
      </c>
      <c r="BV30" s="2" t="s">
        <v>233</v>
      </c>
      <c r="BW30" s="2" t="s">
        <v>233</v>
      </c>
      <c r="BX30" s="8"/>
      <c r="BY30" s="2" t="s">
        <v>107</v>
      </c>
      <c r="BZ30" s="2" t="s">
        <v>107</v>
      </c>
      <c r="CA30" s="2" t="s">
        <v>167</v>
      </c>
      <c r="CB30" s="2" t="s">
        <v>167</v>
      </c>
      <c r="CC30" s="2" t="s">
        <v>168</v>
      </c>
      <c r="CD30" s="2" t="s">
        <v>168</v>
      </c>
      <c r="CE30" s="2" t="s">
        <v>233</v>
      </c>
      <c r="CF30" s="2" t="s">
        <v>233</v>
      </c>
      <c r="CG30" s="8"/>
      <c r="CH30" s="2" t="s">
        <v>233</v>
      </c>
      <c r="CI30" s="2" t="s">
        <v>139</v>
      </c>
      <c r="CJ30" s="2" t="s">
        <v>234</v>
      </c>
      <c r="CK30" s="2" t="s">
        <v>83</v>
      </c>
      <c r="CL30" s="2">
        <v>0</v>
      </c>
      <c r="CM30" s="8"/>
      <c r="CN30" s="2" t="s">
        <v>233</v>
      </c>
      <c r="CO30" s="2" t="s">
        <v>233</v>
      </c>
      <c r="CP30" s="2" t="s">
        <v>233</v>
      </c>
      <c r="CQ30" s="8"/>
      <c r="CR30" s="2" t="s">
        <v>74</v>
      </c>
      <c r="CS30" s="8"/>
      <c r="CU30" s="8"/>
      <c r="CV30" s="8"/>
      <c r="CW30" s="8"/>
      <c r="CX30" s="8"/>
      <c r="CY30" s="8"/>
      <c r="CZ30" s="8"/>
      <c r="DA30" s="8"/>
      <c r="DB30" s="8"/>
      <c r="DC30" s="8"/>
      <c r="DD30" s="8"/>
      <c r="DE30" s="8"/>
      <c r="DF30" s="8"/>
      <c r="DG30" s="8"/>
      <c r="DH30" s="8"/>
      <c r="DI30" s="8"/>
      <c r="DJ30" s="8"/>
      <c r="DK30" s="8"/>
      <c r="DL30" s="8"/>
    </row>
    <row r="31" spans="1:118" ht="15.75" customHeight="1">
      <c r="A31" s="8">
        <v>38</v>
      </c>
      <c r="B31" s="8"/>
      <c r="C31" s="9" t="s">
        <v>69</v>
      </c>
      <c r="D31" s="2" t="s">
        <v>436</v>
      </c>
      <c r="E31" s="9">
        <v>43688.388664953702</v>
      </c>
      <c r="F31" s="2" t="s">
        <v>1003</v>
      </c>
      <c r="G31" s="2" t="s">
        <v>1004</v>
      </c>
      <c r="H31" s="2" t="s">
        <v>1005</v>
      </c>
      <c r="I31" s="2" t="s">
        <v>74</v>
      </c>
      <c r="J31" s="10" t="s">
        <v>1006</v>
      </c>
      <c r="K31" s="2" t="s">
        <v>1003</v>
      </c>
      <c r="L31" s="2" t="s">
        <v>1009</v>
      </c>
      <c r="M31" s="2" t="s">
        <v>152</v>
      </c>
      <c r="N31" s="2" t="s">
        <v>152</v>
      </c>
      <c r="O31" s="2" t="s">
        <v>685</v>
      </c>
      <c r="P31" s="2" t="s">
        <v>915</v>
      </c>
      <c r="Q31" s="2" t="s">
        <v>1011</v>
      </c>
      <c r="R31" s="2" t="s">
        <v>1012</v>
      </c>
      <c r="S31" s="37" t="s">
        <v>2116</v>
      </c>
      <c r="T31" s="2">
        <v>2014</v>
      </c>
      <c r="U31" s="2" t="s">
        <v>82</v>
      </c>
      <c r="V31" s="2" t="s">
        <v>83</v>
      </c>
      <c r="W31" s="2" t="s">
        <v>83</v>
      </c>
      <c r="X31" s="8"/>
      <c r="Y31" s="8"/>
      <c r="Z31" s="2" t="s">
        <v>84</v>
      </c>
      <c r="AA31" s="2" t="s">
        <v>84</v>
      </c>
      <c r="AB31" s="2" t="s">
        <v>258</v>
      </c>
      <c r="AC31" s="2" t="s">
        <v>258</v>
      </c>
      <c r="AD31" s="2" t="s">
        <v>74</v>
      </c>
      <c r="AE31" s="2" t="s">
        <v>224</v>
      </c>
      <c r="AF31" s="2" t="s">
        <v>224</v>
      </c>
      <c r="AG31" s="2" t="s">
        <v>1013</v>
      </c>
      <c r="AH31" s="2" t="s">
        <v>1013</v>
      </c>
      <c r="AI31" s="2" t="s">
        <v>499</v>
      </c>
      <c r="AJ31" s="2" t="s">
        <v>499</v>
      </c>
      <c r="AK31" s="2" t="s">
        <v>107</v>
      </c>
      <c r="AL31" s="2" t="s">
        <v>107</v>
      </c>
      <c r="AM31" s="8"/>
      <c r="AN31" s="2" t="s">
        <v>205</v>
      </c>
      <c r="AO31" s="2" t="s">
        <v>126</v>
      </c>
      <c r="AP31" s="2" t="s">
        <v>126</v>
      </c>
      <c r="AQ31" s="2" t="s">
        <v>1015</v>
      </c>
      <c r="AR31" s="2" t="s">
        <v>32</v>
      </c>
      <c r="AS31" s="2" t="s">
        <v>92</v>
      </c>
      <c r="AT31" s="2" t="s">
        <v>92</v>
      </c>
      <c r="AU31" s="2" t="s">
        <v>284</v>
      </c>
      <c r="AV31" s="2" t="s">
        <v>284</v>
      </c>
      <c r="AW31" s="2" t="s">
        <v>163</v>
      </c>
      <c r="AX31" s="2" t="s">
        <v>163</v>
      </c>
      <c r="AY31" s="2" t="s">
        <v>74</v>
      </c>
      <c r="AZ31" s="2" t="s">
        <v>74</v>
      </c>
      <c r="BA31" s="2" t="s">
        <v>284</v>
      </c>
      <c r="BB31" s="2" t="s">
        <v>284</v>
      </c>
      <c r="BC31" s="2" t="s">
        <v>74</v>
      </c>
      <c r="BD31" s="2" t="s">
        <v>74</v>
      </c>
      <c r="BE31" s="2" t="s">
        <v>74</v>
      </c>
      <c r="BF31" s="2" t="s">
        <v>74</v>
      </c>
      <c r="BG31" s="2" t="s">
        <v>83</v>
      </c>
      <c r="BH31" s="2" t="s">
        <v>233</v>
      </c>
      <c r="BI31" s="2" t="s">
        <v>233</v>
      </c>
      <c r="BJ31" s="2" t="s">
        <v>92</v>
      </c>
      <c r="BK31" s="2" t="s">
        <v>92</v>
      </c>
      <c r="BL31" s="2" t="s">
        <v>92</v>
      </c>
      <c r="BM31" s="2" t="s">
        <v>92</v>
      </c>
      <c r="BN31" s="2" t="s">
        <v>1017</v>
      </c>
      <c r="BO31" s="39" t="s">
        <v>74</v>
      </c>
      <c r="BP31" s="39"/>
      <c r="BQ31" s="2" t="s">
        <v>74</v>
      </c>
      <c r="BR31" s="2" t="s">
        <v>1017</v>
      </c>
      <c r="BS31" s="2" t="s">
        <v>738</v>
      </c>
      <c r="BT31" s="2" t="s">
        <v>284</v>
      </c>
      <c r="BU31" s="2" t="s">
        <v>284</v>
      </c>
      <c r="BV31" s="2" t="s">
        <v>83</v>
      </c>
      <c r="BW31" s="2" t="s">
        <v>83</v>
      </c>
      <c r="BX31" s="8"/>
      <c r="BY31" s="2" t="s">
        <v>233</v>
      </c>
      <c r="BZ31" s="2" t="s">
        <v>233</v>
      </c>
      <c r="CA31" s="2" t="s">
        <v>522</v>
      </c>
      <c r="CB31" s="2" t="s">
        <v>522</v>
      </c>
      <c r="CC31" s="2" t="s">
        <v>105</v>
      </c>
      <c r="CD31" s="2" t="s">
        <v>105</v>
      </c>
      <c r="CE31" s="2" t="s">
        <v>313</v>
      </c>
      <c r="CF31" s="2" t="s">
        <v>313</v>
      </c>
      <c r="CG31" s="8"/>
      <c r="CH31" s="2" t="s">
        <v>107</v>
      </c>
      <c r="CI31" s="2" t="s">
        <v>139</v>
      </c>
      <c r="CJ31" s="2" t="s">
        <v>139</v>
      </c>
      <c r="CK31" s="2" t="s">
        <v>233</v>
      </c>
      <c r="CL31" s="2">
        <v>0</v>
      </c>
      <c r="CM31" s="8"/>
      <c r="CN31" s="2" t="s">
        <v>233</v>
      </c>
      <c r="CO31" s="2" t="s">
        <v>233</v>
      </c>
      <c r="CP31" s="2" t="s">
        <v>173</v>
      </c>
      <c r="CQ31" s="8"/>
      <c r="CR31" s="2" t="s">
        <v>74</v>
      </c>
      <c r="CS31" s="2" t="s">
        <v>1019</v>
      </c>
      <c r="CT31" s="21"/>
      <c r="CU31" s="8"/>
      <c r="CV31" s="8"/>
      <c r="CW31" s="8"/>
      <c r="CX31" s="8"/>
      <c r="CY31" s="8"/>
      <c r="CZ31" s="8"/>
      <c r="DA31" s="8"/>
      <c r="DB31" s="8"/>
      <c r="DC31" s="8"/>
      <c r="DD31" s="8"/>
      <c r="DE31" s="8"/>
      <c r="DF31" s="8"/>
      <c r="DG31" s="8"/>
      <c r="DH31" s="8"/>
      <c r="DI31" s="8"/>
      <c r="DJ31" s="8"/>
      <c r="DK31" s="8"/>
      <c r="DL31" s="8"/>
    </row>
    <row r="32" spans="1:118" ht="15.75" customHeight="1">
      <c r="A32" s="8">
        <v>41</v>
      </c>
      <c r="B32" s="117" t="s">
        <v>1022</v>
      </c>
      <c r="C32" s="9" t="s">
        <v>69</v>
      </c>
      <c r="D32" s="2" t="s">
        <v>70</v>
      </c>
      <c r="E32" s="9">
        <v>43690.379256099535</v>
      </c>
      <c r="F32" s="2" t="s">
        <v>1024</v>
      </c>
      <c r="G32" s="2" t="s">
        <v>1025</v>
      </c>
      <c r="H32" s="2" t="s">
        <v>1026</v>
      </c>
      <c r="I32" s="2" t="s">
        <v>74</v>
      </c>
      <c r="J32" s="10" t="s">
        <v>1027</v>
      </c>
      <c r="K32" s="2" t="s">
        <v>1024</v>
      </c>
      <c r="L32" s="2" t="s">
        <v>1028</v>
      </c>
      <c r="M32" s="2" t="s">
        <v>152</v>
      </c>
      <c r="N32" s="2" t="s">
        <v>152</v>
      </c>
      <c r="O32" s="2" t="s">
        <v>684</v>
      </c>
      <c r="P32" s="2" t="s">
        <v>967</v>
      </c>
      <c r="Q32" s="2" t="s">
        <v>1030</v>
      </c>
      <c r="R32" s="2" t="s">
        <v>418</v>
      </c>
      <c r="S32" s="2" t="s">
        <v>418</v>
      </c>
      <c r="T32" s="2">
        <v>2014</v>
      </c>
      <c r="U32" s="2" t="s">
        <v>82</v>
      </c>
      <c r="V32" s="2" t="s">
        <v>83</v>
      </c>
      <c r="W32" s="2" t="s">
        <v>83</v>
      </c>
      <c r="X32" s="8"/>
      <c r="Y32" s="8"/>
      <c r="Z32" s="2" t="s">
        <v>84</v>
      </c>
      <c r="AA32" s="2" t="s">
        <v>84</v>
      </c>
      <c r="AB32" s="2" t="s">
        <v>85</v>
      </c>
      <c r="AC32" s="2" t="s">
        <v>85</v>
      </c>
      <c r="AD32" s="2" t="s">
        <v>74</v>
      </c>
      <c r="AE32" s="2" t="s">
        <v>1033</v>
      </c>
      <c r="AF32" s="2" t="s">
        <v>1033</v>
      </c>
      <c r="AG32" s="2" t="s">
        <v>190</v>
      </c>
      <c r="AH32" s="2" t="s">
        <v>190</v>
      </c>
      <c r="AI32" s="2" t="s">
        <v>85</v>
      </c>
      <c r="AJ32" s="2" t="s">
        <v>85</v>
      </c>
      <c r="AK32" s="2" t="s">
        <v>83</v>
      </c>
      <c r="AL32" s="2" t="s">
        <v>83</v>
      </c>
      <c r="AM32" s="8"/>
      <c r="AN32" s="2" t="s">
        <v>125</v>
      </c>
      <c r="AO32" s="2" t="s">
        <v>1035</v>
      </c>
      <c r="AP32" s="2" t="s">
        <v>90</v>
      </c>
      <c r="AQ32" s="2" t="s">
        <v>999</v>
      </c>
      <c r="AR32" s="2" t="s">
        <v>999</v>
      </c>
      <c r="AS32" s="2" t="s">
        <v>284</v>
      </c>
      <c r="AT32" s="2" t="s">
        <v>284</v>
      </c>
      <c r="AU32" s="2" t="s">
        <v>93</v>
      </c>
      <c r="AV32" s="2" t="s">
        <v>93</v>
      </c>
      <c r="AW32" s="2" t="s">
        <v>163</v>
      </c>
      <c r="AX32" s="2" t="s">
        <v>163</v>
      </c>
      <c r="AY32" s="2" t="s">
        <v>83</v>
      </c>
      <c r="AZ32" s="2" t="s">
        <v>83</v>
      </c>
      <c r="BA32" s="2" t="s">
        <v>284</v>
      </c>
      <c r="BB32" s="2" t="s">
        <v>284</v>
      </c>
      <c r="BC32" s="2" t="s">
        <v>83</v>
      </c>
      <c r="BD32" s="2" t="s">
        <v>83</v>
      </c>
      <c r="BE32" s="2" t="s">
        <v>74</v>
      </c>
      <c r="BF32" s="2" t="s">
        <v>74</v>
      </c>
      <c r="BG32" s="2" t="s">
        <v>74</v>
      </c>
      <c r="BH32" s="2" t="s">
        <v>97</v>
      </c>
      <c r="BI32" s="2" t="s">
        <v>97</v>
      </c>
      <c r="BJ32" s="2" t="s">
        <v>1039</v>
      </c>
      <c r="BK32" s="2" t="s">
        <v>738</v>
      </c>
      <c r="BL32" s="2" t="s">
        <v>393</v>
      </c>
      <c r="BM32" s="2" t="s">
        <v>393</v>
      </c>
      <c r="BN32" s="2" t="s">
        <v>631</v>
      </c>
      <c r="BO32" s="2" t="s">
        <v>74</v>
      </c>
      <c r="BP32" s="2" t="s">
        <v>2197</v>
      </c>
      <c r="BQ32" s="2" t="s">
        <v>83</v>
      </c>
      <c r="BR32" s="2" t="s">
        <v>1040</v>
      </c>
      <c r="BS32" s="2" t="s">
        <v>2180</v>
      </c>
      <c r="BT32" s="2" t="s">
        <v>1041</v>
      </c>
      <c r="BU32" s="2" t="s">
        <v>284</v>
      </c>
      <c r="BV32" s="2" t="s">
        <v>83</v>
      </c>
      <c r="BW32" s="2" t="s">
        <v>83</v>
      </c>
      <c r="BX32" s="8"/>
      <c r="BY32" s="2" t="s">
        <v>233</v>
      </c>
      <c r="BZ32" s="2" t="s">
        <v>233</v>
      </c>
      <c r="CA32" s="2" t="s">
        <v>1043</v>
      </c>
      <c r="CB32" s="38" t="s">
        <v>2186</v>
      </c>
      <c r="CC32" s="2" t="s">
        <v>233</v>
      </c>
      <c r="CD32" s="2" t="s">
        <v>233</v>
      </c>
      <c r="CE32" s="2" t="s">
        <v>233</v>
      </c>
      <c r="CF32" s="2" t="s">
        <v>233</v>
      </c>
      <c r="CG32" s="8"/>
      <c r="CH32" s="2" t="s">
        <v>233</v>
      </c>
      <c r="CI32" s="2" t="s">
        <v>171</v>
      </c>
      <c r="CJ32" s="2" t="s">
        <v>171</v>
      </c>
      <c r="CK32" s="2" t="s">
        <v>83</v>
      </c>
      <c r="CL32" s="2">
        <v>0</v>
      </c>
      <c r="CM32" s="8"/>
      <c r="CN32" s="2" t="s">
        <v>233</v>
      </c>
      <c r="CO32" s="2" t="s">
        <v>233</v>
      </c>
      <c r="CP32" s="2" t="s">
        <v>233</v>
      </c>
      <c r="CQ32" s="8"/>
      <c r="CR32" s="2" t="s">
        <v>83</v>
      </c>
      <c r="CS32" s="2" t="s">
        <v>1045</v>
      </c>
      <c r="CT32" s="8"/>
      <c r="CU32" s="8"/>
      <c r="CV32" s="8"/>
      <c r="CW32" s="8"/>
      <c r="CX32" s="8"/>
      <c r="CY32" s="8"/>
      <c r="CZ32" s="8"/>
      <c r="DA32" s="8"/>
      <c r="DB32" s="8"/>
      <c r="DC32" s="8"/>
      <c r="DD32" s="8"/>
      <c r="DE32" s="8"/>
      <c r="DF32" s="8"/>
      <c r="DG32" s="8"/>
      <c r="DH32" s="8"/>
      <c r="DI32" s="8"/>
      <c r="DJ32" s="8"/>
      <c r="DK32" s="8"/>
      <c r="DL32" s="8"/>
    </row>
    <row r="33" spans="1:118" ht="15.75" customHeight="1">
      <c r="A33" s="8">
        <v>42</v>
      </c>
      <c r="B33" s="8" t="s">
        <v>1047</v>
      </c>
      <c r="C33" s="2" t="s">
        <v>69</v>
      </c>
      <c r="D33" s="2" t="s">
        <v>70</v>
      </c>
      <c r="E33" s="9">
        <v>43690.53530319444</v>
      </c>
      <c r="F33" s="2" t="s">
        <v>1048</v>
      </c>
      <c r="G33" s="2" t="s">
        <v>1049</v>
      </c>
      <c r="H33" s="2" t="s">
        <v>1050</v>
      </c>
      <c r="I33" s="2" t="s">
        <v>83</v>
      </c>
      <c r="J33" s="10" t="s">
        <v>1052</v>
      </c>
      <c r="K33" s="2" t="s">
        <v>1053</v>
      </c>
      <c r="L33" s="2" t="s">
        <v>1054</v>
      </c>
      <c r="M33" s="2" t="s">
        <v>77</v>
      </c>
      <c r="N33" s="2" t="s">
        <v>77</v>
      </c>
      <c r="O33" s="2" t="s">
        <v>684</v>
      </c>
      <c r="P33" s="2" t="s">
        <v>1055</v>
      </c>
      <c r="Q33" s="2" t="s">
        <v>1056</v>
      </c>
      <c r="R33" s="2" t="s">
        <v>298</v>
      </c>
      <c r="S33" s="2" t="s">
        <v>298</v>
      </c>
      <c r="T33" s="2">
        <v>2017</v>
      </c>
      <c r="U33" s="2" t="s">
        <v>82</v>
      </c>
      <c r="V33" s="2" t="s">
        <v>74</v>
      </c>
      <c r="W33" s="2" t="s">
        <v>74</v>
      </c>
      <c r="X33" s="2" t="s">
        <v>119</v>
      </c>
      <c r="Y33" s="2" t="s">
        <v>119</v>
      </c>
      <c r="Z33" s="2" t="s">
        <v>885</v>
      </c>
      <c r="AA33" s="2" t="s">
        <v>885</v>
      </c>
      <c r="AB33" s="38" t="s">
        <v>1057</v>
      </c>
      <c r="AC33" s="38" t="s">
        <v>85</v>
      </c>
      <c r="AD33" s="2" t="s">
        <v>74</v>
      </c>
      <c r="AE33" s="2" t="s">
        <v>1058</v>
      </c>
      <c r="AF33" s="2" t="s">
        <v>1058</v>
      </c>
      <c r="AG33" s="2" t="s">
        <v>1060</v>
      </c>
      <c r="AH33" s="2" t="s">
        <v>1060</v>
      </c>
      <c r="AI33" s="2" t="s">
        <v>85</v>
      </c>
      <c r="AJ33" s="2" t="s">
        <v>85</v>
      </c>
      <c r="AK33" s="2" t="s">
        <v>74</v>
      </c>
      <c r="AL33" s="2" t="s">
        <v>74</v>
      </c>
      <c r="AM33" s="2" t="s">
        <v>1061</v>
      </c>
      <c r="AN33" s="2" t="s">
        <v>125</v>
      </c>
      <c r="AO33" s="2" t="s">
        <v>90</v>
      </c>
      <c r="AP33" s="2" t="s">
        <v>90</v>
      </c>
      <c r="AQ33" s="2" t="s">
        <v>1063</v>
      </c>
      <c r="AR33" s="2" t="s">
        <v>2152</v>
      </c>
      <c r="AS33" s="2" t="s">
        <v>227</v>
      </c>
      <c r="AT33" s="2" t="s">
        <v>227</v>
      </c>
      <c r="AU33" s="2" t="s">
        <v>93</v>
      </c>
      <c r="AV33" s="2" t="s">
        <v>93</v>
      </c>
      <c r="AW33" s="2" t="s">
        <v>163</v>
      </c>
      <c r="AX33" s="2" t="s">
        <v>163</v>
      </c>
      <c r="AY33" s="2" t="s">
        <v>74</v>
      </c>
      <c r="AZ33" s="2" t="s">
        <v>74</v>
      </c>
      <c r="BA33" s="2" t="s">
        <v>1065</v>
      </c>
      <c r="BB33" s="2" t="s">
        <v>2163</v>
      </c>
      <c r="BC33" s="2" t="s">
        <v>74</v>
      </c>
      <c r="BD33" s="2" t="s">
        <v>74</v>
      </c>
      <c r="BE33" s="2" t="s">
        <v>107</v>
      </c>
      <c r="BF33" s="2" t="s">
        <v>74</v>
      </c>
      <c r="BG33" s="2" t="s">
        <v>74</v>
      </c>
      <c r="BH33" s="2" t="s">
        <v>97</v>
      </c>
      <c r="BI33" s="2" t="s">
        <v>97</v>
      </c>
      <c r="BJ33" s="2" t="s">
        <v>1066</v>
      </c>
      <c r="BK33" s="2" t="s">
        <v>2165</v>
      </c>
      <c r="BL33" s="2" t="s">
        <v>730</v>
      </c>
      <c r="BM33" s="2" t="s">
        <v>730</v>
      </c>
      <c r="BN33" s="2" t="s">
        <v>521</v>
      </c>
      <c r="BO33" s="39" t="s">
        <v>74</v>
      </c>
      <c r="BP33" s="39" t="s">
        <v>2198</v>
      </c>
      <c r="BQ33" s="2" t="s">
        <v>83</v>
      </c>
      <c r="BR33" s="2" t="s">
        <v>1067</v>
      </c>
      <c r="BS33" s="2" t="s">
        <v>2181</v>
      </c>
      <c r="BT33" s="2" t="s">
        <v>107</v>
      </c>
      <c r="BU33" s="2" t="s">
        <v>107</v>
      </c>
      <c r="BV33" s="2" t="s">
        <v>83</v>
      </c>
      <c r="BW33" s="2" t="s">
        <v>83</v>
      </c>
      <c r="BX33" s="8"/>
      <c r="BY33" s="2" t="s">
        <v>233</v>
      </c>
      <c r="BZ33" s="2" t="s">
        <v>233</v>
      </c>
      <c r="CA33" s="2" t="s">
        <v>268</v>
      </c>
      <c r="CB33" s="2" t="s">
        <v>268</v>
      </c>
      <c r="CC33" s="2" t="s">
        <v>339</v>
      </c>
      <c r="CD33" s="2" t="s">
        <v>339</v>
      </c>
      <c r="CE33" s="2" t="s">
        <v>1068</v>
      </c>
      <c r="CF33" s="2" t="s">
        <v>1068</v>
      </c>
      <c r="CG33" s="8"/>
      <c r="CH33" s="2" t="s">
        <v>233</v>
      </c>
      <c r="CI33" s="2" t="s">
        <v>139</v>
      </c>
      <c r="CJ33" s="2" t="s">
        <v>171</v>
      </c>
      <c r="CK33" s="2" t="s">
        <v>233</v>
      </c>
      <c r="CL33" s="2" t="s">
        <v>141</v>
      </c>
      <c r="CM33" s="8"/>
      <c r="CN33" s="2" t="s">
        <v>213</v>
      </c>
      <c r="CO33" s="2" t="s">
        <v>213</v>
      </c>
      <c r="CP33" s="2" t="s">
        <v>173</v>
      </c>
      <c r="CQ33" s="8"/>
      <c r="CR33" s="2" t="s">
        <v>74</v>
      </c>
      <c r="CS33" s="8"/>
      <c r="CT33" s="21"/>
      <c r="CU33" s="8"/>
      <c r="CV33" s="8"/>
      <c r="CW33" s="8"/>
      <c r="CX33" s="8"/>
      <c r="CY33" s="8"/>
      <c r="CZ33" s="8"/>
      <c r="DA33" s="8"/>
      <c r="DB33" s="8"/>
      <c r="DC33" s="8"/>
      <c r="DD33" s="8"/>
      <c r="DE33" s="8"/>
      <c r="DF33" s="8"/>
      <c r="DG33" s="8"/>
      <c r="DH33" s="8"/>
      <c r="DI33" s="8"/>
      <c r="DJ33" s="8"/>
      <c r="DK33" s="8"/>
      <c r="DL33" s="8"/>
    </row>
    <row r="34" spans="1:118" ht="15.75" customHeight="1">
      <c r="A34" s="8">
        <v>43</v>
      </c>
      <c r="B34" s="8"/>
      <c r="C34" s="9" t="s">
        <v>69</v>
      </c>
      <c r="D34" s="2" t="s">
        <v>70</v>
      </c>
      <c r="E34" s="9">
        <v>43691.444945706018</v>
      </c>
      <c r="F34" s="2" t="s">
        <v>1069</v>
      </c>
      <c r="G34" s="2" t="s">
        <v>1070</v>
      </c>
      <c r="H34" s="2" t="s">
        <v>1072</v>
      </c>
      <c r="I34" s="2" t="s">
        <v>74</v>
      </c>
      <c r="J34" s="10" t="s">
        <v>1074</v>
      </c>
      <c r="K34" s="2" t="s">
        <v>1069</v>
      </c>
      <c r="L34" s="2" t="s">
        <v>1079</v>
      </c>
      <c r="M34" s="2" t="s">
        <v>152</v>
      </c>
      <c r="N34" s="2" t="s">
        <v>152</v>
      </c>
      <c r="O34" s="2" t="s">
        <v>510</v>
      </c>
      <c r="P34" s="2" t="s">
        <v>511</v>
      </c>
      <c r="Q34" s="2" t="s">
        <v>1082</v>
      </c>
      <c r="R34" s="2" t="s">
        <v>118</v>
      </c>
      <c r="S34" s="2" t="s">
        <v>118</v>
      </c>
      <c r="T34" s="2">
        <v>2010</v>
      </c>
      <c r="U34" s="2" t="s">
        <v>82</v>
      </c>
      <c r="V34" s="2" t="s">
        <v>74</v>
      </c>
      <c r="W34" s="2" t="s">
        <v>74</v>
      </c>
      <c r="X34" s="2" t="s">
        <v>119</v>
      </c>
      <c r="Y34" s="2" t="s">
        <v>119</v>
      </c>
      <c r="Z34" s="2" t="s">
        <v>1085</v>
      </c>
      <c r="AA34" s="2" t="s">
        <v>2127</v>
      </c>
      <c r="AB34" s="2" t="s">
        <v>729</v>
      </c>
      <c r="AC34" s="2" t="s">
        <v>729</v>
      </c>
      <c r="AD34" s="2" t="s">
        <v>74</v>
      </c>
      <c r="AE34" s="2" t="s">
        <v>1087</v>
      </c>
      <c r="AF34" s="38" t="s">
        <v>1087</v>
      </c>
      <c r="AG34" s="2" t="s">
        <v>1088</v>
      </c>
      <c r="AH34" s="2" t="s">
        <v>1088</v>
      </c>
      <c r="AI34" s="2" t="s">
        <v>499</v>
      </c>
      <c r="AJ34" s="2" t="s">
        <v>499</v>
      </c>
      <c r="AK34" s="2" t="s">
        <v>74</v>
      </c>
      <c r="AL34" s="2" t="s">
        <v>74</v>
      </c>
      <c r="AM34" s="2" t="s">
        <v>1089</v>
      </c>
      <c r="AN34" s="2" t="s">
        <v>303</v>
      </c>
      <c r="AO34" s="2" t="s">
        <v>90</v>
      </c>
      <c r="AP34" s="2" t="s">
        <v>90</v>
      </c>
      <c r="AQ34" s="2" t="s">
        <v>1092</v>
      </c>
      <c r="AR34" s="2" t="s">
        <v>2158</v>
      </c>
      <c r="AS34" s="2" t="s">
        <v>92</v>
      </c>
      <c r="AT34" s="2" t="s">
        <v>92</v>
      </c>
      <c r="AU34" s="2" t="s">
        <v>284</v>
      </c>
      <c r="AV34" s="2" t="s">
        <v>284</v>
      </c>
      <c r="AW34" s="2" t="s">
        <v>94</v>
      </c>
      <c r="AX34" s="2" t="s">
        <v>94</v>
      </c>
      <c r="AY34" s="2" t="s">
        <v>74</v>
      </c>
      <c r="AZ34" s="2" t="s">
        <v>74</v>
      </c>
      <c r="BA34" s="2" t="s">
        <v>284</v>
      </c>
      <c r="BB34" s="2" t="s">
        <v>284</v>
      </c>
      <c r="BC34" s="2" t="s">
        <v>74</v>
      </c>
      <c r="BD34" s="2" t="s">
        <v>74</v>
      </c>
      <c r="BE34" s="2" t="s">
        <v>74</v>
      </c>
      <c r="BF34" s="2" t="s">
        <v>74</v>
      </c>
      <c r="BG34" s="2" t="s">
        <v>74</v>
      </c>
      <c r="BH34" s="2" t="s">
        <v>97</v>
      </c>
      <c r="BI34" s="2" t="s">
        <v>97</v>
      </c>
      <c r="BJ34" s="2" t="s">
        <v>233</v>
      </c>
      <c r="BK34" s="2" t="s">
        <v>233</v>
      </c>
      <c r="BL34" s="2" t="s">
        <v>1095</v>
      </c>
      <c r="BM34" s="2" t="s">
        <v>2177</v>
      </c>
      <c r="BN34" s="2" t="s">
        <v>1096</v>
      </c>
      <c r="BO34" s="47" t="s">
        <v>2196</v>
      </c>
      <c r="BP34" s="38" t="s">
        <v>2226</v>
      </c>
      <c r="BQ34" s="2" t="s">
        <v>83</v>
      </c>
      <c r="BR34" s="2" t="s">
        <v>1097</v>
      </c>
      <c r="BS34" s="2" t="s">
        <v>2181</v>
      </c>
      <c r="BT34" s="2" t="s">
        <v>1098</v>
      </c>
      <c r="BU34" s="2" t="s">
        <v>2183</v>
      </c>
      <c r="BV34" s="2" t="s">
        <v>233</v>
      </c>
      <c r="BW34" s="2" t="s">
        <v>233</v>
      </c>
      <c r="BX34" s="8"/>
      <c r="BY34" s="2" t="s">
        <v>233</v>
      </c>
      <c r="BZ34" s="2" t="s">
        <v>233</v>
      </c>
      <c r="CA34" s="2" t="s">
        <v>167</v>
      </c>
      <c r="CB34" s="2" t="s">
        <v>167</v>
      </c>
      <c r="CC34" s="2" t="s">
        <v>168</v>
      </c>
      <c r="CD34" s="2" t="s">
        <v>168</v>
      </c>
      <c r="CE34" s="2" t="s">
        <v>168</v>
      </c>
      <c r="CF34" s="2" t="s">
        <v>168</v>
      </c>
      <c r="CG34" s="2" t="s">
        <v>1099</v>
      </c>
      <c r="CH34" s="2" t="s">
        <v>233</v>
      </c>
      <c r="CI34" s="2" t="s">
        <v>140</v>
      </c>
      <c r="CJ34" s="2" t="s">
        <v>139</v>
      </c>
      <c r="CK34" s="2" t="s">
        <v>83</v>
      </c>
      <c r="CL34" s="2" t="s">
        <v>270</v>
      </c>
      <c r="CM34" s="10" t="s">
        <v>1101</v>
      </c>
      <c r="CN34" s="2" t="s">
        <v>925</v>
      </c>
      <c r="CO34" s="2" t="s">
        <v>925</v>
      </c>
      <c r="CP34" s="2" t="s">
        <v>238</v>
      </c>
      <c r="CQ34" s="8"/>
      <c r="CR34" s="2" t="s">
        <v>74</v>
      </c>
      <c r="CS34" s="8"/>
      <c r="CU34" s="8"/>
      <c r="CV34" s="8"/>
      <c r="CW34" s="8"/>
      <c r="CX34" s="8"/>
      <c r="CY34" s="8"/>
      <c r="CZ34" s="8"/>
      <c r="DA34" s="8"/>
      <c r="DB34" s="8"/>
      <c r="DC34" s="8"/>
      <c r="DD34" s="8"/>
      <c r="DE34" s="8"/>
      <c r="DF34" s="8"/>
      <c r="DG34" s="8"/>
      <c r="DH34" s="8"/>
      <c r="DI34" s="8"/>
      <c r="DJ34" s="8"/>
      <c r="DK34" s="8"/>
      <c r="DL34" s="8"/>
    </row>
    <row r="35" spans="1:118" ht="15.75" customHeight="1">
      <c r="A35" s="8">
        <v>46</v>
      </c>
      <c r="B35" s="8"/>
      <c r="C35" s="9" t="s">
        <v>69</v>
      </c>
      <c r="D35" s="2" t="s">
        <v>70</v>
      </c>
      <c r="E35" s="9">
        <v>43692.504600405096</v>
      </c>
      <c r="F35" s="2" t="s">
        <v>751</v>
      </c>
      <c r="G35" s="2" t="s">
        <v>753</v>
      </c>
      <c r="H35" s="2" t="s">
        <v>1108</v>
      </c>
      <c r="I35" s="2" t="s">
        <v>83</v>
      </c>
      <c r="J35" s="10" t="s">
        <v>1109</v>
      </c>
      <c r="K35" s="2" t="s">
        <v>1113</v>
      </c>
      <c r="L35" s="2" t="s">
        <v>1114</v>
      </c>
      <c r="M35" s="2" t="s">
        <v>152</v>
      </c>
      <c r="N35" s="2" t="s">
        <v>152</v>
      </c>
      <c r="O35" s="2" t="s">
        <v>695</v>
      </c>
      <c r="P35" s="2" t="s">
        <v>1115</v>
      </c>
      <c r="Q35" s="2" t="s">
        <v>1116</v>
      </c>
      <c r="R35" s="2" t="s">
        <v>1117</v>
      </c>
      <c r="S35" s="38" t="s">
        <v>298</v>
      </c>
      <c r="T35" s="2">
        <v>2019</v>
      </c>
      <c r="U35" s="2" t="s">
        <v>82</v>
      </c>
      <c r="V35" s="2" t="s">
        <v>74</v>
      </c>
      <c r="W35" s="2" t="s">
        <v>74</v>
      </c>
      <c r="X35" s="8"/>
      <c r="Y35" s="8"/>
      <c r="Z35" s="2" t="s">
        <v>84</v>
      </c>
      <c r="AA35" s="2" t="s">
        <v>84</v>
      </c>
      <c r="AB35" s="38" t="s">
        <v>1118</v>
      </c>
      <c r="AC35" s="38" t="s">
        <v>731</v>
      </c>
      <c r="AD35" s="2" t="s">
        <v>74</v>
      </c>
      <c r="AE35" s="2" t="s">
        <v>1119</v>
      </c>
      <c r="AF35" s="2" t="s">
        <v>1119</v>
      </c>
      <c r="AG35" s="2" t="s">
        <v>260</v>
      </c>
      <c r="AH35" s="2" t="s">
        <v>260</v>
      </c>
      <c r="AI35" s="2" t="s">
        <v>641</v>
      </c>
      <c r="AJ35" s="2" t="s">
        <v>641</v>
      </c>
      <c r="AK35" s="2" t="s">
        <v>107</v>
      </c>
      <c r="AL35" s="2" t="s">
        <v>107</v>
      </c>
      <c r="AM35" s="8"/>
      <c r="AN35" s="2" t="s">
        <v>205</v>
      </c>
      <c r="AO35" s="2" t="s">
        <v>90</v>
      </c>
      <c r="AP35" s="2" t="s">
        <v>90</v>
      </c>
      <c r="AQ35" s="2" t="s">
        <v>931</v>
      </c>
      <c r="AR35" s="2" t="s">
        <v>931</v>
      </c>
      <c r="AS35" s="2" t="s">
        <v>92</v>
      </c>
      <c r="AT35" s="2" t="s">
        <v>92</v>
      </c>
      <c r="AU35" s="2" t="s">
        <v>284</v>
      </c>
      <c r="AV35" s="2" t="s">
        <v>284</v>
      </c>
      <c r="AW35" s="2" t="s">
        <v>107</v>
      </c>
      <c r="AX35" s="2" t="s">
        <v>107</v>
      </c>
      <c r="AY35" s="2" t="s">
        <v>107</v>
      </c>
      <c r="AZ35" s="2" t="s">
        <v>107</v>
      </c>
      <c r="BA35" s="2" t="s">
        <v>107</v>
      </c>
      <c r="BB35" s="2" t="s">
        <v>107</v>
      </c>
      <c r="BC35" s="2" t="s">
        <v>107</v>
      </c>
      <c r="BD35" s="2" t="s">
        <v>107</v>
      </c>
      <c r="BE35" s="2" t="s">
        <v>107</v>
      </c>
      <c r="BF35" s="2" t="s">
        <v>107</v>
      </c>
      <c r="BG35" s="2" t="s">
        <v>107</v>
      </c>
      <c r="BH35" s="2" t="s">
        <v>107</v>
      </c>
      <c r="BI35" s="2" t="s">
        <v>107</v>
      </c>
      <c r="BJ35" s="2" t="s">
        <v>107</v>
      </c>
      <c r="BK35" s="2" t="s">
        <v>107</v>
      </c>
      <c r="BL35" s="2" t="s">
        <v>1120</v>
      </c>
      <c r="BM35" s="2" t="s">
        <v>945</v>
      </c>
      <c r="BN35" s="2" t="s">
        <v>107</v>
      </c>
      <c r="BO35" s="2" t="s">
        <v>107</v>
      </c>
      <c r="BP35" s="39"/>
      <c r="BQ35" s="2" t="s">
        <v>107</v>
      </c>
      <c r="BR35" s="2" t="s">
        <v>107</v>
      </c>
      <c r="BS35" s="2" t="s">
        <v>107</v>
      </c>
      <c r="BT35" s="2" t="s">
        <v>107</v>
      </c>
      <c r="BU35" s="2" t="s">
        <v>107</v>
      </c>
      <c r="BV35" s="2" t="s">
        <v>107</v>
      </c>
      <c r="BW35" s="2" t="s">
        <v>107</v>
      </c>
      <c r="BX35" s="8"/>
      <c r="BY35" s="2" t="s">
        <v>107</v>
      </c>
      <c r="BZ35" s="2" t="s">
        <v>107</v>
      </c>
      <c r="CA35" s="2" t="s">
        <v>167</v>
      </c>
      <c r="CB35" s="2" t="s">
        <v>167</v>
      </c>
      <c r="CC35" s="2" t="s">
        <v>107</v>
      </c>
      <c r="CD35" s="2" t="s">
        <v>107</v>
      </c>
      <c r="CE35" s="2" t="s">
        <v>107</v>
      </c>
      <c r="CF35" s="2" t="s">
        <v>107</v>
      </c>
      <c r="CG35" s="8"/>
      <c r="CH35" s="2" t="s">
        <v>233</v>
      </c>
      <c r="CI35" s="2" t="s">
        <v>108</v>
      </c>
      <c r="CJ35" s="2" t="s">
        <v>108</v>
      </c>
      <c r="CK35" s="2" t="s">
        <v>107</v>
      </c>
      <c r="CL35" s="2" t="s">
        <v>107</v>
      </c>
      <c r="CM35" s="8"/>
      <c r="CN35" s="2" t="s">
        <v>107</v>
      </c>
      <c r="CO35" s="2" t="s">
        <v>107</v>
      </c>
      <c r="CP35" s="2" t="s">
        <v>107</v>
      </c>
      <c r="CQ35" s="8"/>
      <c r="CR35" s="2" t="s">
        <v>74</v>
      </c>
      <c r="CS35" s="8"/>
      <c r="CT35" s="21"/>
      <c r="CU35" s="8"/>
      <c r="CV35" s="8"/>
      <c r="CW35" s="8"/>
      <c r="CX35" s="8"/>
      <c r="CY35" s="8"/>
      <c r="CZ35" s="8"/>
      <c r="DA35" s="8"/>
      <c r="DB35" s="8"/>
      <c r="DC35" s="8"/>
      <c r="DD35" s="8"/>
      <c r="DE35" s="8"/>
      <c r="DF35" s="8"/>
      <c r="DG35" s="8"/>
      <c r="DH35" s="8"/>
      <c r="DI35" s="8"/>
      <c r="DJ35" s="8"/>
      <c r="DK35" s="8"/>
      <c r="DL35" s="8"/>
      <c r="DM35" s="8"/>
      <c r="DN35" s="8"/>
    </row>
    <row r="36" spans="1:118" ht="15.75" customHeight="1">
      <c r="A36" s="8">
        <v>47</v>
      </c>
      <c r="B36" s="8"/>
      <c r="C36" s="9" t="s">
        <v>69</v>
      </c>
      <c r="D36" s="2" t="s">
        <v>70</v>
      </c>
      <c r="E36" s="9">
        <v>43692.762742592589</v>
      </c>
      <c r="F36" s="2" t="s">
        <v>1121</v>
      </c>
      <c r="G36" s="2" t="s">
        <v>1122</v>
      </c>
      <c r="H36" s="2" t="s">
        <v>1123</v>
      </c>
      <c r="I36" s="2" t="s">
        <v>74</v>
      </c>
      <c r="J36" s="2" t="s">
        <v>1124</v>
      </c>
      <c r="K36" s="2" t="s">
        <v>1125</v>
      </c>
      <c r="L36" s="2" t="s">
        <v>1126</v>
      </c>
      <c r="M36" s="2" t="s">
        <v>77</v>
      </c>
      <c r="N36" s="2" t="s">
        <v>77</v>
      </c>
      <c r="O36" s="2" t="s">
        <v>199</v>
      </c>
      <c r="P36" s="2" t="s">
        <v>1127</v>
      </c>
      <c r="Q36" s="2" t="s">
        <v>1128</v>
      </c>
      <c r="R36" s="2" t="s">
        <v>81</v>
      </c>
      <c r="S36" s="2" t="s">
        <v>81</v>
      </c>
      <c r="T36" s="2">
        <v>2019</v>
      </c>
      <c r="U36" s="2" t="s">
        <v>82</v>
      </c>
      <c r="V36" s="2" t="s">
        <v>95</v>
      </c>
      <c r="W36" s="2" t="s">
        <v>95</v>
      </c>
      <c r="X36" s="2" t="s">
        <v>256</v>
      </c>
      <c r="Y36" s="2" t="s">
        <v>256</v>
      </c>
      <c r="Z36" s="2" t="s">
        <v>1129</v>
      </c>
      <c r="AA36" s="38" t="s">
        <v>2126</v>
      </c>
      <c r="AB36" s="38" t="s">
        <v>1130</v>
      </c>
      <c r="AC36" s="38" t="s">
        <v>85</v>
      </c>
      <c r="AD36" s="2" t="s">
        <v>95</v>
      </c>
      <c r="AE36" s="2" t="s">
        <v>640</v>
      </c>
      <c r="AF36" s="2" t="s">
        <v>640</v>
      </c>
      <c r="AG36" s="2" t="s">
        <v>364</v>
      </c>
      <c r="AH36" s="2" t="s">
        <v>364</v>
      </c>
      <c r="AI36" s="2" t="s">
        <v>1131</v>
      </c>
      <c r="AJ36" s="38" t="s">
        <v>2148</v>
      </c>
      <c r="AK36" s="2" t="s">
        <v>74</v>
      </c>
      <c r="AL36" s="2" t="s">
        <v>74</v>
      </c>
      <c r="AM36" s="2" t="s">
        <v>1132</v>
      </c>
      <c r="AN36" s="2" t="s">
        <v>205</v>
      </c>
      <c r="AO36" s="2" t="s">
        <v>126</v>
      </c>
      <c r="AP36" s="2" t="s">
        <v>126</v>
      </c>
      <c r="AQ36" s="2" t="s">
        <v>1133</v>
      </c>
      <c r="AR36" s="2" t="s">
        <v>2156</v>
      </c>
      <c r="AS36" s="2" t="s">
        <v>162</v>
      </c>
      <c r="AT36" s="2" t="s">
        <v>162</v>
      </c>
      <c r="AU36" s="2" t="s">
        <v>284</v>
      </c>
      <c r="AV36" s="2" t="s">
        <v>284</v>
      </c>
      <c r="AW36" s="2" t="s">
        <v>94</v>
      </c>
      <c r="AX36" s="2" t="s">
        <v>94</v>
      </c>
      <c r="AY36" s="2" t="s">
        <v>74</v>
      </c>
      <c r="AZ36" s="2" t="s">
        <v>74</v>
      </c>
      <c r="BA36" s="2" t="s">
        <v>1134</v>
      </c>
      <c r="BB36" s="2" t="s">
        <v>164</v>
      </c>
      <c r="BC36" s="2" t="s">
        <v>74</v>
      </c>
      <c r="BD36" s="2" t="s">
        <v>74</v>
      </c>
      <c r="BE36" s="2" t="s">
        <v>74</v>
      </c>
      <c r="BF36" s="2" t="s">
        <v>74</v>
      </c>
      <c r="BG36" s="2" t="s">
        <v>74</v>
      </c>
      <c r="BH36" s="2" t="s">
        <v>358</v>
      </c>
      <c r="BI36" s="2" t="s">
        <v>358</v>
      </c>
      <c r="BJ36" s="2" t="s">
        <v>1135</v>
      </c>
      <c r="BK36" s="38" t="s">
        <v>2169</v>
      </c>
      <c r="BL36" s="2" t="s">
        <v>1136</v>
      </c>
      <c r="BM36" s="2" t="s">
        <v>1136</v>
      </c>
      <c r="BN36" s="2" t="s">
        <v>166</v>
      </c>
      <c r="BO36" s="2" t="s">
        <v>83</v>
      </c>
      <c r="BP36" s="39"/>
      <c r="BQ36" s="2" t="s">
        <v>74</v>
      </c>
      <c r="BR36" s="2" t="s">
        <v>101</v>
      </c>
      <c r="BS36" s="2" t="s">
        <v>101</v>
      </c>
      <c r="BT36" s="2" t="s">
        <v>107</v>
      </c>
      <c r="BU36" s="2" t="s">
        <v>107</v>
      </c>
      <c r="BV36" s="2" t="s">
        <v>233</v>
      </c>
      <c r="BW36" s="2" t="s">
        <v>233</v>
      </c>
      <c r="BX36" s="8"/>
      <c r="BY36" s="2" t="s">
        <v>233</v>
      </c>
      <c r="BZ36" s="2" t="s">
        <v>233</v>
      </c>
      <c r="CA36" s="2" t="s">
        <v>1139</v>
      </c>
      <c r="CB36" s="2" t="s">
        <v>1139</v>
      </c>
      <c r="CC36" s="2" t="s">
        <v>105</v>
      </c>
      <c r="CD36" s="2" t="s">
        <v>105</v>
      </c>
      <c r="CE36" s="2" t="s">
        <v>861</v>
      </c>
      <c r="CF36" s="2" t="s">
        <v>861</v>
      </c>
      <c r="CG36" s="2" t="s">
        <v>1140</v>
      </c>
      <c r="CH36" s="2" t="s">
        <v>107</v>
      </c>
      <c r="CI36" s="2" t="s">
        <v>171</v>
      </c>
      <c r="CJ36" s="2" t="s">
        <v>171</v>
      </c>
      <c r="CK36" s="2" t="s">
        <v>74</v>
      </c>
      <c r="CL36" s="2" t="s">
        <v>316</v>
      </c>
      <c r="CM36" s="10" t="s">
        <v>1141</v>
      </c>
      <c r="CN36" s="2" t="s">
        <v>143</v>
      </c>
      <c r="CO36" s="2" t="s">
        <v>143</v>
      </c>
      <c r="CP36" s="2" t="s">
        <v>471</v>
      </c>
      <c r="CQ36" s="8"/>
      <c r="CR36" s="2" t="s">
        <v>74</v>
      </c>
      <c r="CS36" s="8"/>
      <c r="CU36" s="8"/>
      <c r="CV36" s="8"/>
      <c r="CW36" s="8"/>
      <c r="CX36" s="8"/>
      <c r="CY36" s="8"/>
      <c r="CZ36" s="8"/>
      <c r="DA36" s="8"/>
      <c r="DB36" s="8"/>
      <c r="DC36" s="8"/>
      <c r="DD36" s="8"/>
      <c r="DE36" s="8"/>
      <c r="DF36" s="8"/>
      <c r="DG36" s="8"/>
      <c r="DH36" s="8"/>
      <c r="DI36" s="8"/>
      <c r="DJ36" s="8"/>
      <c r="DK36" s="8"/>
      <c r="DL36" s="8"/>
      <c r="DM36" s="8"/>
      <c r="DN36" s="8"/>
    </row>
    <row r="37" spans="1:118" ht="15.75" customHeight="1">
      <c r="A37" s="8">
        <v>49</v>
      </c>
      <c r="B37" s="4" t="s">
        <v>1145</v>
      </c>
      <c r="C37" s="119" t="s">
        <v>69</v>
      </c>
      <c r="D37" s="2" t="s">
        <v>70</v>
      </c>
      <c r="E37" s="9">
        <v>43696.365995671295</v>
      </c>
      <c r="F37" s="2" t="s">
        <v>838</v>
      </c>
      <c r="G37" s="2" t="s">
        <v>839</v>
      </c>
      <c r="H37" s="2" t="s">
        <v>1149</v>
      </c>
      <c r="I37" s="2" t="s">
        <v>83</v>
      </c>
      <c r="J37" s="2" t="s">
        <v>867</v>
      </c>
      <c r="K37" s="2" t="s">
        <v>868</v>
      </c>
      <c r="L37" s="21" t="s">
        <v>1151</v>
      </c>
      <c r="M37" s="2" t="s">
        <v>152</v>
      </c>
      <c r="N37" s="2" t="s">
        <v>152</v>
      </c>
      <c r="O37" s="2" t="s">
        <v>688</v>
      </c>
      <c r="P37" s="2" t="s">
        <v>1152</v>
      </c>
      <c r="Q37" s="2" t="s">
        <v>874</v>
      </c>
      <c r="R37" s="2" t="s">
        <v>298</v>
      </c>
      <c r="S37" s="2" t="s">
        <v>298</v>
      </c>
      <c r="T37" s="2">
        <v>2019</v>
      </c>
      <c r="U37" s="2" t="s">
        <v>82</v>
      </c>
      <c r="V37" s="2" t="s">
        <v>74</v>
      </c>
      <c r="W37" s="2" t="s">
        <v>74</v>
      </c>
      <c r="X37" s="2" t="s">
        <v>256</v>
      </c>
      <c r="Y37" s="2" t="s">
        <v>256</v>
      </c>
      <c r="Z37" s="2" t="s">
        <v>875</v>
      </c>
      <c r="AA37" s="2" t="s">
        <v>2122</v>
      </c>
      <c r="AB37" s="2" t="s">
        <v>85</v>
      </c>
      <c r="AC37" s="2" t="s">
        <v>85</v>
      </c>
      <c r="AD37" s="2" t="s">
        <v>74</v>
      </c>
      <c r="AE37" s="2" t="s">
        <v>1153</v>
      </c>
      <c r="AF37" s="38" t="s">
        <v>2135</v>
      </c>
      <c r="AG37" s="2" t="s">
        <v>1154</v>
      </c>
      <c r="AH37" s="38" t="s">
        <v>2143</v>
      </c>
      <c r="AI37" s="2" t="s">
        <v>85</v>
      </c>
      <c r="AJ37" s="2" t="s">
        <v>85</v>
      </c>
      <c r="AK37" s="2" t="s">
        <v>74</v>
      </c>
      <c r="AL37" s="2" t="s">
        <v>74</v>
      </c>
      <c r="AM37" s="2" t="s">
        <v>852</v>
      </c>
      <c r="AN37" s="2" t="s">
        <v>89</v>
      </c>
      <c r="AO37" s="2" t="s">
        <v>90</v>
      </c>
      <c r="AP37" s="2" t="s">
        <v>90</v>
      </c>
      <c r="AQ37" s="2" t="s">
        <v>853</v>
      </c>
      <c r="AR37" s="2" t="s">
        <v>2151</v>
      </c>
      <c r="AS37" s="2" t="s">
        <v>284</v>
      </c>
      <c r="AT37" s="2" t="s">
        <v>284</v>
      </c>
      <c r="AU37" s="2" t="s">
        <v>284</v>
      </c>
      <c r="AV37" s="2" t="s">
        <v>284</v>
      </c>
      <c r="AW37" s="2" t="s">
        <v>163</v>
      </c>
      <c r="AX37" s="2" t="s">
        <v>163</v>
      </c>
      <c r="AY37" s="2" t="s">
        <v>74</v>
      </c>
      <c r="AZ37" s="2" t="s">
        <v>74</v>
      </c>
      <c r="BA37" s="2" t="s">
        <v>96</v>
      </c>
      <c r="BB37" s="2" t="s">
        <v>96</v>
      </c>
      <c r="BC37" s="2" t="s">
        <v>74</v>
      </c>
      <c r="BD37" s="2" t="s">
        <v>74</v>
      </c>
      <c r="BE37" s="2" t="s">
        <v>74</v>
      </c>
      <c r="BF37" s="2" t="s">
        <v>74</v>
      </c>
      <c r="BG37" s="2" t="s">
        <v>74</v>
      </c>
      <c r="BH37" s="2" t="s">
        <v>97</v>
      </c>
      <c r="BI37" s="2" t="s">
        <v>97</v>
      </c>
      <c r="BJ37" s="2" t="s">
        <v>1159</v>
      </c>
      <c r="BK37" s="2" t="s">
        <v>738</v>
      </c>
      <c r="BL37" s="2" t="s">
        <v>308</v>
      </c>
      <c r="BM37" s="2" t="s">
        <v>308</v>
      </c>
      <c r="BN37" s="2" t="s">
        <v>1160</v>
      </c>
      <c r="BO37" s="2" t="s">
        <v>74</v>
      </c>
      <c r="BP37" s="2" t="s">
        <v>2221</v>
      </c>
      <c r="BQ37" s="2" t="s">
        <v>74</v>
      </c>
      <c r="BR37" s="2" t="s">
        <v>101</v>
      </c>
      <c r="BS37" s="2" t="s">
        <v>101</v>
      </c>
      <c r="BT37" s="2" t="s">
        <v>857</v>
      </c>
      <c r="BU37" s="2" t="s">
        <v>857</v>
      </c>
      <c r="BV37" s="2" t="s">
        <v>858</v>
      </c>
      <c r="BW37" s="38" t="s">
        <v>2088</v>
      </c>
      <c r="BX37" s="8"/>
      <c r="BY37" s="2" t="s">
        <v>1161</v>
      </c>
      <c r="BZ37" s="38" t="s">
        <v>2088</v>
      </c>
      <c r="CA37" s="2" t="s">
        <v>859</v>
      </c>
      <c r="CB37" s="38" t="s">
        <v>2189</v>
      </c>
      <c r="CC37" s="2" t="s">
        <v>105</v>
      </c>
      <c r="CD37" s="2" t="s">
        <v>105</v>
      </c>
      <c r="CE37" s="2" t="s">
        <v>860</v>
      </c>
      <c r="CF37" s="2" t="s">
        <v>860</v>
      </c>
      <c r="CG37" s="8"/>
      <c r="CH37" s="2" t="s">
        <v>233</v>
      </c>
      <c r="CI37" s="2" t="s">
        <v>233</v>
      </c>
      <c r="CJ37" s="2" t="s">
        <v>233</v>
      </c>
      <c r="CK37" s="2" t="s">
        <v>107</v>
      </c>
      <c r="CL37" s="2" t="s">
        <v>233</v>
      </c>
      <c r="CM37" s="8"/>
      <c r="CN37" s="2" t="s">
        <v>233</v>
      </c>
      <c r="CO37" s="2" t="s">
        <v>233</v>
      </c>
      <c r="CP37" s="2" t="s">
        <v>233</v>
      </c>
      <c r="CQ37" s="8"/>
      <c r="CR37" s="2" t="s">
        <v>74</v>
      </c>
      <c r="CS37" s="8"/>
      <c r="CU37" s="8"/>
      <c r="CV37" s="8"/>
      <c r="CW37" s="8"/>
      <c r="CX37" s="8"/>
      <c r="CY37" s="8"/>
      <c r="CZ37" s="8"/>
      <c r="DA37" s="8"/>
      <c r="DB37" s="8"/>
      <c r="DC37" s="8"/>
      <c r="DD37" s="8"/>
      <c r="DE37" s="8"/>
      <c r="DF37" s="8"/>
      <c r="DG37" s="8"/>
      <c r="DH37" s="8"/>
      <c r="DI37" s="8"/>
      <c r="DJ37" s="8"/>
      <c r="DK37" s="8"/>
      <c r="DL37" s="8"/>
      <c r="DM37" s="8"/>
      <c r="DN37" s="8"/>
    </row>
    <row r="38" spans="1:118" ht="15.75" customHeight="1">
      <c r="A38" s="8">
        <v>51</v>
      </c>
      <c r="B38" s="8"/>
      <c r="C38" s="9" t="s">
        <v>69</v>
      </c>
      <c r="D38" s="2" t="s">
        <v>70</v>
      </c>
      <c r="E38" s="9">
        <v>43698.487818692127</v>
      </c>
      <c r="F38" s="2" t="s">
        <v>1165</v>
      </c>
      <c r="G38" s="2" t="s">
        <v>1166</v>
      </c>
      <c r="H38" s="2" t="s">
        <v>1167</v>
      </c>
      <c r="I38" s="2" t="s">
        <v>83</v>
      </c>
      <c r="J38" s="10" t="s">
        <v>1168</v>
      </c>
      <c r="K38" s="2" t="s">
        <v>1170</v>
      </c>
      <c r="L38" s="2" t="s">
        <v>1171</v>
      </c>
      <c r="M38" s="2" t="s">
        <v>152</v>
      </c>
      <c r="N38" s="2" t="s">
        <v>152</v>
      </c>
      <c r="O38" s="2" t="s">
        <v>693</v>
      </c>
      <c r="P38" s="2" t="s">
        <v>1172</v>
      </c>
      <c r="Q38" s="2" t="s">
        <v>1174</v>
      </c>
      <c r="R38" s="2" t="s">
        <v>118</v>
      </c>
      <c r="S38" s="2" t="s">
        <v>118</v>
      </c>
      <c r="T38" s="2">
        <v>2019</v>
      </c>
      <c r="U38" s="2" t="s">
        <v>82</v>
      </c>
      <c r="V38" s="2" t="s">
        <v>74</v>
      </c>
      <c r="W38" s="2" t="s">
        <v>74</v>
      </c>
      <c r="X38" s="2" t="s">
        <v>282</v>
      </c>
      <c r="Y38" s="2" t="s">
        <v>282</v>
      </c>
      <c r="Z38" s="2" t="s">
        <v>1177</v>
      </c>
      <c r="AA38" s="38" t="s">
        <v>2124</v>
      </c>
      <c r="AB38" s="2" t="s">
        <v>120</v>
      </c>
      <c r="AC38" s="2" t="s">
        <v>120</v>
      </c>
      <c r="AD38" s="2" t="s">
        <v>95</v>
      </c>
      <c r="AE38" s="2" t="s">
        <v>1178</v>
      </c>
      <c r="AF38" s="2" t="s">
        <v>1178</v>
      </c>
      <c r="AG38" s="38" t="s">
        <v>1179</v>
      </c>
      <c r="AH38" s="38" t="s">
        <v>2143</v>
      </c>
      <c r="AI38" s="2" t="s">
        <v>85</v>
      </c>
      <c r="AJ38" s="2" t="s">
        <v>85</v>
      </c>
      <c r="AK38" s="2" t="s">
        <v>74</v>
      </c>
      <c r="AL38" s="2" t="s">
        <v>74</v>
      </c>
      <c r="AM38" s="2" t="s">
        <v>1180</v>
      </c>
      <c r="AN38" s="2" t="s">
        <v>303</v>
      </c>
      <c r="AO38" s="2" t="s">
        <v>126</v>
      </c>
      <c r="AP38" s="2" t="s">
        <v>126</v>
      </c>
      <c r="AQ38" s="2" t="s">
        <v>1181</v>
      </c>
      <c r="AR38" s="2" t="s">
        <v>1181</v>
      </c>
      <c r="AS38" s="2" t="s">
        <v>162</v>
      </c>
      <c r="AT38" s="2" t="s">
        <v>162</v>
      </c>
      <c r="AU38" s="2" t="s">
        <v>284</v>
      </c>
      <c r="AV38" s="2" t="s">
        <v>284</v>
      </c>
      <c r="AW38" s="2" t="s">
        <v>163</v>
      </c>
      <c r="AX38" s="2" t="s">
        <v>163</v>
      </c>
      <c r="AY38" s="2" t="s">
        <v>74</v>
      </c>
      <c r="AZ38" s="2" t="s">
        <v>74</v>
      </c>
      <c r="BA38" s="2" t="s">
        <v>1182</v>
      </c>
      <c r="BB38" s="38" t="s">
        <v>96</v>
      </c>
      <c r="BC38" s="2" t="s">
        <v>74</v>
      </c>
      <c r="BD38" s="2" t="s">
        <v>95</v>
      </c>
      <c r="BE38" s="2" t="s">
        <v>74</v>
      </c>
      <c r="BF38" s="2" t="s">
        <v>74</v>
      </c>
      <c r="BG38" s="2" t="s">
        <v>74</v>
      </c>
      <c r="BH38" s="2" t="s">
        <v>358</v>
      </c>
      <c r="BI38" s="2" t="s">
        <v>358</v>
      </c>
      <c r="BJ38" s="2" t="s">
        <v>1183</v>
      </c>
      <c r="BK38" s="2" t="s">
        <v>2166</v>
      </c>
      <c r="BL38" s="2" t="s">
        <v>1184</v>
      </c>
      <c r="BM38" s="2" t="s">
        <v>725</v>
      </c>
      <c r="BN38" s="2" t="s">
        <v>1185</v>
      </c>
      <c r="BO38" s="39" t="s">
        <v>74</v>
      </c>
      <c r="BP38" s="39"/>
      <c r="BQ38" s="2" t="s">
        <v>74</v>
      </c>
      <c r="BR38" s="2" t="s">
        <v>107</v>
      </c>
      <c r="BS38" s="2" t="s">
        <v>107</v>
      </c>
      <c r="BT38" s="2" t="s">
        <v>107</v>
      </c>
      <c r="BU38" s="2" t="s">
        <v>107</v>
      </c>
      <c r="BV38" s="10" t="s">
        <v>1187</v>
      </c>
      <c r="BW38" s="41" t="s">
        <v>74</v>
      </c>
      <c r="BX38" s="8"/>
      <c r="BY38" s="2" t="s">
        <v>103</v>
      </c>
      <c r="BZ38" s="2" t="s">
        <v>103</v>
      </c>
      <c r="CA38" s="2" t="s">
        <v>522</v>
      </c>
      <c r="CB38" s="2" t="s">
        <v>522</v>
      </c>
      <c r="CC38" s="2" t="s">
        <v>288</v>
      </c>
      <c r="CD38" s="2" t="s">
        <v>288</v>
      </c>
      <c r="CE38" s="2" t="s">
        <v>1190</v>
      </c>
      <c r="CF38" s="2" t="s">
        <v>1190</v>
      </c>
      <c r="CG38" s="2" t="s">
        <v>1191</v>
      </c>
      <c r="CH38" s="2" t="s">
        <v>107</v>
      </c>
      <c r="CI38" s="2" t="s">
        <v>108</v>
      </c>
      <c r="CJ38" s="2" t="s">
        <v>108</v>
      </c>
      <c r="CK38" s="2" t="s">
        <v>233</v>
      </c>
      <c r="CL38" s="2" t="s">
        <v>107</v>
      </c>
      <c r="CM38" s="8"/>
      <c r="CN38" s="2" t="s">
        <v>1192</v>
      </c>
      <c r="CO38" s="2" t="s">
        <v>1192</v>
      </c>
      <c r="CP38" s="2" t="s">
        <v>272</v>
      </c>
      <c r="CQ38" s="8"/>
      <c r="CR38" s="2" t="s">
        <v>74</v>
      </c>
      <c r="CS38" s="8"/>
      <c r="CT38" s="21"/>
      <c r="CU38" s="8"/>
      <c r="CV38" s="8"/>
      <c r="CW38" s="8"/>
      <c r="CX38" s="8"/>
      <c r="CY38" s="8"/>
      <c r="CZ38" s="8"/>
      <c r="DA38" s="8"/>
      <c r="DB38" s="8"/>
      <c r="DC38" s="8"/>
      <c r="DD38" s="8"/>
      <c r="DE38" s="8"/>
      <c r="DF38" s="8"/>
      <c r="DG38" s="8"/>
      <c r="DH38" s="8"/>
      <c r="DI38" s="8"/>
      <c r="DJ38" s="8"/>
      <c r="DK38" s="8"/>
      <c r="DL38" s="8"/>
      <c r="DM38" s="8"/>
      <c r="DN38" s="8"/>
    </row>
    <row r="39" spans="1:118" ht="15.75" customHeight="1">
      <c r="A39" s="8">
        <v>53</v>
      </c>
      <c r="B39" s="8"/>
      <c r="C39" s="9" t="s">
        <v>69</v>
      </c>
      <c r="D39" s="2" t="s">
        <v>246</v>
      </c>
      <c r="E39" s="9">
        <v>43698.814660358796</v>
      </c>
      <c r="F39" s="2" t="s">
        <v>1196</v>
      </c>
      <c r="G39" s="2" t="s">
        <v>1197</v>
      </c>
      <c r="H39" s="2" t="s">
        <v>1198</v>
      </c>
      <c r="I39" s="2" t="s">
        <v>74</v>
      </c>
      <c r="J39" s="10" t="s">
        <v>1199</v>
      </c>
      <c r="K39" s="2" t="s">
        <v>1196</v>
      </c>
      <c r="L39" s="2" t="s">
        <v>1203</v>
      </c>
      <c r="M39" s="2" t="s">
        <v>152</v>
      </c>
      <c r="N39" s="2" t="s">
        <v>152</v>
      </c>
      <c r="O39" s="2" t="s">
        <v>685</v>
      </c>
      <c r="P39" s="2" t="s">
        <v>915</v>
      </c>
      <c r="Q39" s="2" t="s">
        <v>1205</v>
      </c>
      <c r="R39" s="2" t="s">
        <v>81</v>
      </c>
      <c r="S39" s="2" t="s">
        <v>81</v>
      </c>
      <c r="T39" s="2">
        <v>2012</v>
      </c>
      <c r="U39" s="2">
        <v>2016</v>
      </c>
      <c r="V39" s="2" t="s">
        <v>83</v>
      </c>
      <c r="W39" s="2" t="s">
        <v>83</v>
      </c>
      <c r="X39" s="2" t="s">
        <v>383</v>
      </c>
      <c r="Y39" s="2"/>
      <c r="Z39" s="2" t="s">
        <v>84</v>
      </c>
      <c r="AA39" s="2" t="s">
        <v>84</v>
      </c>
      <c r="AB39" s="2" t="s">
        <v>258</v>
      </c>
      <c r="AC39" s="2" t="s">
        <v>258</v>
      </c>
      <c r="AD39" s="2" t="s">
        <v>74</v>
      </c>
      <c r="AE39" s="2" t="s">
        <v>224</v>
      </c>
      <c r="AF39" s="2" t="s">
        <v>224</v>
      </c>
      <c r="AG39" s="2" t="s">
        <v>190</v>
      </c>
      <c r="AH39" s="2" t="s">
        <v>190</v>
      </c>
      <c r="AI39" s="2" t="s">
        <v>456</v>
      </c>
      <c r="AJ39" s="2" t="s">
        <v>456</v>
      </c>
      <c r="AK39" s="2" t="s">
        <v>74</v>
      </c>
      <c r="AL39" s="2" t="s">
        <v>74</v>
      </c>
      <c r="AM39" s="2" t="s">
        <v>1206</v>
      </c>
      <c r="AN39" s="2" t="s">
        <v>205</v>
      </c>
      <c r="AO39" s="2" t="s">
        <v>90</v>
      </c>
      <c r="AP39" s="2" t="s">
        <v>90</v>
      </c>
      <c r="AQ39" s="2" t="s">
        <v>409</v>
      </c>
      <c r="AR39" s="2" t="s">
        <v>409</v>
      </c>
      <c r="AS39" s="2" t="s">
        <v>92</v>
      </c>
      <c r="AT39" s="2" t="s">
        <v>92</v>
      </c>
      <c r="AU39" s="2" t="s">
        <v>93</v>
      </c>
      <c r="AV39" s="2" t="s">
        <v>93</v>
      </c>
      <c r="AW39" s="2" t="s">
        <v>163</v>
      </c>
      <c r="AX39" s="2" t="s">
        <v>163</v>
      </c>
      <c r="AY39" s="2" t="s">
        <v>74</v>
      </c>
      <c r="AZ39" s="2" t="s">
        <v>74</v>
      </c>
      <c r="BA39" s="2" t="s">
        <v>284</v>
      </c>
      <c r="BB39" s="2" t="s">
        <v>284</v>
      </c>
      <c r="BC39" s="2" t="s">
        <v>74</v>
      </c>
      <c r="BD39" s="2" t="s">
        <v>95</v>
      </c>
      <c r="BE39" s="2" t="s">
        <v>83</v>
      </c>
      <c r="BF39" s="2" t="s">
        <v>83</v>
      </c>
      <c r="BG39" s="2" t="s">
        <v>74</v>
      </c>
      <c r="BH39" s="2" t="s">
        <v>97</v>
      </c>
      <c r="BI39" s="2" t="s">
        <v>97</v>
      </c>
      <c r="BJ39" s="2" t="s">
        <v>233</v>
      </c>
      <c r="BK39" s="2" t="s">
        <v>233</v>
      </c>
      <c r="BL39" s="2" t="s">
        <v>393</v>
      </c>
      <c r="BM39" s="2" t="s">
        <v>393</v>
      </c>
      <c r="BN39" s="2" t="s">
        <v>631</v>
      </c>
      <c r="BO39" s="2" t="s">
        <v>83</v>
      </c>
      <c r="BP39" s="2" t="s">
        <v>2201</v>
      </c>
      <c r="BQ39" s="2" t="s">
        <v>83</v>
      </c>
      <c r="BR39" s="2" t="s">
        <v>101</v>
      </c>
      <c r="BS39" s="2" t="s">
        <v>101</v>
      </c>
      <c r="BT39" s="2" t="s">
        <v>107</v>
      </c>
      <c r="BU39" s="2" t="s">
        <v>107</v>
      </c>
      <c r="BV39" s="2" t="s">
        <v>83</v>
      </c>
      <c r="BW39" s="2" t="s">
        <v>83</v>
      </c>
      <c r="BX39" s="8"/>
      <c r="BY39" s="2" t="s">
        <v>233</v>
      </c>
      <c r="BZ39" s="2" t="s">
        <v>233</v>
      </c>
      <c r="CA39" s="2" t="s">
        <v>167</v>
      </c>
      <c r="CB39" s="2" t="s">
        <v>167</v>
      </c>
      <c r="CC39" s="2" t="s">
        <v>313</v>
      </c>
      <c r="CD39" s="2" t="s">
        <v>313</v>
      </c>
      <c r="CE39" s="2" t="s">
        <v>136</v>
      </c>
      <c r="CF39" s="2" t="s">
        <v>136</v>
      </c>
      <c r="CG39" s="2" t="s">
        <v>1208</v>
      </c>
      <c r="CH39" s="2" t="s">
        <v>233</v>
      </c>
      <c r="CI39" s="2" t="s">
        <v>139</v>
      </c>
      <c r="CJ39" s="2" t="s">
        <v>234</v>
      </c>
      <c r="CK39" s="2" t="s">
        <v>233</v>
      </c>
      <c r="CL39" s="2" t="s">
        <v>141</v>
      </c>
      <c r="CM39" s="8"/>
      <c r="CN39" s="2" t="s">
        <v>213</v>
      </c>
      <c r="CO39" s="2" t="s">
        <v>213</v>
      </c>
      <c r="CP39" s="2" t="s">
        <v>282</v>
      </c>
      <c r="CQ39" s="8"/>
      <c r="CR39" s="2" t="s">
        <v>74</v>
      </c>
      <c r="CS39" s="2" t="s">
        <v>284</v>
      </c>
      <c r="CU39" s="8"/>
      <c r="CV39" s="8"/>
      <c r="CW39" s="8"/>
      <c r="CX39" s="8"/>
      <c r="CY39" s="8"/>
      <c r="CZ39" s="8"/>
      <c r="DA39" s="8"/>
      <c r="DB39" s="8"/>
      <c r="DC39" s="8"/>
      <c r="DD39" s="8"/>
      <c r="DE39" s="8"/>
      <c r="DF39" s="8"/>
      <c r="DG39" s="8"/>
      <c r="DH39" s="8"/>
      <c r="DI39" s="8"/>
      <c r="DJ39" s="8"/>
      <c r="DK39" s="8"/>
      <c r="DL39" s="8"/>
      <c r="DM39" s="8"/>
      <c r="DN39" s="8"/>
    </row>
    <row r="40" spans="1:118" ht="15.75" customHeight="1">
      <c r="A40" s="8">
        <v>54</v>
      </c>
      <c r="B40" s="8"/>
      <c r="C40" s="9" t="s">
        <v>69</v>
      </c>
      <c r="D40" s="2" t="s">
        <v>70</v>
      </c>
      <c r="E40" s="9">
        <v>43700.545847824076</v>
      </c>
      <c r="F40" s="2" t="s">
        <v>1210</v>
      </c>
      <c r="G40" s="2" t="s">
        <v>1211</v>
      </c>
      <c r="H40" s="2" t="s">
        <v>1212</v>
      </c>
      <c r="I40" s="2" t="s">
        <v>74</v>
      </c>
      <c r="J40" s="10" t="s">
        <v>1213</v>
      </c>
      <c r="K40" s="2" t="s">
        <v>1214</v>
      </c>
      <c r="L40" s="2" t="s">
        <v>1215</v>
      </c>
      <c r="M40" s="2" t="s">
        <v>77</v>
      </c>
      <c r="N40" s="2" t="s">
        <v>77</v>
      </c>
      <c r="O40" s="2" t="s">
        <v>539</v>
      </c>
      <c r="P40" s="2" t="s">
        <v>1216</v>
      </c>
      <c r="Q40" s="2" t="s">
        <v>1217</v>
      </c>
      <c r="R40" s="2" t="s">
        <v>418</v>
      </c>
      <c r="S40" s="2" t="s">
        <v>418</v>
      </c>
      <c r="T40" s="2">
        <v>2018</v>
      </c>
      <c r="U40" s="2" t="s">
        <v>82</v>
      </c>
      <c r="V40" s="2" t="s">
        <v>83</v>
      </c>
      <c r="W40" s="2" t="s">
        <v>74</v>
      </c>
      <c r="X40" s="2" t="s">
        <v>1218</v>
      </c>
      <c r="Y40" s="38" t="s">
        <v>119</v>
      </c>
      <c r="Z40" s="2" t="s">
        <v>1219</v>
      </c>
      <c r="AA40" s="38" t="s">
        <v>2119</v>
      </c>
      <c r="AB40" s="2" t="s">
        <v>258</v>
      </c>
      <c r="AC40" s="2" t="s">
        <v>258</v>
      </c>
      <c r="AD40" s="2" t="s">
        <v>74</v>
      </c>
      <c r="AE40" s="2" t="s">
        <v>1220</v>
      </c>
      <c r="AF40" s="2" t="s">
        <v>1220</v>
      </c>
      <c r="AG40" s="2" t="s">
        <v>1221</v>
      </c>
      <c r="AH40" s="2" t="s">
        <v>1221</v>
      </c>
      <c r="AI40" s="2" t="s">
        <v>1222</v>
      </c>
      <c r="AJ40" s="38" t="s">
        <v>2147</v>
      </c>
      <c r="AK40" s="2" t="s">
        <v>74</v>
      </c>
      <c r="AL40" s="2" t="s">
        <v>74</v>
      </c>
      <c r="AM40" s="2" t="s">
        <v>1224</v>
      </c>
      <c r="AN40" s="2" t="s">
        <v>303</v>
      </c>
      <c r="AO40" s="2" t="s">
        <v>1225</v>
      </c>
      <c r="AP40" s="2" t="s">
        <v>90</v>
      </c>
      <c r="AQ40" s="2" t="s">
        <v>1227</v>
      </c>
      <c r="AR40" s="2" t="s">
        <v>1227</v>
      </c>
      <c r="AS40" s="2" t="s">
        <v>305</v>
      </c>
      <c r="AT40" s="2" t="s">
        <v>305</v>
      </c>
      <c r="AU40" s="2" t="s">
        <v>93</v>
      </c>
      <c r="AV40" s="2" t="s">
        <v>93</v>
      </c>
      <c r="AW40" s="2" t="s">
        <v>1228</v>
      </c>
      <c r="AX40" s="2" t="s">
        <v>1733</v>
      </c>
      <c r="AY40" s="2" t="s">
        <v>74</v>
      </c>
      <c r="AZ40" s="2" t="s">
        <v>74</v>
      </c>
      <c r="BA40" s="2" t="s">
        <v>1230</v>
      </c>
      <c r="BB40" s="2" t="s">
        <v>2164</v>
      </c>
      <c r="BC40" s="2" t="s">
        <v>74</v>
      </c>
      <c r="BD40" s="2" t="s">
        <v>74</v>
      </c>
      <c r="BE40" s="2" t="s">
        <v>74</v>
      </c>
      <c r="BF40" s="2" t="s">
        <v>74</v>
      </c>
      <c r="BG40" s="2" t="s">
        <v>74</v>
      </c>
      <c r="BH40" s="2" t="s">
        <v>358</v>
      </c>
      <c r="BI40" s="2" t="s">
        <v>358</v>
      </c>
      <c r="BJ40" s="2" t="s">
        <v>130</v>
      </c>
      <c r="BK40" s="2" t="s">
        <v>130</v>
      </c>
      <c r="BL40" s="2" t="s">
        <v>1233</v>
      </c>
      <c r="BM40" s="2" t="s">
        <v>2173</v>
      </c>
      <c r="BN40" s="2" t="s">
        <v>1234</v>
      </c>
      <c r="BO40" s="39" t="s">
        <v>74</v>
      </c>
      <c r="BP40" s="39"/>
      <c r="BQ40" s="2" t="s">
        <v>74</v>
      </c>
      <c r="BR40" s="2" t="s">
        <v>101</v>
      </c>
      <c r="BS40" s="2" t="s">
        <v>101</v>
      </c>
      <c r="BT40" s="2" t="s">
        <v>102</v>
      </c>
      <c r="BU40" s="2" t="s">
        <v>102</v>
      </c>
      <c r="BV40" s="2" t="s">
        <v>1235</v>
      </c>
      <c r="BW40" s="2" t="s">
        <v>83</v>
      </c>
      <c r="BX40" s="8"/>
      <c r="BY40" s="2" t="s">
        <v>1237</v>
      </c>
      <c r="BZ40" s="2" t="s">
        <v>1237</v>
      </c>
      <c r="CA40" s="2" t="s">
        <v>268</v>
      </c>
      <c r="CB40" s="2" t="s">
        <v>268</v>
      </c>
      <c r="CC40" s="2" t="s">
        <v>339</v>
      </c>
      <c r="CD40" s="2" t="s">
        <v>339</v>
      </c>
      <c r="CE40" s="2" t="s">
        <v>168</v>
      </c>
      <c r="CF40" s="2" t="s">
        <v>168</v>
      </c>
      <c r="CG40" s="2" t="s">
        <v>1238</v>
      </c>
      <c r="CH40" s="2" t="s">
        <v>233</v>
      </c>
      <c r="CI40" s="2" t="s">
        <v>140</v>
      </c>
      <c r="CJ40" s="2" t="s">
        <v>139</v>
      </c>
      <c r="CK40" s="2" t="s">
        <v>107</v>
      </c>
      <c r="CL40" s="2">
        <v>0</v>
      </c>
      <c r="CM40" s="8"/>
      <c r="CN40" s="2" t="s">
        <v>1239</v>
      </c>
      <c r="CO40" s="2" t="s">
        <v>2346</v>
      </c>
      <c r="CP40" s="2" t="s">
        <v>233</v>
      </c>
      <c r="CQ40" s="8"/>
      <c r="CR40" s="2" t="s">
        <v>74</v>
      </c>
      <c r="CS40" s="2" t="s">
        <v>1240</v>
      </c>
      <c r="CU40" s="8"/>
      <c r="CV40" s="8"/>
      <c r="CW40" s="8"/>
      <c r="CX40" s="8"/>
      <c r="CY40" s="8"/>
      <c r="CZ40" s="8"/>
      <c r="DA40" s="8"/>
      <c r="DB40" s="8"/>
      <c r="DC40" s="8"/>
      <c r="DD40" s="8"/>
      <c r="DE40" s="8"/>
      <c r="DF40" s="8"/>
      <c r="DG40" s="8"/>
      <c r="DH40" s="8"/>
      <c r="DI40" s="8"/>
      <c r="DJ40" s="8"/>
      <c r="DK40" s="8"/>
      <c r="DL40" s="8"/>
      <c r="DM40" s="8"/>
      <c r="DN40" s="8"/>
    </row>
    <row r="41" spans="1:118" ht="15.75" customHeight="1">
      <c r="A41" s="8">
        <v>56</v>
      </c>
      <c r="B41" s="8"/>
      <c r="C41" s="9" t="s">
        <v>69</v>
      </c>
      <c r="D41" s="2" t="s">
        <v>70</v>
      </c>
      <c r="E41" s="9">
        <v>43707.960566365742</v>
      </c>
      <c r="F41" s="2" t="s">
        <v>1244</v>
      </c>
      <c r="G41" s="2" t="s">
        <v>1245</v>
      </c>
      <c r="H41" s="2" t="s">
        <v>1246</v>
      </c>
      <c r="I41" s="2" t="s">
        <v>74</v>
      </c>
      <c r="J41" s="10" t="s">
        <v>1247</v>
      </c>
      <c r="K41" s="2" t="s">
        <v>1244</v>
      </c>
      <c r="L41" s="2" t="s">
        <v>1250</v>
      </c>
      <c r="M41" s="2" t="s">
        <v>152</v>
      </c>
      <c r="N41" s="2" t="s">
        <v>152</v>
      </c>
      <c r="O41" s="2" t="s">
        <v>680</v>
      </c>
      <c r="P41" s="2" t="s">
        <v>608</v>
      </c>
      <c r="Q41" s="2" t="s">
        <v>1251</v>
      </c>
      <c r="R41" s="2" t="s">
        <v>1252</v>
      </c>
      <c r="S41" s="2" t="s">
        <v>1252</v>
      </c>
      <c r="T41" s="2">
        <v>2019</v>
      </c>
      <c r="U41" s="2" t="s">
        <v>82</v>
      </c>
      <c r="V41" s="2" t="s">
        <v>95</v>
      </c>
      <c r="W41" s="2" t="s">
        <v>95</v>
      </c>
      <c r="X41" s="2" t="s">
        <v>724</v>
      </c>
      <c r="Y41" s="38" t="s">
        <v>738</v>
      </c>
      <c r="Z41" s="2" t="s">
        <v>1253</v>
      </c>
      <c r="AA41" s="2" t="s">
        <v>2127</v>
      </c>
      <c r="AB41" s="2" t="s">
        <v>120</v>
      </c>
      <c r="AC41" s="2" t="s">
        <v>120</v>
      </c>
      <c r="AD41" s="2" t="s">
        <v>74</v>
      </c>
      <c r="AE41" s="2" t="s">
        <v>1255</v>
      </c>
      <c r="AF41" s="2" t="s">
        <v>1255</v>
      </c>
      <c r="AG41" s="38" t="s">
        <v>1256</v>
      </c>
      <c r="AH41" s="38" t="s">
        <v>2143</v>
      </c>
      <c r="AI41" s="2" t="s">
        <v>499</v>
      </c>
      <c r="AJ41" s="2" t="s">
        <v>499</v>
      </c>
      <c r="AK41" s="2" t="s">
        <v>74</v>
      </c>
      <c r="AL41" s="2" t="s">
        <v>74</v>
      </c>
      <c r="AM41" s="2" t="s">
        <v>1257</v>
      </c>
      <c r="AN41" s="2" t="s">
        <v>125</v>
      </c>
      <c r="AO41" s="2" t="s">
        <v>126</v>
      </c>
      <c r="AP41" s="2" t="s">
        <v>126</v>
      </c>
      <c r="AQ41" s="2" t="s">
        <v>409</v>
      </c>
      <c r="AR41" s="2" t="s">
        <v>409</v>
      </c>
      <c r="AS41" s="2" t="s">
        <v>128</v>
      </c>
      <c r="AT41" s="2" t="s">
        <v>128</v>
      </c>
      <c r="AU41" s="2" t="s">
        <v>93</v>
      </c>
      <c r="AV41" s="2" t="s">
        <v>93</v>
      </c>
      <c r="AW41" s="2" t="s">
        <v>94</v>
      </c>
      <c r="AX41" s="2" t="s">
        <v>94</v>
      </c>
      <c r="AY41" s="2" t="s">
        <v>83</v>
      </c>
      <c r="AZ41" s="2" t="s">
        <v>74</v>
      </c>
      <c r="BA41" s="2" t="s">
        <v>284</v>
      </c>
      <c r="BB41" s="2" t="s">
        <v>284</v>
      </c>
      <c r="BC41" s="2" t="s">
        <v>74</v>
      </c>
      <c r="BD41" s="2" t="s">
        <v>74</v>
      </c>
      <c r="BE41" s="2" t="s">
        <v>74</v>
      </c>
      <c r="BF41" s="2" t="s">
        <v>74</v>
      </c>
      <c r="BG41" s="2" t="s">
        <v>74</v>
      </c>
      <c r="BH41" s="2" t="s">
        <v>1258</v>
      </c>
      <c r="BI41" s="2" t="s">
        <v>97</v>
      </c>
      <c r="BJ41" s="2" t="s">
        <v>1259</v>
      </c>
      <c r="BK41" s="2" t="s">
        <v>1259</v>
      </c>
      <c r="BL41" s="2" t="s">
        <v>725</v>
      </c>
      <c r="BM41" s="2" t="s">
        <v>725</v>
      </c>
      <c r="BN41" s="2" t="s">
        <v>1260</v>
      </c>
      <c r="BO41" s="2" t="s">
        <v>74</v>
      </c>
      <c r="BP41" s="2" t="s">
        <v>2210</v>
      </c>
      <c r="BQ41" s="2" t="s">
        <v>74</v>
      </c>
      <c r="BR41" s="2" t="s">
        <v>107</v>
      </c>
      <c r="BS41" s="2" t="s">
        <v>107</v>
      </c>
      <c r="BT41" s="2" t="s">
        <v>107</v>
      </c>
      <c r="BU41" s="2" t="s">
        <v>107</v>
      </c>
      <c r="BV41" s="2" t="s">
        <v>107</v>
      </c>
      <c r="BW41" s="2" t="s">
        <v>107</v>
      </c>
      <c r="BX41" s="8"/>
      <c r="BY41" s="2" t="s">
        <v>107</v>
      </c>
      <c r="BZ41" s="2" t="s">
        <v>107</v>
      </c>
      <c r="CA41" s="2" t="s">
        <v>761</v>
      </c>
      <c r="CB41" s="2" t="s">
        <v>761</v>
      </c>
      <c r="CC41" s="2" t="s">
        <v>1261</v>
      </c>
      <c r="CD41" s="38" t="s">
        <v>2188</v>
      </c>
      <c r="CE41" s="2" t="s">
        <v>1262</v>
      </c>
      <c r="CF41" s="38" t="s">
        <v>2188</v>
      </c>
      <c r="CG41" s="2" t="s">
        <v>1263</v>
      </c>
      <c r="CH41" s="2" t="s">
        <v>233</v>
      </c>
      <c r="CI41" s="2" t="s">
        <v>171</v>
      </c>
      <c r="CJ41" s="2" t="s">
        <v>171</v>
      </c>
      <c r="CK41" s="2" t="s">
        <v>83</v>
      </c>
      <c r="CL41" s="2">
        <v>0</v>
      </c>
      <c r="CM41" s="10" t="s">
        <v>1264</v>
      </c>
      <c r="CN41" s="2" t="s">
        <v>213</v>
      </c>
      <c r="CO41" s="2" t="s">
        <v>213</v>
      </c>
      <c r="CP41" s="2" t="s">
        <v>551</v>
      </c>
      <c r="CQ41" s="8"/>
      <c r="CR41" s="2" t="s">
        <v>74</v>
      </c>
      <c r="CS41" s="2" t="s">
        <v>1267</v>
      </c>
      <c r="CT41" s="8"/>
      <c r="CU41" s="8"/>
      <c r="CV41" s="8"/>
      <c r="CW41" s="8"/>
      <c r="CX41" s="8"/>
      <c r="CY41" s="8"/>
      <c r="CZ41" s="8"/>
      <c r="DA41" s="8"/>
      <c r="DB41" s="8"/>
      <c r="DC41" s="8"/>
      <c r="DD41" s="8"/>
      <c r="DE41" s="8"/>
      <c r="DF41" s="8"/>
      <c r="DG41" s="8"/>
      <c r="DH41" s="8"/>
      <c r="DI41" s="8"/>
      <c r="DJ41" s="8"/>
      <c r="DK41" s="8"/>
      <c r="DL41" s="8"/>
      <c r="DM41" s="8"/>
      <c r="DN41" s="8"/>
    </row>
    <row r="42" spans="1:118" ht="15.75" customHeight="1">
      <c r="A42" s="8">
        <v>57</v>
      </c>
      <c r="B42" s="8"/>
      <c r="C42" s="9" t="s">
        <v>69</v>
      </c>
      <c r="D42" s="2" t="s">
        <v>70</v>
      </c>
      <c r="E42" s="9">
        <v>43714.424132025466</v>
      </c>
      <c r="F42" s="2" t="s">
        <v>1271</v>
      </c>
      <c r="G42" s="2" t="s">
        <v>1272</v>
      </c>
      <c r="H42" s="2" t="s">
        <v>1273</v>
      </c>
      <c r="I42" s="2" t="s">
        <v>74</v>
      </c>
      <c r="J42" s="10" t="s">
        <v>1274</v>
      </c>
      <c r="K42" s="2" t="s">
        <v>1277</v>
      </c>
      <c r="L42" s="2" t="s">
        <v>1278</v>
      </c>
      <c r="M42" s="2" t="s">
        <v>152</v>
      </c>
      <c r="N42" s="2" t="s">
        <v>152</v>
      </c>
      <c r="O42" s="2" t="s">
        <v>539</v>
      </c>
      <c r="P42" s="2" t="s">
        <v>1280</v>
      </c>
      <c r="Q42" s="2" t="s">
        <v>1281</v>
      </c>
      <c r="R42" s="2" t="s">
        <v>118</v>
      </c>
      <c r="S42" s="2" t="s">
        <v>118</v>
      </c>
      <c r="T42" s="2">
        <v>2012</v>
      </c>
      <c r="U42" s="2" t="s">
        <v>82</v>
      </c>
      <c r="V42" s="2" t="s">
        <v>74</v>
      </c>
      <c r="W42" s="2" t="s">
        <v>74</v>
      </c>
      <c r="X42" s="2" t="s">
        <v>119</v>
      </c>
      <c r="Y42" s="2" t="s">
        <v>119</v>
      </c>
      <c r="Z42" s="2" t="s">
        <v>257</v>
      </c>
      <c r="AA42" s="2" t="s">
        <v>257</v>
      </c>
      <c r="AB42" s="2" t="s">
        <v>85</v>
      </c>
      <c r="AC42" s="2" t="s">
        <v>85</v>
      </c>
      <c r="AD42" s="2" t="s">
        <v>74</v>
      </c>
      <c r="AE42" s="2" t="s">
        <v>386</v>
      </c>
      <c r="AF42" s="2" t="s">
        <v>386</v>
      </c>
      <c r="AG42" s="2" t="s">
        <v>676</v>
      </c>
      <c r="AH42" s="2" t="s">
        <v>676</v>
      </c>
      <c r="AI42" s="2" t="s">
        <v>85</v>
      </c>
      <c r="AJ42" s="2" t="s">
        <v>85</v>
      </c>
      <c r="AK42" s="2" t="s">
        <v>74</v>
      </c>
      <c r="AL42" s="2" t="s">
        <v>74</v>
      </c>
      <c r="AM42" s="2" t="s">
        <v>1283</v>
      </c>
      <c r="AN42" s="2" t="s">
        <v>89</v>
      </c>
      <c r="AO42" s="2" t="s">
        <v>126</v>
      </c>
      <c r="AP42" s="2" t="s">
        <v>126</v>
      </c>
      <c r="AQ42" s="2" t="s">
        <v>409</v>
      </c>
      <c r="AR42" s="2" t="s">
        <v>409</v>
      </c>
      <c r="AS42" s="2" t="s">
        <v>92</v>
      </c>
      <c r="AT42" s="2" t="s">
        <v>92</v>
      </c>
      <c r="AU42" s="2" t="s">
        <v>1286</v>
      </c>
      <c r="AV42" s="2" t="s">
        <v>284</v>
      </c>
      <c r="AW42" s="2" t="s">
        <v>1287</v>
      </c>
      <c r="AX42" s="2" t="s">
        <v>1733</v>
      </c>
      <c r="AY42" s="2" t="s">
        <v>74</v>
      </c>
      <c r="AZ42" s="2" t="s">
        <v>74</v>
      </c>
      <c r="BA42" s="2" t="s">
        <v>1288</v>
      </c>
      <c r="BB42" s="2" t="s">
        <v>738</v>
      </c>
      <c r="BC42" s="2" t="s">
        <v>74</v>
      </c>
      <c r="BD42" s="2" t="s">
        <v>74</v>
      </c>
      <c r="BE42" s="2" t="s">
        <v>83</v>
      </c>
      <c r="BF42" s="2" t="s">
        <v>74</v>
      </c>
      <c r="BG42" s="2" t="s">
        <v>74</v>
      </c>
      <c r="BH42" s="2" t="s">
        <v>412</v>
      </c>
      <c r="BI42" s="2" t="s">
        <v>412</v>
      </c>
      <c r="BJ42" s="2" t="s">
        <v>130</v>
      </c>
      <c r="BK42" s="2" t="s">
        <v>130</v>
      </c>
      <c r="BL42" s="2" t="s">
        <v>229</v>
      </c>
      <c r="BM42" s="2" t="s">
        <v>229</v>
      </c>
      <c r="BN42" s="2" t="s">
        <v>336</v>
      </c>
      <c r="BO42" s="39" t="s">
        <v>74</v>
      </c>
      <c r="BP42" s="39"/>
      <c r="BQ42" s="2" t="s">
        <v>74</v>
      </c>
      <c r="BR42" s="2" t="s">
        <v>1290</v>
      </c>
      <c r="BS42" s="2" t="s">
        <v>980</v>
      </c>
      <c r="BT42" s="2" t="s">
        <v>102</v>
      </c>
      <c r="BU42" s="2" t="s">
        <v>102</v>
      </c>
      <c r="BV42" s="2" t="s">
        <v>83</v>
      </c>
      <c r="BW42" s="2" t="s">
        <v>83</v>
      </c>
      <c r="BX42" s="8"/>
      <c r="BY42" s="2" t="s">
        <v>1292</v>
      </c>
      <c r="BZ42" s="38" t="s">
        <v>2090</v>
      </c>
      <c r="CA42" s="2" t="s">
        <v>167</v>
      </c>
      <c r="CB42" s="2" t="s">
        <v>167</v>
      </c>
      <c r="CC42" s="2" t="s">
        <v>1293</v>
      </c>
      <c r="CD42" s="38" t="s">
        <v>339</v>
      </c>
      <c r="CE42" s="2" t="s">
        <v>1294</v>
      </c>
      <c r="CF42" s="38" t="s">
        <v>2193</v>
      </c>
      <c r="CG42" s="8"/>
      <c r="CH42" s="2" t="s">
        <v>233</v>
      </c>
      <c r="CI42" s="2" t="s">
        <v>315</v>
      </c>
      <c r="CJ42" s="2" t="s">
        <v>789</v>
      </c>
      <c r="CK42" s="2" t="s">
        <v>83</v>
      </c>
      <c r="CL42" s="2" t="s">
        <v>270</v>
      </c>
      <c r="CM42" s="10" t="s">
        <v>1295</v>
      </c>
      <c r="CN42" s="2" t="s">
        <v>143</v>
      </c>
      <c r="CO42" s="2" t="s">
        <v>1239</v>
      </c>
      <c r="CP42" s="2" t="s">
        <v>984</v>
      </c>
      <c r="CQ42" s="8"/>
      <c r="CR42" s="2" t="s">
        <v>74</v>
      </c>
      <c r="CS42" s="8"/>
      <c r="CU42" s="8"/>
      <c r="CV42" s="8"/>
      <c r="CW42" s="8"/>
      <c r="CX42" s="8"/>
      <c r="CY42" s="8"/>
      <c r="CZ42" s="8"/>
      <c r="DA42" s="8"/>
      <c r="DB42" s="8"/>
      <c r="DC42" s="8"/>
      <c r="DD42" s="8"/>
      <c r="DE42" s="8"/>
      <c r="DF42" s="8"/>
      <c r="DG42" s="8"/>
      <c r="DH42" s="8"/>
      <c r="DI42" s="8"/>
      <c r="DJ42" s="8"/>
      <c r="DK42" s="8"/>
      <c r="DL42" s="8"/>
      <c r="DM42" s="8"/>
      <c r="DN42" s="8"/>
    </row>
    <row r="43" spans="1:118" ht="15.75" customHeight="1">
      <c r="A43" s="8">
        <v>58</v>
      </c>
      <c r="B43" s="117"/>
      <c r="C43" s="121" t="s">
        <v>69</v>
      </c>
      <c r="D43" s="2" t="s">
        <v>436</v>
      </c>
      <c r="E43" s="9">
        <v>43718.347036793981</v>
      </c>
      <c r="F43" s="2" t="s">
        <v>1299</v>
      </c>
      <c r="G43" s="2" t="s">
        <v>1300</v>
      </c>
      <c r="H43" s="2" t="s">
        <v>1301</v>
      </c>
      <c r="I43" s="2" t="s">
        <v>74</v>
      </c>
      <c r="J43" s="10" t="s">
        <v>1302</v>
      </c>
      <c r="K43" s="2" t="s">
        <v>1303</v>
      </c>
      <c r="L43" s="2" t="s">
        <v>1304</v>
      </c>
      <c r="M43" s="2" t="s">
        <v>152</v>
      </c>
      <c r="N43" s="2" t="s">
        <v>152</v>
      </c>
      <c r="O43" s="2" t="s">
        <v>699</v>
      </c>
      <c r="P43" s="2" t="s">
        <v>1305</v>
      </c>
      <c r="Q43" s="2" t="s">
        <v>1306</v>
      </c>
      <c r="R43" s="2" t="s">
        <v>298</v>
      </c>
      <c r="S43" s="2" t="s">
        <v>298</v>
      </c>
      <c r="T43" s="2">
        <v>2016</v>
      </c>
      <c r="U43" s="2" t="s">
        <v>82</v>
      </c>
      <c r="V43" s="2" t="s">
        <v>95</v>
      </c>
      <c r="W43" s="2" t="s">
        <v>95</v>
      </c>
      <c r="X43" s="2" t="s">
        <v>1308</v>
      </c>
      <c r="Y43" s="38" t="s">
        <v>282</v>
      </c>
      <c r="Z43" s="2" t="s">
        <v>1309</v>
      </c>
      <c r="AA43" s="38" t="s">
        <v>2127</v>
      </c>
      <c r="AB43" s="38" t="s">
        <v>1310</v>
      </c>
      <c r="AC43" s="38" t="s">
        <v>2131</v>
      </c>
      <c r="AD43" s="2" t="s">
        <v>74</v>
      </c>
      <c r="AE43" s="2" t="s">
        <v>1311</v>
      </c>
      <c r="AF43" s="2" t="s">
        <v>1311</v>
      </c>
      <c r="AG43" s="2" t="s">
        <v>260</v>
      </c>
      <c r="AH43" s="2" t="s">
        <v>260</v>
      </c>
      <c r="AI43" s="2" t="s">
        <v>261</v>
      </c>
      <c r="AJ43" s="2" t="s">
        <v>261</v>
      </c>
      <c r="AK43" s="2" t="s">
        <v>74</v>
      </c>
      <c r="AL43" s="2" t="s">
        <v>74</v>
      </c>
      <c r="AM43" s="2" t="s">
        <v>1313</v>
      </c>
      <c r="AN43" s="2" t="s">
        <v>89</v>
      </c>
      <c r="AO43" s="2" t="s">
        <v>126</v>
      </c>
      <c r="AP43" s="2" t="s">
        <v>126</v>
      </c>
      <c r="AQ43" s="2" t="s">
        <v>566</v>
      </c>
      <c r="AR43" s="2" t="s">
        <v>566</v>
      </c>
      <c r="AS43" s="2" t="s">
        <v>305</v>
      </c>
      <c r="AT43" s="2" t="s">
        <v>305</v>
      </c>
      <c r="AU43" s="2" t="s">
        <v>284</v>
      </c>
      <c r="AV43" s="2" t="s">
        <v>284</v>
      </c>
      <c r="AW43" s="2" t="s">
        <v>94</v>
      </c>
      <c r="AX43" s="2" t="s">
        <v>94</v>
      </c>
      <c r="AY43" s="2" t="s">
        <v>74</v>
      </c>
      <c r="AZ43" s="2" t="s">
        <v>74</v>
      </c>
      <c r="BA43" s="2" t="s">
        <v>96</v>
      </c>
      <c r="BB43" s="2" t="s">
        <v>96</v>
      </c>
      <c r="BC43" s="2" t="s">
        <v>74</v>
      </c>
      <c r="BD43" s="2" t="s">
        <v>95</v>
      </c>
      <c r="BE43" s="2" t="s">
        <v>74</v>
      </c>
      <c r="BF43" s="2" t="s">
        <v>74</v>
      </c>
      <c r="BG43" s="2" t="s">
        <v>74</v>
      </c>
      <c r="BH43" s="2" t="s">
        <v>97</v>
      </c>
      <c r="BI43" s="2" t="s">
        <v>97</v>
      </c>
      <c r="BJ43" s="2" t="s">
        <v>130</v>
      </c>
      <c r="BK43" s="2" t="s">
        <v>130</v>
      </c>
      <c r="BL43" s="2" t="s">
        <v>229</v>
      </c>
      <c r="BM43" s="2" t="s">
        <v>229</v>
      </c>
      <c r="BN43" s="2" t="s">
        <v>1317</v>
      </c>
      <c r="BO43" s="39" t="s">
        <v>74</v>
      </c>
      <c r="BP43" s="39"/>
      <c r="BQ43" s="2" t="s">
        <v>74</v>
      </c>
      <c r="BR43" s="2" t="s">
        <v>1318</v>
      </c>
      <c r="BS43" s="2" t="s">
        <v>980</v>
      </c>
      <c r="BT43" s="2" t="s">
        <v>107</v>
      </c>
      <c r="BU43" s="2" t="s">
        <v>107</v>
      </c>
      <c r="BV43" s="2" t="s">
        <v>83</v>
      </c>
      <c r="BW43" s="2" t="s">
        <v>83</v>
      </c>
      <c r="BX43" s="8"/>
      <c r="BY43" s="2" t="s">
        <v>103</v>
      </c>
      <c r="BZ43" s="2" t="s">
        <v>103</v>
      </c>
      <c r="CA43" s="2" t="s">
        <v>167</v>
      </c>
      <c r="CB43" s="2" t="s">
        <v>167</v>
      </c>
      <c r="CC43" s="2" t="s">
        <v>105</v>
      </c>
      <c r="CD43" s="2" t="s">
        <v>105</v>
      </c>
      <c r="CE43" s="2" t="s">
        <v>895</v>
      </c>
      <c r="CF43" s="2" t="s">
        <v>895</v>
      </c>
      <c r="CG43" s="2" t="s">
        <v>1319</v>
      </c>
      <c r="CH43" s="2" t="s">
        <v>212</v>
      </c>
      <c r="CI43" s="2" t="s">
        <v>139</v>
      </c>
      <c r="CJ43" s="2" t="s">
        <v>235</v>
      </c>
      <c r="CK43" s="2" t="s">
        <v>83</v>
      </c>
      <c r="CL43" s="2" t="s">
        <v>270</v>
      </c>
      <c r="CM43" s="8"/>
      <c r="CN43" s="2" t="s">
        <v>143</v>
      </c>
      <c r="CO43" s="2" t="s">
        <v>143</v>
      </c>
      <c r="CP43" s="2" t="s">
        <v>587</v>
      </c>
      <c r="CQ43" s="8"/>
      <c r="CR43" s="2" t="s">
        <v>74</v>
      </c>
      <c r="CS43" s="8"/>
      <c r="CU43" s="8"/>
      <c r="CV43" s="8"/>
      <c r="CW43" s="8"/>
      <c r="CX43" s="8"/>
      <c r="CY43" s="8"/>
      <c r="CZ43" s="8"/>
      <c r="DA43" s="8"/>
      <c r="DB43" s="8"/>
      <c r="DC43" s="8"/>
      <c r="DD43" s="8"/>
      <c r="DE43" s="8"/>
      <c r="DF43" s="8"/>
      <c r="DG43" s="8"/>
      <c r="DH43" s="8"/>
      <c r="DI43" s="8"/>
      <c r="DJ43" s="8"/>
      <c r="DK43" s="8"/>
      <c r="DL43" s="8"/>
      <c r="DM43" s="8"/>
      <c r="DN43" s="8"/>
    </row>
    <row r="44" spans="1:118" ht="15.75" customHeight="1">
      <c r="A44" s="8">
        <v>59</v>
      </c>
      <c r="B44" s="8"/>
      <c r="C44" s="9" t="s">
        <v>69</v>
      </c>
      <c r="D44" s="2" t="s">
        <v>70</v>
      </c>
      <c r="E44" s="9">
        <v>43728.49072616898</v>
      </c>
      <c r="F44" s="2" t="s">
        <v>1214</v>
      </c>
      <c r="G44" s="2" t="s">
        <v>1324</v>
      </c>
      <c r="H44" s="2" t="s">
        <v>1325</v>
      </c>
      <c r="I44" s="2" t="s">
        <v>83</v>
      </c>
      <c r="J44" s="10" t="s">
        <v>1326</v>
      </c>
      <c r="K44" s="2" t="s">
        <v>1329</v>
      </c>
      <c r="L44" s="2" t="s">
        <v>1330</v>
      </c>
      <c r="M44" s="2" t="s">
        <v>328</v>
      </c>
      <c r="N44" s="2" t="s">
        <v>328</v>
      </c>
      <c r="O44" s="2" t="s">
        <v>1331</v>
      </c>
      <c r="P44" s="2" t="s">
        <v>1332</v>
      </c>
      <c r="Q44" s="2" t="s">
        <v>1333</v>
      </c>
      <c r="R44" s="2" t="s">
        <v>418</v>
      </c>
      <c r="S44" s="2" t="s">
        <v>418</v>
      </c>
      <c r="T44" s="2">
        <v>2013</v>
      </c>
      <c r="U44" s="2">
        <v>2019</v>
      </c>
      <c r="V44" s="2" t="s">
        <v>74</v>
      </c>
      <c r="W44" s="2" t="s">
        <v>74</v>
      </c>
      <c r="X44" s="2" t="s">
        <v>256</v>
      </c>
      <c r="Y44" s="2" t="s">
        <v>256</v>
      </c>
      <c r="Z44" s="2" t="s">
        <v>84</v>
      </c>
      <c r="AA44" s="2" t="s">
        <v>84</v>
      </c>
      <c r="AB44" s="38" t="s">
        <v>1334</v>
      </c>
      <c r="AC44" s="38" t="s">
        <v>2216</v>
      </c>
      <c r="AD44" s="2" t="s">
        <v>74</v>
      </c>
      <c r="AE44" s="2" t="s">
        <v>1335</v>
      </c>
      <c r="AF44" s="38" t="s">
        <v>2134</v>
      </c>
      <c r="AG44" s="2" t="s">
        <v>190</v>
      </c>
      <c r="AH44" s="2" t="s">
        <v>190</v>
      </c>
      <c r="AI44" s="2" t="s">
        <v>85</v>
      </c>
      <c r="AJ44" s="2" t="s">
        <v>85</v>
      </c>
      <c r="AK44" s="2" t="s">
        <v>74</v>
      </c>
      <c r="AL44" s="2" t="s">
        <v>74</v>
      </c>
      <c r="AM44" s="2" t="s">
        <v>1336</v>
      </c>
      <c r="AN44" s="2" t="s">
        <v>89</v>
      </c>
      <c r="AO44" s="2" t="s">
        <v>90</v>
      </c>
      <c r="AP44" s="2" t="s">
        <v>90</v>
      </c>
      <c r="AQ44" s="2" t="s">
        <v>1337</v>
      </c>
      <c r="AR44" s="2" t="s">
        <v>1337</v>
      </c>
      <c r="AS44" s="2" t="s">
        <v>92</v>
      </c>
      <c r="AT44" s="2" t="s">
        <v>92</v>
      </c>
      <c r="AU44" s="2" t="s">
        <v>93</v>
      </c>
      <c r="AV44" s="2" t="s">
        <v>93</v>
      </c>
      <c r="AW44" s="2" t="s">
        <v>94</v>
      </c>
      <c r="AX44" s="2" t="s">
        <v>94</v>
      </c>
      <c r="AY44" s="2" t="s">
        <v>74</v>
      </c>
      <c r="AZ44" s="2" t="s">
        <v>83</v>
      </c>
      <c r="BA44" s="2" t="s">
        <v>284</v>
      </c>
      <c r="BB44" s="2" t="s">
        <v>284</v>
      </c>
      <c r="BC44" s="2" t="s">
        <v>74</v>
      </c>
      <c r="BD44" s="2" t="s">
        <v>95</v>
      </c>
      <c r="BE44" s="2" t="s">
        <v>74</v>
      </c>
      <c r="BF44" s="2" t="s">
        <v>83</v>
      </c>
      <c r="BG44" s="2" t="s">
        <v>74</v>
      </c>
      <c r="BH44" s="2" t="s">
        <v>1340</v>
      </c>
      <c r="BI44" s="2" t="s">
        <v>1340</v>
      </c>
      <c r="BJ44" s="2" t="s">
        <v>1341</v>
      </c>
      <c r="BK44" s="2" t="s">
        <v>2165</v>
      </c>
      <c r="BL44" s="2" t="s">
        <v>308</v>
      </c>
      <c r="BM44" s="2" t="s">
        <v>308</v>
      </c>
      <c r="BN44" s="2" t="s">
        <v>365</v>
      </c>
      <c r="BO44" s="39" t="s">
        <v>74</v>
      </c>
      <c r="BP44" s="39" t="s">
        <v>2220</v>
      </c>
      <c r="BQ44" s="2" t="s">
        <v>74</v>
      </c>
      <c r="BR44" s="2" t="s">
        <v>101</v>
      </c>
      <c r="BS44" s="2" t="s">
        <v>101</v>
      </c>
      <c r="BT44" s="2" t="s">
        <v>1342</v>
      </c>
      <c r="BU44" s="2" t="s">
        <v>2351</v>
      </c>
      <c r="BV44" s="2" t="s">
        <v>83</v>
      </c>
      <c r="BW44" s="2" t="s">
        <v>83</v>
      </c>
      <c r="BX44" s="8"/>
      <c r="BY44" s="2" t="s">
        <v>107</v>
      </c>
      <c r="BZ44" s="2" t="s">
        <v>107</v>
      </c>
      <c r="CA44" s="2" t="s">
        <v>761</v>
      </c>
      <c r="CB44" s="2" t="s">
        <v>761</v>
      </c>
      <c r="CC44" s="2" t="s">
        <v>288</v>
      </c>
      <c r="CD44" s="2" t="s">
        <v>288</v>
      </c>
      <c r="CE44" s="2" t="s">
        <v>469</v>
      </c>
      <c r="CF44" s="2" t="s">
        <v>469</v>
      </c>
      <c r="CG44" s="8"/>
      <c r="CH44" s="2" t="s">
        <v>107</v>
      </c>
      <c r="CI44" s="120" t="s">
        <v>108</v>
      </c>
      <c r="CJ44" s="120" t="s">
        <v>341</v>
      </c>
      <c r="CK44" s="2" t="s">
        <v>83</v>
      </c>
      <c r="CL44" s="2" t="s">
        <v>141</v>
      </c>
      <c r="CM44" s="10" t="s">
        <v>1345</v>
      </c>
      <c r="CN44" s="2" t="s">
        <v>143</v>
      </c>
      <c r="CO44" s="2" t="s">
        <v>143</v>
      </c>
      <c r="CP44" s="2" t="s">
        <v>282</v>
      </c>
      <c r="CQ44" s="8"/>
      <c r="CR44" s="2" t="s">
        <v>74</v>
      </c>
      <c r="CS44" s="2" t="s">
        <v>1348</v>
      </c>
      <c r="CT44" s="21"/>
      <c r="CU44" s="8"/>
      <c r="CV44" s="8"/>
      <c r="CW44" s="8"/>
      <c r="CX44" s="8"/>
      <c r="CY44" s="8"/>
      <c r="CZ44" s="8"/>
      <c r="DA44" s="8"/>
      <c r="DB44" s="8"/>
      <c r="DC44" s="8"/>
      <c r="DD44" s="8"/>
      <c r="DE44" s="8"/>
      <c r="DF44" s="8"/>
      <c r="DG44" s="8"/>
      <c r="DH44" s="8"/>
      <c r="DI44" s="8"/>
      <c r="DJ44" s="8"/>
      <c r="DK44" s="8"/>
      <c r="DL44" s="8"/>
      <c r="DM44" s="8"/>
      <c r="DN44" s="8"/>
    </row>
    <row r="45" spans="1:118" ht="15.75" customHeight="1">
      <c r="A45" s="8">
        <v>60</v>
      </c>
      <c r="B45" s="8"/>
      <c r="C45" s="9" t="s">
        <v>69</v>
      </c>
      <c r="D45" s="2" t="s">
        <v>70</v>
      </c>
      <c r="E45" s="9">
        <v>43728.505625266203</v>
      </c>
      <c r="F45" s="2" t="s">
        <v>1214</v>
      </c>
      <c r="G45" s="2" t="s">
        <v>1324</v>
      </c>
      <c r="H45" s="2" t="s">
        <v>1352</v>
      </c>
      <c r="I45" s="2" t="s">
        <v>74</v>
      </c>
      <c r="J45" s="10" t="s">
        <v>1353</v>
      </c>
      <c r="K45" s="2" t="s">
        <v>1214</v>
      </c>
      <c r="L45" s="2" t="s">
        <v>1355</v>
      </c>
      <c r="M45" s="2" t="s">
        <v>1356</v>
      </c>
      <c r="N45" s="2" t="s">
        <v>328</v>
      </c>
      <c r="O45" s="2" t="s">
        <v>1357</v>
      </c>
      <c r="P45" s="2" t="s">
        <v>1358</v>
      </c>
      <c r="Q45" s="2" t="s">
        <v>1359</v>
      </c>
      <c r="R45" s="2" t="s">
        <v>1360</v>
      </c>
      <c r="S45" s="37" t="s">
        <v>2116</v>
      </c>
      <c r="T45" s="2">
        <v>2017</v>
      </c>
      <c r="U45" s="2" t="s">
        <v>82</v>
      </c>
      <c r="V45" s="2" t="s">
        <v>83</v>
      </c>
      <c r="W45" s="2" t="s">
        <v>83</v>
      </c>
      <c r="X45" s="8"/>
      <c r="Y45" s="8"/>
      <c r="Z45" s="2" t="s">
        <v>84</v>
      </c>
      <c r="AA45" s="2" t="s">
        <v>84</v>
      </c>
      <c r="AB45" s="2" t="s">
        <v>85</v>
      </c>
      <c r="AC45" s="2" t="s">
        <v>85</v>
      </c>
      <c r="AD45" s="2" t="s">
        <v>74</v>
      </c>
      <c r="AE45" s="2" t="s">
        <v>1361</v>
      </c>
      <c r="AF45" s="2" t="s">
        <v>1361</v>
      </c>
      <c r="AG45" s="2" t="s">
        <v>190</v>
      </c>
      <c r="AH45" s="2" t="s">
        <v>190</v>
      </c>
      <c r="AI45" s="2" t="s">
        <v>123</v>
      </c>
      <c r="AJ45" s="2" t="s">
        <v>123</v>
      </c>
      <c r="AK45" s="2" t="s">
        <v>74</v>
      </c>
      <c r="AL45" s="2" t="s">
        <v>74</v>
      </c>
      <c r="AM45" s="8"/>
      <c r="AN45" s="2" t="s">
        <v>303</v>
      </c>
      <c r="AO45" s="2" t="s">
        <v>1362</v>
      </c>
      <c r="AP45" s="2" t="s">
        <v>126</v>
      </c>
      <c r="AQ45" s="2" t="s">
        <v>999</v>
      </c>
      <c r="AR45" s="2" t="s">
        <v>999</v>
      </c>
      <c r="AS45" s="2" t="s">
        <v>284</v>
      </c>
      <c r="AT45" s="2" t="s">
        <v>284</v>
      </c>
      <c r="AU45" s="2" t="s">
        <v>284</v>
      </c>
      <c r="AV45" s="2" t="s">
        <v>284</v>
      </c>
      <c r="AW45" s="2" t="s">
        <v>94</v>
      </c>
      <c r="AX45" s="2" t="s">
        <v>94</v>
      </c>
      <c r="AY45" s="2" t="s">
        <v>95</v>
      </c>
      <c r="AZ45" s="2" t="s">
        <v>83</v>
      </c>
      <c r="BA45" s="2" t="s">
        <v>284</v>
      </c>
      <c r="BB45" s="2" t="s">
        <v>284</v>
      </c>
      <c r="BC45" s="2" t="s">
        <v>74</v>
      </c>
      <c r="BD45" s="2" t="s">
        <v>83</v>
      </c>
      <c r="BE45" s="2" t="s">
        <v>83</v>
      </c>
      <c r="BF45" s="2" t="s">
        <v>233</v>
      </c>
      <c r="BG45" s="2" t="s">
        <v>74</v>
      </c>
      <c r="BH45" s="2" t="s">
        <v>1363</v>
      </c>
      <c r="BI45" s="2" t="s">
        <v>1363</v>
      </c>
      <c r="BJ45" s="2" t="s">
        <v>130</v>
      </c>
      <c r="BK45" s="2" t="s">
        <v>130</v>
      </c>
      <c r="BL45" s="2" t="s">
        <v>229</v>
      </c>
      <c r="BM45" s="2" t="s">
        <v>229</v>
      </c>
      <c r="BN45" s="2" t="s">
        <v>100</v>
      </c>
      <c r="BO45" s="39" t="s">
        <v>74</v>
      </c>
      <c r="BP45" s="39"/>
      <c r="BQ45" s="2" t="s">
        <v>74</v>
      </c>
      <c r="BR45" s="2" t="s">
        <v>1365</v>
      </c>
      <c r="BS45" s="38" t="s">
        <v>101</v>
      </c>
      <c r="BT45" s="2" t="s">
        <v>102</v>
      </c>
      <c r="BU45" s="2" t="s">
        <v>102</v>
      </c>
      <c r="BV45" s="2" t="s">
        <v>83</v>
      </c>
      <c r="BW45" s="2" t="s">
        <v>83</v>
      </c>
      <c r="BX45" s="8"/>
      <c r="BY45" s="2" t="s">
        <v>1366</v>
      </c>
      <c r="BZ45" s="38" t="s">
        <v>2090</v>
      </c>
      <c r="CA45" s="2" t="s">
        <v>167</v>
      </c>
      <c r="CB45" s="2" t="s">
        <v>167</v>
      </c>
      <c r="CC45" s="2" t="s">
        <v>168</v>
      </c>
      <c r="CD45" s="2" t="s">
        <v>168</v>
      </c>
      <c r="CE45" s="2" t="s">
        <v>168</v>
      </c>
      <c r="CF45" s="2" t="s">
        <v>168</v>
      </c>
      <c r="CG45" s="8"/>
      <c r="CH45" s="2" t="s">
        <v>107</v>
      </c>
      <c r="CI45" s="2" t="s">
        <v>108</v>
      </c>
      <c r="CJ45" s="2" t="s">
        <v>235</v>
      </c>
      <c r="CK45" s="2" t="s">
        <v>83</v>
      </c>
      <c r="CL45" s="2" t="s">
        <v>107</v>
      </c>
      <c r="CM45" s="8"/>
      <c r="CN45" s="2" t="s">
        <v>107</v>
      </c>
      <c r="CO45" s="2" t="s">
        <v>107</v>
      </c>
      <c r="CP45" s="2" t="s">
        <v>107</v>
      </c>
      <c r="CQ45" s="8"/>
      <c r="CR45" s="2" t="s">
        <v>74</v>
      </c>
      <c r="CS45" s="2" t="s">
        <v>1367</v>
      </c>
      <c r="CU45" s="8"/>
      <c r="CV45" s="8"/>
      <c r="CW45" s="8"/>
      <c r="CX45" s="8"/>
      <c r="CY45" s="8"/>
      <c r="CZ45" s="8"/>
      <c r="DA45" s="8"/>
      <c r="DB45" s="8"/>
      <c r="DC45" s="8"/>
      <c r="DD45" s="8"/>
      <c r="DE45" s="8"/>
      <c r="DF45" s="8"/>
      <c r="DG45" s="8"/>
      <c r="DH45" s="8"/>
      <c r="DI45" s="8"/>
      <c r="DJ45" s="8"/>
      <c r="DK45" s="8"/>
      <c r="DL45" s="8"/>
      <c r="DM45" s="8"/>
      <c r="DN45" s="8"/>
    </row>
    <row r="46" spans="1:118" ht="15.75" customHeight="1">
      <c r="A46" s="8">
        <v>61</v>
      </c>
      <c r="B46" s="8"/>
      <c r="C46" s="9" t="s">
        <v>69</v>
      </c>
      <c r="D46" s="2" t="s">
        <v>70</v>
      </c>
      <c r="E46" s="9">
        <v>43732.375559490742</v>
      </c>
      <c r="F46" s="2" t="s">
        <v>1368</v>
      </c>
      <c r="G46" s="2" t="s">
        <v>1369</v>
      </c>
      <c r="H46" s="2" t="s">
        <v>1370</v>
      </c>
      <c r="I46" s="2" t="s">
        <v>74</v>
      </c>
      <c r="J46" s="10" t="s">
        <v>1371</v>
      </c>
      <c r="K46" s="2" t="s">
        <v>1368</v>
      </c>
      <c r="L46" s="2" t="s">
        <v>1372</v>
      </c>
      <c r="M46" s="2" t="s">
        <v>152</v>
      </c>
      <c r="N46" s="2" t="s">
        <v>152</v>
      </c>
      <c r="O46" s="2" t="s">
        <v>607</v>
      </c>
      <c r="P46" s="2" t="s">
        <v>1373</v>
      </c>
      <c r="Q46" s="2" t="s">
        <v>1374</v>
      </c>
      <c r="R46" s="2" t="s">
        <v>1375</v>
      </c>
      <c r="S46" s="2" t="s">
        <v>1375</v>
      </c>
      <c r="T46" s="2">
        <v>2018</v>
      </c>
      <c r="U46" s="2" t="s">
        <v>82</v>
      </c>
      <c r="V46" s="2" t="s">
        <v>95</v>
      </c>
      <c r="W46" s="2" t="s">
        <v>95</v>
      </c>
      <c r="X46" s="2" t="s">
        <v>119</v>
      </c>
      <c r="Y46" s="2" t="s">
        <v>119</v>
      </c>
      <c r="Z46" s="2" t="s">
        <v>84</v>
      </c>
      <c r="AA46" s="2" t="s">
        <v>84</v>
      </c>
      <c r="AB46" s="2" t="s">
        <v>1376</v>
      </c>
      <c r="AC46" s="2" t="s">
        <v>1376</v>
      </c>
      <c r="AD46" s="2" t="s">
        <v>95</v>
      </c>
      <c r="AE46" s="2" t="s">
        <v>1377</v>
      </c>
      <c r="AF46" s="2" t="s">
        <v>1377</v>
      </c>
      <c r="AG46" s="2" t="s">
        <v>190</v>
      </c>
      <c r="AH46" s="2" t="s">
        <v>190</v>
      </c>
      <c r="AI46" s="2" t="s">
        <v>499</v>
      </c>
      <c r="AJ46" s="2" t="s">
        <v>499</v>
      </c>
      <c r="AK46" s="2" t="s">
        <v>107</v>
      </c>
      <c r="AL46" s="2" t="s">
        <v>107</v>
      </c>
      <c r="AM46" s="8"/>
      <c r="AN46" s="2" t="s">
        <v>125</v>
      </c>
      <c r="AO46" s="2" t="s">
        <v>90</v>
      </c>
      <c r="AP46" s="2" t="s">
        <v>90</v>
      </c>
      <c r="AQ46" s="2" t="s">
        <v>547</v>
      </c>
      <c r="AR46" s="2" t="s">
        <v>547</v>
      </c>
      <c r="AS46" s="2" t="s">
        <v>92</v>
      </c>
      <c r="AT46" s="2" t="s">
        <v>92</v>
      </c>
      <c r="AU46" s="2" t="s">
        <v>93</v>
      </c>
      <c r="AV46" s="2" t="s">
        <v>93</v>
      </c>
      <c r="AW46" s="2" t="s">
        <v>163</v>
      </c>
      <c r="AX46" s="2" t="s">
        <v>163</v>
      </c>
      <c r="AY46" s="2" t="s">
        <v>74</v>
      </c>
      <c r="AZ46" s="2" t="s">
        <v>74</v>
      </c>
      <c r="BA46" s="2" t="s">
        <v>265</v>
      </c>
      <c r="BB46" s="2" t="s">
        <v>265</v>
      </c>
      <c r="BC46" s="2" t="s">
        <v>208</v>
      </c>
      <c r="BD46" s="2" t="s">
        <v>83</v>
      </c>
      <c r="BE46" s="2" t="s">
        <v>74</v>
      </c>
      <c r="BF46" s="2" t="s">
        <v>74</v>
      </c>
      <c r="BG46" s="2" t="s">
        <v>95</v>
      </c>
      <c r="BH46" s="2" t="s">
        <v>97</v>
      </c>
      <c r="BI46" s="2" t="s">
        <v>97</v>
      </c>
      <c r="BJ46" s="2" t="s">
        <v>130</v>
      </c>
      <c r="BK46" s="2" t="s">
        <v>130</v>
      </c>
      <c r="BL46" s="2" t="s">
        <v>1378</v>
      </c>
      <c r="BM46" s="2" t="s">
        <v>1378</v>
      </c>
      <c r="BN46" s="2" t="s">
        <v>233</v>
      </c>
      <c r="BO46" s="39" t="s">
        <v>2195</v>
      </c>
      <c r="BP46" s="39"/>
      <c r="BQ46" s="2" t="s">
        <v>83</v>
      </c>
      <c r="BR46" s="2" t="s">
        <v>107</v>
      </c>
      <c r="BS46" s="2" t="s">
        <v>107</v>
      </c>
      <c r="BT46" s="2" t="s">
        <v>107</v>
      </c>
      <c r="BU46" s="2" t="s">
        <v>107</v>
      </c>
      <c r="BV46" s="2" t="s">
        <v>107</v>
      </c>
      <c r="BW46" s="2" t="s">
        <v>107</v>
      </c>
      <c r="BX46" s="8"/>
      <c r="BY46" s="2" t="s">
        <v>233</v>
      </c>
      <c r="BZ46" s="2" t="s">
        <v>233</v>
      </c>
      <c r="CA46" s="2" t="s">
        <v>761</v>
      </c>
      <c r="CB46" s="2" t="s">
        <v>761</v>
      </c>
      <c r="CC46" s="2" t="s">
        <v>107</v>
      </c>
      <c r="CD46" s="2" t="s">
        <v>107</v>
      </c>
      <c r="CE46" s="2" t="s">
        <v>233</v>
      </c>
      <c r="CF46" s="2" t="s">
        <v>233</v>
      </c>
      <c r="CG46" s="8"/>
      <c r="CH46" s="2" t="s">
        <v>233</v>
      </c>
      <c r="CI46" s="2" t="s">
        <v>171</v>
      </c>
      <c r="CJ46" s="2" t="s">
        <v>172</v>
      </c>
      <c r="CK46" s="2" t="s">
        <v>74</v>
      </c>
      <c r="CL46" s="2">
        <v>0</v>
      </c>
      <c r="CM46" s="8"/>
      <c r="CN46" s="2" t="s">
        <v>624</v>
      </c>
      <c r="CO46" s="2" t="s">
        <v>233</v>
      </c>
      <c r="CP46" s="2" t="s">
        <v>233</v>
      </c>
      <c r="CQ46" s="8"/>
      <c r="CR46" s="2" t="s">
        <v>83</v>
      </c>
      <c r="CS46" s="8"/>
      <c r="CU46" s="8"/>
      <c r="CV46" s="8"/>
      <c r="CW46" s="8"/>
      <c r="CX46" s="8"/>
      <c r="CY46" s="8"/>
      <c r="CZ46" s="8"/>
      <c r="DA46" s="8"/>
      <c r="DB46" s="8"/>
      <c r="DC46" s="8"/>
      <c r="DD46" s="8"/>
      <c r="DE46" s="8"/>
      <c r="DF46" s="8"/>
      <c r="DG46" s="8"/>
      <c r="DH46" s="8"/>
      <c r="DI46" s="8"/>
      <c r="DJ46" s="8"/>
      <c r="DK46" s="8"/>
      <c r="DL46" s="8"/>
      <c r="DM46" s="8"/>
      <c r="DN46" s="8"/>
    </row>
    <row r="47" spans="1:118" ht="15.75" customHeight="1">
      <c r="A47" s="8">
        <v>62</v>
      </c>
      <c r="B47" s="117"/>
      <c r="C47" s="9" t="s">
        <v>69</v>
      </c>
      <c r="D47" s="2" t="s">
        <v>246</v>
      </c>
      <c r="E47" s="9">
        <v>43732.39330575231</v>
      </c>
      <c r="F47" s="2" t="s">
        <v>1379</v>
      </c>
      <c r="G47" s="2" t="s">
        <v>1369</v>
      </c>
      <c r="H47" s="2" t="s">
        <v>1380</v>
      </c>
      <c r="I47" s="2" t="s">
        <v>74</v>
      </c>
      <c r="J47" s="10" t="s">
        <v>1381</v>
      </c>
      <c r="K47" s="2" t="s">
        <v>1369</v>
      </c>
      <c r="L47" s="2" t="s">
        <v>1382</v>
      </c>
      <c r="M47" s="2" t="s">
        <v>152</v>
      </c>
      <c r="N47" s="2" t="s">
        <v>152</v>
      </c>
      <c r="O47" s="2" t="s">
        <v>607</v>
      </c>
      <c r="P47" s="2" t="s">
        <v>1383</v>
      </c>
      <c r="Q47" s="2" t="s">
        <v>1384</v>
      </c>
      <c r="R47" s="2" t="s">
        <v>418</v>
      </c>
      <c r="S47" s="2" t="s">
        <v>418</v>
      </c>
      <c r="T47" s="2">
        <v>2019</v>
      </c>
      <c r="U47" s="2" t="s">
        <v>82</v>
      </c>
      <c r="V47" s="2" t="s">
        <v>95</v>
      </c>
      <c r="W47" s="2" t="s">
        <v>95</v>
      </c>
      <c r="X47" s="2" t="s">
        <v>256</v>
      </c>
      <c r="Y47" s="2" t="s">
        <v>256</v>
      </c>
      <c r="Z47" s="2" t="s">
        <v>84</v>
      </c>
      <c r="AA47" s="2" t="s">
        <v>84</v>
      </c>
      <c r="AB47" s="2" t="s">
        <v>258</v>
      </c>
      <c r="AC47" s="2" t="s">
        <v>258</v>
      </c>
      <c r="AD47" s="2" t="s">
        <v>74</v>
      </c>
      <c r="AE47" s="2" t="s">
        <v>1385</v>
      </c>
      <c r="AF47" s="2" t="s">
        <v>1385</v>
      </c>
      <c r="AG47" s="2" t="s">
        <v>241</v>
      </c>
      <c r="AH47" s="2" t="s">
        <v>241</v>
      </c>
      <c r="AI47" s="2" t="s">
        <v>499</v>
      </c>
      <c r="AJ47" s="2" t="s">
        <v>499</v>
      </c>
      <c r="AK47" s="38" t="s">
        <v>1387</v>
      </c>
      <c r="AL47" s="38" t="s">
        <v>83</v>
      </c>
      <c r="AM47" s="8"/>
      <c r="AN47" s="2" t="s">
        <v>518</v>
      </c>
      <c r="AO47" s="2" t="s">
        <v>90</v>
      </c>
      <c r="AP47" s="2" t="s">
        <v>90</v>
      </c>
      <c r="AQ47" s="2" t="s">
        <v>409</v>
      </c>
      <c r="AR47" s="2" t="s">
        <v>409</v>
      </c>
      <c r="AS47" s="2" t="s">
        <v>284</v>
      </c>
      <c r="AT47" s="2" t="s">
        <v>284</v>
      </c>
      <c r="AU47" s="2" t="s">
        <v>93</v>
      </c>
      <c r="AV47" s="2" t="s">
        <v>93</v>
      </c>
      <c r="AW47" s="2" t="s">
        <v>1388</v>
      </c>
      <c r="AX47" s="2" t="s">
        <v>163</v>
      </c>
      <c r="AY47" s="2" t="s">
        <v>74</v>
      </c>
      <c r="AZ47" s="2" t="s">
        <v>74</v>
      </c>
      <c r="BA47" s="2" t="s">
        <v>164</v>
      </c>
      <c r="BB47" s="2" t="s">
        <v>164</v>
      </c>
      <c r="BC47" s="2" t="s">
        <v>233</v>
      </c>
      <c r="BD47" s="2" t="s">
        <v>74</v>
      </c>
      <c r="BE47" s="2" t="s">
        <v>74</v>
      </c>
      <c r="BF47" s="2" t="s">
        <v>74</v>
      </c>
      <c r="BG47" s="2" t="s">
        <v>74</v>
      </c>
      <c r="BH47" s="2" t="s">
        <v>97</v>
      </c>
      <c r="BI47" s="2" t="s">
        <v>97</v>
      </c>
      <c r="BJ47" s="2" t="s">
        <v>233</v>
      </c>
      <c r="BK47" s="2" t="s">
        <v>233</v>
      </c>
      <c r="BL47" s="2" t="s">
        <v>520</v>
      </c>
      <c r="BM47" s="2" t="s">
        <v>520</v>
      </c>
      <c r="BN47" s="2" t="s">
        <v>233</v>
      </c>
      <c r="BO47" s="39" t="s">
        <v>2195</v>
      </c>
      <c r="BP47" s="39"/>
      <c r="BQ47" s="2" t="s">
        <v>83</v>
      </c>
      <c r="BR47" s="2" t="s">
        <v>101</v>
      </c>
      <c r="BS47" s="2" t="s">
        <v>101</v>
      </c>
      <c r="BT47" s="2" t="s">
        <v>107</v>
      </c>
      <c r="BU47" s="2" t="s">
        <v>107</v>
      </c>
      <c r="BV47" s="2" t="s">
        <v>107</v>
      </c>
      <c r="BW47" s="2" t="s">
        <v>107</v>
      </c>
      <c r="BX47" s="8"/>
      <c r="BY47" s="2" t="s">
        <v>107</v>
      </c>
      <c r="BZ47" s="2" t="s">
        <v>107</v>
      </c>
      <c r="CA47" s="2" t="s">
        <v>268</v>
      </c>
      <c r="CB47" s="2" t="s">
        <v>268</v>
      </c>
      <c r="CC47" s="2" t="s">
        <v>370</v>
      </c>
      <c r="CD47" s="2" t="s">
        <v>370</v>
      </c>
      <c r="CE47" s="2" t="s">
        <v>168</v>
      </c>
      <c r="CF47" s="2" t="s">
        <v>168</v>
      </c>
      <c r="CG47" s="8"/>
      <c r="CH47" s="2" t="s">
        <v>233</v>
      </c>
      <c r="CI47" s="2" t="s">
        <v>171</v>
      </c>
      <c r="CJ47" s="2" t="s">
        <v>233</v>
      </c>
      <c r="CK47" s="2" t="s">
        <v>83</v>
      </c>
      <c r="CL47" s="2" t="s">
        <v>141</v>
      </c>
      <c r="CM47" s="8"/>
      <c r="CN47" s="2" t="s">
        <v>213</v>
      </c>
      <c r="CO47" s="2" t="s">
        <v>213</v>
      </c>
      <c r="CP47" s="2" t="s">
        <v>471</v>
      </c>
      <c r="CQ47" s="8"/>
      <c r="CR47" s="2" t="s">
        <v>83</v>
      </c>
      <c r="CS47" s="8"/>
      <c r="CU47" s="8"/>
      <c r="CV47" s="8"/>
      <c r="CW47" s="8"/>
      <c r="CX47" s="8"/>
      <c r="CY47" s="8"/>
      <c r="CZ47" s="8"/>
      <c r="DA47" s="8"/>
      <c r="DB47" s="8"/>
      <c r="DC47" s="8"/>
      <c r="DD47" s="8"/>
      <c r="DE47" s="8"/>
      <c r="DF47" s="8"/>
      <c r="DG47" s="8"/>
      <c r="DH47" s="8"/>
      <c r="DI47" s="8"/>
      <c r="DJ47" s="8"/>
      <c r="DK47" s="8"/>
      <c r="DL47" s="8"/>
      <c r="DM47" s="8"/>
      <c r="DN47" s="8"/>
    </row>
    <row r="48" spans="1:118" ht="15.75" customHeight="1">
      <c r="A48" s="8">
        <v>63</v>
      </c>
      <c r="B48" s="8"/>
      <c r="C48" s="9" t="s">
        <v>69</v>
      </c>
      <c r="D48" s="2" t="s">
        <v>70</v>
      </c>
      <c r="E48" s="9">
        <v>43732.537889594911</v>
      </c>
      <c r="F48" s="2" t="s">
        <v>1389</v>
      </c>
      <c r="G48" s="2" t="s">
        <v>1390</v>
      </c>
      <c r="H48" s="2" t="s">
        <v>1391</v>
      </c>
      <c r="I48" s="2" t="s">
        <v>83</v>
      </c>
      <c r="J48" s="10" t="s">
        <v>1392</v>
      </c>
      <c r="K48" s="2" t="s">
        <v>1389</v>
      </c>
      <c r="L48" s="2" t="s">
        <v>1393</v>
      </c>
      <c r="M48" s="2" t="s">
        <v>152</v>
      </c>
      <c r="N48" s="2" t="s">
        <v>152</v>
      </c>
      <c r="O48" s="2" t="s">
        <v>682</v>
      </c>
      <c r="P48" s="2" t="s">
        <v>1276</v>
      </c>
      <c r="Q48" s="2" t="s">
        <v>1394</v>
      </c>
      <c r="R48" s="2" t="s">
        <v>1375</v>
      </c>
      <c r="S48" s="2" t="s">
        <v>1375</v>
      </c>
      <c r="T48" s="2">
        <v>2012</v>
      </c>
      <c r="U48" s="2" t="s">
        <v>82</v>
      </c>
      <c r="V48" s="2" t="s">
        <v>95</v>
      </c>
      <c r="W48" s="2" t="s">
        <v>95</v>
      </c>
      <c r="X48" s="2" t="s">
        <v>282</v>
      </c>
      <c r="Y48" s="2" t="s">
        <v>282</v>
      </c>
      <c r="Z48" s="2" t="s">
        <v>84</v>
      </c>
      <c r="AA48" s="2" t="s">
        <v>84</v>
      </c>
      <c r="AB48" s="2" t="s">
        <v>729</v>
      </c>
      <c r="AC48" s="2" t="s">
        <v>729</v>
      </c>
      <c r="AD48" s="2" t="s">
        <v>74</v>
      </c>
      <c r="AE48" s="2" t="s">
        <v>1395</v>
      </c>
      <c r="AF48" s="2" t="s">
        <v>1395</v>
      </c>
      <c r="AG48" s="2" t="s">
        <v>260</v>
      </c>
      <c r="AH48" s="2" t="s">
        <v>260</v>
      </c>
      <c r="AI48" s="2" t="s">
        <v>261</v>
      </c>
      <c r="AJ48" s="2" t="s">
        <v>261</v>
      </c>
      <c r="AK48" s="2" t="s">
        <v>74</v>
      </c>
      <c r="AL48" s="2" t="s">
        <v>74</v>
      </c>
      <c r="AM48" s="2" t="s">
        <v>1396</v>
      </c>
      <c r="AN48" s="2" t="s">
        <v>303</v>
      </c>
      <c r="AO48" s="2" t="s">
        <v>126</v>
      </c>
      <c r="AP48" s="2" t="s">
        <v>126</v>
      </c>
      <c r="AQ48" s="2" t="s">
        <v>999</v>
      </c>
      <c r="AR48" s="2" t="s">
        <v>999</v>
      </c>
      <c r="AS48" s="2" t="s">
        <v>1397</v>
      </c>
      <c r="AT48" s="2" t="s">
        <v>284</v>
      </c>
      <c r="AU48" s="2" t="s">
        <v>284</v>
      </c>
      <c r="AV48" s="2" t="s">
        <v>284</v>
      </c>
      <c r="AW48" s="2" t="s">
        <v>163</v>
      </c>
      <c r="AX48" s="2" t="s">
        <v>163</v>
      </c>
      <c r="AY48" s="2" t="s">
        <v>74</v>
      </c>
      <c r="AZ48" s="2" t="s">
        <v>74</v>
      </c>
      <c r="BA48" s="2" t="s">
        <v>284</v>
      </c>
      <c r="BB48" s="2" t="s">
        <v>284</v>
      </c>
      <c r="BC48" s="2" t="s">
        <v>74</v>
      </c>
      <c r="BD48" s="2" t="s">
        <v>95</v>
      </c>
      <c r="BE48" s="2" t="s">
        <v>107</v>
      </c>
      <c r="BF48" s="2" t="s">
        <v>74</v>
      </c>
      <c r="BG48" s="2" t="s">
        <v>74</v>
      </c>
      <c r="BH48" s="2" t="s">
        <v>97</v>
      </c>
      <c r="BI48" s="2" t="s">
        <v>97</v>
      </c>
      <c r="BJ48" s="2" t="s">
        <v>130</v>
      </c>
      <c r="BK48" s="2" t="s">
        <v>130</v>
      </c>
      <c r="BL48" s="2" t="s">
        <v>725</v>
      </c>
      <c r="BM48" s="2" t="s">
        <v>725</v>
      </c>
      <c r="BN48" s="2" t="s">
        <v>166</v>
      </c>
      <c r="BO48" s="39" t="s">
        <v>83</v>
      </c>
      <c r="BP48" s="39"/>
      <c r="BQ48" s="2" t="s">
        <v>74</v>
      </c>
      <c r="BR48" s="2" t="s">
        <v>101</v>
      </c>
      <c r="BS48" s="2" t="s">
        <v>101</v>
      </c>
      <c r="BT48" s="2" t="s">
        <v>107</v>
      </c>
      <c r="BU48" s="2" t="s">
        <v>107</v>
      </c>
      <c r="BV48" s="2" t="s">
        <v>83</v>
      </c>
      <c r="BW48" s="2" t="s">
        <v>83</v>
      </c>
      <c r="BX48" s="8"/>
      <c r="BY48" s="2" t="s">
        <v>107</v>
      </c>
      <c r="BZ48" s="2" t="s">
        <v>107</v>
      </c>
      <c r="CA48" s="2" t="s">
        <v>312</v>
      </c>
      <c r="CB48" s="2" t="s">
        <v>312</v>
      </c>
      <c r="CC48" s="2" t="s">
        <v>105</v>
      </c>
      <c r="CD48" s="2" t="s">
        <v>105</v>
      </c>
      <c r="CE48" s="2" t="s">
        <v>313</v>
      </c>
      <c r="CF48" s="2" t="s">
        <v>313</v>
      </c>
      <c r="CG48" s="2" t="s">
        <v>1398</v>
      </c>
      <c r="CH48" s="2" t="s">
        <v>233</v>
      </c>
      <c r="CI48" s="2" t="s">
        <v>108</v>
      </c>
      <c r="CJ48" s="2" t="s">
        <v>235</v>
      </c>
      <c r="CK48" s="2" t="s">
        <v>83</v>
      </c>
      <c r="CL48" s="2">
        <v>0</v>
      </c>
      <c r="CM48" s="8"/>
      <c r="CN48" s="2" t="s">
        <v>572</v>
      </c>
      <c r="CO48" s="2" t="s">
        <v>572</v>
      </c>
      <c r="CP48" s="2" t="s">
        <v>282</v>
      </c>
      <c r="CQ48" s="8"/>
      <c r="CR48" s="2" t="s">
        <v>74</v>
      </c>
      <c r="CS48" s="2"/>
      <c r="CU48" s="1"/>
      <c r="CV48" s="1"/>
      <c r="CW48" s="1"/>
      <c r="CX48" s="1"/>
      <c r="CY48" s="1"/>
      <c r="CZ48" s="1"/>
      <c r="DA48" s="1"/>
      <c r="DB48" s="1"/>
      <c r="DC48" s="1"/>
      <c r="DD48" s="1"/>
      <c r="DE48" s="1"/>
      <c r="DF48" s="1"/>
      <c r="DG48" s="1"/>
      <c r="DH48" s="1"/>
      <c r="DI48" s="1"/>
      <c r="DJ48" s="1"/>
      <c r="DK48" s="1"/>
      <c r="DL48" s="1"/>
      <c r="DM48" s="1"/>
      <c r="DN48" s="1"/>
    </row>
    <row r="49" spans="1:118" ht="15.75" customHeight="1">
      <c r="A49" s="8">
        <v>64</v>
      </c>
      <c r="B49" s="117"/>
      <c r="C49" s="121" t="s">
        <v>69</v>
      </c>
      <c r="D49" s="2" t="s">
        <v>289</v>
      </c>
      <c r="E49" s="121">
        <v>43732.400454432871</v>
      </c>
      <c r="F49" s="120" t="s">
        <v>1400</v>
      </c>
      <c r="G49" s="120" t="s">
        <v>1369</v>
      </c>
      <c r="H49" s="122" t="s">
        <v>1401</v>
      </c>
      <c r="I49" s="120" t="s">
        <v>74</v>
      </c>
      <c r="J49" s="122" t="s">
        <v>1401</v>
      </c>
      <c r="K49" s="120" t="s">
        <v>1368</v>
      </c>
      <c r="L49" s="120" t="s">
        <v>1402</v>
      </c>
      <c r="M49" s="120" t="s">
        <v>152</v>
      </c>
      <c r="N49" s="120" t="s">
        <v>152</v>
      </c>
      <c r="O49" s="120" t="s">
        <v>607</v>
      </c>
      <c r="P49" s="120" t="s">
        <v>608</v>
      </c>
      <c r="Q49" s="120" t="s">
        <v>1369</v>
      </c>
      <c r="R49" s="120" t="s">
        <v>418</v>
      </c>
      <c r="S49" s="120" t="s">
        <v>418</v>
      </c>
      <c r="T49" s="120">
        <v>2019</v>
      </c>
      <c r="U49" s="120" t="s">
        <v>82</v>
      </c>
      <c r="V49" s="120" t="s">
        <v>95</v>
      </c>
      <c r="W49" s="120" t="s">
        <v>95</v>
      </c>
      <c r="X49" s="120" t="s">
        <v>119</v>
      </c>
      <c r="Y49" s="120" t="s">
        <v>119</v>
      </c>
      <c r="Z49" s="120" t="s">
        <v>84</v>
      </c>
      <c r="AA49" s="120" t="s">
        <v>84</v>
      </c>
      <c r="AB49" s="126" t="s">
        <v>1403</v>
      </c>
      <c r="AC49" s="126" t="s">
        <v>258</v>
      </c>
      <c r="AD49" s="120" t="s">
        <v>74</v>
      </c>
      <c r="AE49" s="120" t="s">
        <v>1404</v>
      </c>
      <c r="AF49" s="120" t="s">
        <v>1404</v>
      </c>
      <c r="AG49" s="120" t="s">
        <v>260</v>
      </c>
      <c r="AH49" s="120" t="s">
        <v>260</v>
      </c>
      <c r="AI49" s="120" t="s">
        <v>261</v>
      </c>
      <c r="AJ49" s="120" t="s">
        <v>261</v>
      </c>
      <c r="AK49" s="120" t="s">
        <v>74</v>
      </c>
      <c r="AL49" s="120" t="s">
        <v>74</v>
      </c>
      <c r="AM49" s="120" t="s">
        <v>1405</v>
      </c>
      <c r="AN49" s="120" t="s">
        <v>107</v>
      </c>
      <c r="AO49" s="120" t="s">
        <v>90</v>
      </c>
      <c r="AP49" s="120" t="s">
        <v>90</v>
      </c>
      <c r="AQ49" s="120" t="s">
        <v>32</v>
      </c>
      <c r="AR49" s="120" t="s">
        <v>32</v>
      </c>
      <c r="AS49" s="120" t="s">
        <v>1406</v>
      </c>
      <c r="AT49" s="120" t="s">
        <v>738</v>
      </c>
      <c r="AU49" s="120" t="s">
        <v>284</v>
      </c>
      <c r="AV49" s="120" t="s">
        <v>284</v>
      </c>
      <c r="AW49" s="120" t="s">
        <v>264</v>
      </c>
      <c r="AX49" s="120" t="s">
        <v>264</v>
      </c>
      <c r="AY49" s="120" t="s">
        <v>74</v>
      </c>
      <c r="AZ49" s="120" t="s">
        <v>74</v>
      </c>
      <c r="BA49" s="120" t="s">
        <v>96</v>
      </c>
      <c r="BB49" s="120" t="s">
        <v>96</v>
      </c>
      <c r="BC49" s="120" t="s">
        <v>208</v>
      </c>
      <c r="BD49" s="120" t="s">
        <v>74</v>
      </c>
      <c r="BE49" s="120" t="s">
        <v>74</v>
      </c>
      <c r="BF49" s="120" t="s">
        <v>74</v>
      </c>
      <c r="BG49" s="120" t="s">
        <v>74</v>
      </c>
      <c r="BH49" s="120" t="s">
        <v>97</v>
      </c>
      <c r="BI49" s="120" t="s">
        <v>97</v>
      </c>
      <c r="BJ49" s="120" t="s">
        <v>233</v>
      </c>
      <c r="BK49" s="120" t="s">
        <v>233</v>
      </c>
      <c r="BL49" s="120" t="s">
        <v>945</v>
      </c>
      <c r="BM49" s="120" t="s">
        <v>945</v>
      </c>
      <c r="BN49" s="120" t="s">
        <v>233</v>
      </c>
      <c r="BO49" s="39" t="s">
        <v>2195</v>
      </c>
      <c r="BP49" s="39"/>
      <c r="BQ49" s="120" t="s">
        <v>74</v>
      </c>
      <c r="BR49" s="120" t="s">
        <v>101</v>
      </c>
      <c r="BS49" s="120" t="s">
        <v>101</v>
      </c>
      <c r="BT49" s="120" t="s">
        <v>107</v>
      </c>
      <c r="BU49" s="120" t="s">
        <v>107</v>
      </c>
      <c r="BV49" s="120" t="s">
        <v>107</v>
      </c>
      <c r="BW49" s="120" t="s">
        <v>107</v>
      </c>
      <c r="BX49" s="117"/>
      <c r="BY49" s="120" t="s">
        <v>233</v>
      </c>
      <c r="BZ49" s="120" t="s">
        <v>233</v>
      </c>
      <c r="CA49" s="120" t="s">
        <v>268</v>
      </c>
      <c r="CB49" s="120" t="s">
        <v>268</v>
      </c>
      <c r="CC49" s="120" t="s">
        <v>1407</v>
      </c>
      <c r="CD49" s="120" t="s">
        <v>1407</v>
      </c>
      <c r="CE49" s="120" t="s">
        <v>233</v>
      </c>
      <c r="CF49" s="120" t="s">
        <v>233</v>
      </c>
      <c r="CG49" s="117"/>
      <c r="CH49" s="120">
        <v>0</v>
      </c>
      <c r="CI49" s="120" t="s">
        <v>171</v>
      </c>
      <c r="CJ49" s="120" t="s">
        <v>233</v>
      </c>
      <c r="CK49" s="120" t="s">
        <v>83</v>
      </c>
      <c r="CL49" s="120">
        <v>0</v>
      </c>
      <c r="CM49" s="117"/>
      <c r="CN49" s="120" t="s">
        <v>233</v>
      </c>
      <c r="CO49" s="120" t="s">
        <v>233</v>
      </c>
      <c r="CP49" s="120" t="s">
        <v>233</v>
      </c>
      <c r="CQ49" s="117"/>
      <c r="CR49" s="120" t="s">
        <v>74</v>
      </c>
      <c r="CS49" s="117"/>
      <c r="CU49" s="8"/>
      <c r="CV49" s="8"/>
      <c r="CW49" s="8"/>
      <c r="CX49" s="8"/>
      <c r="CY49" s="8"/>
      <c r="CZ49" s="8"/>
      <c r="DA49" s="8"/>
      <c r="DB49" s="8"/>
      <c r="DC49" s="8"/>
      <c r="DD49" s="8"/>
      <c r="DE49" s="8"/>
      <c r="DF49" s="8"/>
      <c r="DG49" s="8"/>
      <c r="DH49" s="8"/>
      <c r="DI49" s="8"/>
      <c r="DJ49" s="8"/>
      <c r="DK49" s="8"/>
      <c r="DL49" s="8"/>
      <c r="DM49" s="8"/>
      <c r="DN49" s="8"/>
    </row>
    <row r="50" spans="1:118" ht="15.75" customHeight="1">
      <c r="A50" s="8">
        <v>65</v>
      </c>
      <c r="B50" s="8"/>
      <c r="C50" s="9" t="s">
        <v>69</v>
      </c>
      <c r="D50" s="2" t="s">
        <v>1408</v>
      </c>
      <c r="E50" s="9">
        <v>43733.673775821764</v>
      </c>
      <c r="F50" s="2" t="s">
        <v>1409</v>
      </c>
      <c r="G50" s="2" t="s">
        <v>1410</v>
      </c>
      <c r="H50" s="2" t="s">
        <v>1411</v>
      </c>
      <c r="I50" s="2" t="s">
        <v>74</v>
      </c>
      <c r="J50" s="10" t="s">
        <v>1412</v>
      </c>
      <c r="K50" s="2" t="s">
        <v>1409</v>
      </c>
      <c r="L50" s="2" t="s">
        <v>1413</v>
      </c>
      <c r="M50" s="2" t="s">
        <v>152</v>
      </c>
      <c r="N50" s="2" t="s">
        <v>152</v>
      </c>
      <c r="O50" s="2" t="s">
        <v>692</v>
      </c>
      <c r="P50" s="2" t="s">
        <v>1414</v>
      </c>
      <c r="Q50" s="2" t="s">
        <v>1415</v>
      </c>
      <c r="R50" s="2" t="s">
        <v>418</v>
      </c>
      <c r="S50" s="2" t="s">
        <v>418</v>
      </c>
      <c r="T50" s="2">
        <v>2019</v>
      </c>
      <c r="U50" s="2" t="s">
        <v>82</v>
      </c>
      <c r="V50" s="2" t="s">
        <v>74</v>
      </c>
      <c r="W50" s="2" t="s">
        <v>74</v>
      </c>
      <c r="X50" s="2" t="s">
        <v>119</v>
      </c>
      <c r="Y50" s="2" t="s">
        <v>119</v>
      </c>
      <c r="Z50" s="2" t="s">
        <v>84</v>
      </c>
      <c r="AA50" s="2" t="s">
        <v>84</v>
      </c>
      <c r="AB50" s="38" t="s">
        <v>1417</v>
      </c>
      <c r="AC50" s="38" t="s">
        <v>258</v>
      </c>
      <c r="AD50" s="2" t="s">
        <v>74</v>
      </c>
      <c r="AE50" s="2" t="s">
        <v>1395</v>
      </c>
      <c r="AF50" s="2" t="s">
        <v>1395</v>
      </c>
      <c r="AG50" s="2" t="s">
        <v>87</v>
      </c>
      <c r="AH50" s="2" t="s">
        <v>87</v>
      </c>
      <c r="AI50" s="2" t="s">
        <v>123</v>
      </c>
      <c r="AJ50" s="2" t="s">
        <v>123</v>
      </c>
      <c r="AK50" s="2" t="s">
        <v>74</v>
      </c>
      <c r="AL50" s="2" t="s">
        <v>74</v>
      </c>
      <c r="AM50" s="2" t="s">
        <v>1418</v>
      </c>
      <c r="AN50" s="2" t="s">
        <v>89</v>
      </c>
      <c r="AO50" s="2" t="s">
        <v>90</v>
      </c>
      <c r="AP50" s="2" t="s">
        <v>90</v>
      </c>
      <c r="AQ50" s="2" t="s">
        <v>1419</v>
      </c>
      <c r="AR50" s="2" t="s">
        <v>999</v>
      </c>
      <c r="AS50" s="2" t="s">
        <v>284</v>
      </c>
      <c r="AT50" s="2" t="s">
        <v>284</v>
      </c>
      <c r="AU50" s="2" t="s">
        <v>284</v>
      </c>
      <c r="AV50" s="2" t="s">
        <v>284</v>
      </c>
      <c r="AW50" s="2" t="s">
        <v>163</v>
      </c>
      <c r="AX50" s="2" t="s">
        <v>163</v>
      </c>
      <c r="AY50" s="2" t="s">
        <v>95</v>
      </c>
      <c r="AZ50" s="2" t="s">
        <v>74</v>
      </c>
      <c r="BA50" s="2" t="s">
        <v>284</v>
      </c>
      <c r="BB50" s="2" t="s">
        <v>284</v>
      </c>
      <c r="BC50" s="2" t="s">
        <v>74</v>
      </c>
      <c r="BD50" s="2" t="s">
        <v>74</v>
      </c>
      <c r="BE50" s="2" t="s">
        <v>74</v>
      </c>
      <c r="BF50" s="2" t="s">
        <v>74</v>
      </c>
      <c r="BG50" s="2" t="s">
        <v>74</v>
      </c>
      <c r="BH50" s="2" t="s">
        <v>97</v>
      </c>
      <c r="BI50" s="2" t="s">
        <v>97</v>
      </c>
      <c r="BJ50" s="2" t="s">
        <v>233</v>
      </c>
      <c r="BK50" s="2" t="s">
        <v>233</v>
      </c>
      <c r="BL50" s="2" t="s">
        <v>945</v>
      </c>
      <c r="BM50" s="2" t="s">
        <v>945</v>
      </c>
      <c r="BN50" s="2" t="s">
        <v>777</v>
      </c>
      <c r="BO50" s="39" t="s">
        <v>74</v>
      </c>
      <c r="BP50" s="39"/>
      <c r="BQ50" s="2" t="s">
        <v>74</v>
      </c>
      <c r="BR50" s="2" t="s">
        <v>1420</v>
      </c>
      <c r="BS50" s="38" t="s">
        <v>2089</v>
      </c>
      <c r="BT50" s="2" t="s">
        <v>1421</v>
      </c>
      <c r="BU50" s="2" t="s">
        <v>2350</v>
      </c>
      <c r="BV50" s="2" t="s">
        <v>1422</v>
      </c>
      <c r="BW50" s="38" t="s">
        <v>74</v>
      </c>
      <c r="BX50" s="8"/>
      <c r="BY50" s="2" t="s">
        <v>1237</v>
      </c>
      <c r="BZ50" s="2" t="s">
        <v>1237</v>
      </c>
      <c r="CA50" s="2" t="s">
        <v>268</v>
      </c>
      <c r="CB50" s="2" t="s">
        <v>268</v>
      </c>
      <c r="CC50" s="2" t="s">
        <v>288</v>
      </c>
      <c r="CD50" s="2" t="s">
        <v>288</v>
      </c>
      <c r="CE50" s="2" t="s">
        <v>313</v>
      </c>
      <c r="CF50" s="2" t="s">
        <v>313</v>
      </c>
      <c r="CG50" s="8"/>
      <c r="CH50" s="2" t="s">
        <v>233</v>
      </c>
      <c r="CI50" s="2" t="s">
        <v>171</v>
      </c>
      <c r="CJ50" s="2" t="s">
        <v>171</v>
      </c>
      <c r="CK50" s="2" t="s">
        <v>83</v>
      </c>
      <c r="CL50" s="2" t="s">
        <v>233</v>
      </c>
      <c r="CM50" s="8"/>
      <c r="CN50" s="2" t="s">
        <v>233</v>
      </c>
      <c r="CO50" s="2" t="s">
        <v>233</v>
      </c>
      <c r="CP50" s="2" t="s">
        <v>233</v>
      </c>
      <c r="CQ50" s="8"/>
      <c r="CR50" s="2" t="s">
        <v>74</v>
      </c>
      <c r="CS50" s="2" t="s">
        <v>1424</v>
      </c>
      <c r="CU50" s="8"/>
      <c r="CV50" s="8"/>
      <c r="CW50" s="8"/>
      <c r="CX50" s="8"/>
      <c r="CY50" s="8"/>
      <c r="CZ50" s="8"/>
      <c r="DA50" s="8"/>
      <c r="DB50" s="8"/>
      <c r="DC50" s="8"/>
      <c r="DD50" s="8"/>
      <c r="DE50" s="8"/>
      <c r="DF50" s="8"/>
      <c r="DG50" s="8"/>
      <c r="DH50" s="8"/>
      <c r="DI50" s="8"/>
      <c r="DJ50" s="8"/>
      <c r="DK50" s="8"/>
      <c r="DL50" s="8"/>
      <c r="DM50" s="8"/>
      <c r="DN50" s="8"/>
    </row>
    <row r="51" spans="1:118" ht="15.75" customHeight="1">
      <c r="A51" s="8">
        <v>66</v>
      </c>
      <c r="B51" s="8"/>
      <c r="C51" s="9" t="s">
        <v>69</v>
      </c>
      <c r="D51" s="2" t="s">
        <v>246</v>
      </c>
      <c r="E51" s="9">
        <v>43732.470733298615</v>
      </c>
      <c r="F51" s="2" t="s">
        <v>503</v>
      </c>
      <c r="G51" s="2" t="s">
        <v>503</v>
      </c>
      <c r="H51" s="10" t="s">
        <v>1425</v>
      </c>
      <c r="I51" s="2" t="s">
        <v>74</v>
      </c>
      <c r="J51" s="10" t="s">
        <v>1426</v>
      </c>
      <c r="K51" s="2" t="s">
        <v>503</v>
      </c>
      <c r="L51" s="2" t="s">
        <v>1427</v>
      </c>
      <c r="M51" s="2" t="s">
        <v>77</v>
      </c>
      <c r="N51" s="2" t="s">
        <v>77</v>
      </c>
      <c r="O51" s="2" t="s">
        <v>510</v>
      </c>
      <c r="P51" s="2" t="s">
        <v>1428</v>
      </c>
      <c r="Q51" s="2" t="s">
        <v>1429</v>
      </c>
      <c r="R51" s="2" t="s">
        <v>81</v>
      </c>
      <c r="S51" s="2" t="s">
        <v>81</v>
      </c>
      <c r="T51" s="2">
        <v>2016</v>
      </c>
      <c r="U51" s="2">
        <v>2018</v>
      </c>
      <c r="V51" s="2" t="s">
        <v>74</v>
      </c>
      <c r="W51" s="2" t="s">
        <v>74</v>
      </c>
      <c r="X51" s="2" t="s">
        <v>256</v>
      </c>
      <c r="Y51" s="2" t="s">
        <v>256</v>
      </c>
      <c r="Z51" s="2" t="s">
        <v>84</v>
      </c>
      <c r="AA51" s="2" t="s">
        <v>84</v>
      </c>
      <c r="AB51" s="38" t="s">
        <v>1430</v>
      </c>
      <c r="AC51" s="38" t="s">
        <v>738</v>
      </c>
      <c r="AD51" s="2" t="s">
        <v>74</v>
      </c>
      <c r="AE51" s="2" t="s">
        <v>674</v>
      </c>
      <c r="AF51" s="2" t="s">
        <v>674</v>
      </c>
      <c r="AG51" s="2" t="s">
        <v>190</v>
      </c>
      <c r="AH51" s="2" t="s">
        <v>190</v>
      </c>
      <c r="AI51" s="2" t="s">
        <v>499</v>
      </c>
      <c r="AJ51" s="2" t="s">
        <v>499</v>
      </c>
      <c r="AK51" s="2" t="s">
        <v>83</v>
      </c>
      <c r="AL51" s="2" t="s">
        <v>83</v>
      </c>
      <c r="AM51" s="8"/>
      <c r="AN51" s="2" t="s">
        <v>125</v>
      </c>
      <c r="AO51" s="2" t="s">
        <v>126</v>
      </c>
      <c r="AP51" s="2" t="s">
        <v>126</v>
      </c>
      <c r="AQ51" s="2" t="s">
        <v>566</v>
      </c>
      <c r="AR51" s="2" t="s">
        <v>566</v>
      </c>
      <c r="AS51" s="2" t="s">
        <v>92</v>
      </c>
      <c r="AT51" s="2" t="s">
        <v>92</v>
      </c>
      <c r="AU51" s="2" t="s">
        <v>93</v>
      </c>
      <c r="AV51" s="2" t="s">
        <v>93</v>
      </c>
      <c r="AW51" s="2" t="s">
        <v>163</v>
      </c>
      <c r="AX51" s="2" t="s">
        <v>163</v>
      </c>
      <c r="AY51" s="2" t="s">
        <v>95</v>
      </c>
      <c r="AZ51" s="2" t="s">
        <v>74</v>
      </c>
      <c r="BA51" s="2" t="s">
        <v>265</v>
      </c>
      <c r="BB51" s="2" t="s">
        <v>265</v>
      </c>
      <c r="BC51" s="2" t="s">
        <v>208</v>
      </c>
      <c r="BD51" s="2" t="s">
        <v>95</v>
      </c>
      <c r="BE51" s="2" t="s">
        <v>74</v>
      </c>
      <c r="BF51" s="2" t="s">
        <v>74</v>
      </c>
      <c r="BG51" s="2" t="s">
        <v>74</v>
      </c>
      <c r="BH51" s="2" t="s">
        <v>97</v>
      </c>
      <c r="BI51" s="2" t="s">
        <v>97</v>
      </c>
      <c r="BJ51" s="2" t="s">
        <v>130</v>
      </c>
      <c r="BK51" s="2" t="s">
        <v>130</v>
      </c>
      <c r="BL51" s="2" t="s">
        <v>520</v>
      </c>
      <c r="BM51" s="2" t="s">
        <v>520</v>
      </c>
      <c r="BN51" s="2" t="s">
        <v>166</v>
      </c>
      <c r="BO51" s="39" t="s">
        <v>83</v>
      </c>
      <c r="BP51" s="39"/>
      <c r="BQ51" s="2" t="s">
        <v>83</v>
      </c>
      <c r="BR51" s="2" t="s">
        <v>101</v>
      </c>
      <c r="BS51" s="2" t="s">
        <v>101</v>
      </c>
      <c r="BT51" s="2" t="s">
        <v>107</v>
      </c>
      <c r="BU51" s="2" t="s">
        <v>107</v>
      </c>
      <c r="BV51" s="2" t="s">
        <v>233</v>
      </c>
      <c r="BW51" s="2" t="s">
        <v>233</v>
      </c>
      <c r="BX51" s="8"/>
      <c r="BY51" s="2" t="s">
        <v>233</v>
      </c>
      <c r="BZ51" s="2" t="s">
        <v>233</v>
      </c>
      <c r="CA51" s="2" t="s">
        <v>167</v>
      </c>
      <c r="CB51" s="2" t="s">
        <v>167</v>
      </c>
      <c r="CC51" s="2" t="s">
        <v>105</v>
      </c>
      <c r="CD51" s="2" t="s">
        <v>105</v>
      </c>
      <c r="CE51" s="2" t="s">
        <v>168</v>
      </c>
      <c r="CF51" s="2" t="s">
        <v>168</v>
      </c>
      <c r="CG51" s="2" t="s">
        <v>1431</v>
      </c>
      <c r="CH51" s="2" t="s">
        <v>233</v>
      </c>
      <c r="CI51" s="2" t="s">
        <v>233</v>
      </c>
      <c r="CJ51" s="2" t="s">
        <v>233</v>
      </c>
      <c r="CK51" s="2" t="s">
        <v>83</v>
      </c>
      <c r="CL51" s="2" t="s">
        <v>233</v>
      </c>
      <c r="CM51" s="8"/>
      <c r="CN51" s="2" t="s">
        <v>233</v>
      </c>
      <c r="CO51" s="2" t="s">
        <v>233</v>
      </c>
      <c r="CP51" s="2" t="s">
        <v>233</v>
      </c>
      <c r="CQ51" s="8"/>
      <c r="CR51" s="2" t="s">
        <v>74</v>
      </c>
      <c r="CS51" s="8"/>
      <c r="CT51" s="8"/>
      <c r="CU51" s="8"/>
      <c r="CV51" s="8"/>
      <c r="CW51" s="8"/>
      <c r="CX51" s="8"/>
      <c r="CY51" s="8"/>
      <c r="CZ51" s="8"/>
      <c r="DA51" s="8"/>
      <c r="DB51" s="8"/>
      <c r="DC51" s="8"/>
      <c r="DD51" s="8"/>
      <c r="DE51" s="8"/>
      <c r="DF51" s="8"/>
      <c r="DG51" s="8"/>
      <c r="DH51" s="8"/>
      <c r="DI51" s="8"/>
      <c r="DJ51" s="8"/>
      <c r="DK51" s="8"/>
      <c r="DL51" s="8"/>
      <c r="DM51" s="8"/>
      <c r="DN51" s="8"/>
    </row>
    <row r="52" spans="1:118" ht="15.75" customHeight="1">
      <c r="A52" s="8">
        <v>67</v>
      </c>
      <c r="B52" s="8"/>
      <c r="C52" s="9" t="s">
        <v>69</v>
      </c>
      <c r="D52" s="2" t="s">
        <v>70</v>
      </c>
      <c r="E52" s="9">
        <v>43732.554492916664</v>
      </c>
      <c r="F52" s="2" t="s">
        <v>1432</v>
      </c>
      <c r="G52" s="2" t="s">
        <v>1433</v>
      </c>
      <c r="H52" s="2" t="s">
        <v>1434</v>
      </c>
      <c r="I52" s="2" t="s">
        <v>74</v>
      </c>
      <c r="J52" s="10" t="s">
        <v>1435</v>
      </c>
      <c r="K52" s="2" t="s">
        <v>1432</v>
      </c>
      <c r="L52" s="2" t="s">
        <v>1436</v>
      </c>
      <c r="M52" s="2" t="s">
        <v>152</v>
      </c>
      <c r="N52" s="2" t="s">
        <v>152</v>
      </c>
      <c r="O52" s="2" t="s">
        <v>340</v>
      </c>
      <c r="P52" s="2" t="s">
        <v>541</v>
      </c>
      <c r="Q52" s="2" t="s">
        <v>1437</v>
      </c>
      <c r="R52" s="2" t="s">
        <v>118</v>
      </c>
      <c r="S52" s="2" t="s">
        <v>118</v>
      </c>
      <c r="T52" s="2">
        <v>2009</v>
      </c>
      <c r="U52" s="2" t="s">
        <v>82</v>
      </c>
      <c r="V52" s="2" t="s">
        <v>74</v>
      </c>
      <c r="W52" s="2" t="s">
        <v>74</v>
      </c>
      <c r="X52" s="2" t="s">
        <v>119</v>
      </c>
      <c r="Y52" s="2" t="s">
        <v>119</v>
      </c>
      <c r="Z52" s="2" t="s">
        <v>84</v>
      </c>
      <c r="AA52" s="2" t="s">
        <v>84</v>
      </c>
      <c r="AB52" s="2" t="s">
        <v>120</v>
      </c>
      <c r="AC52" s="2" t="s">
        <v>120</v>
      </c>
      <c r="AD52" s="2" t="s">
        <v>74</v>
      </c>
      <c r="AE52" s="2" t="s">
        <v>1438</v>
      </c>
      <c r="AF52" s="2" t="s">
        <v>1438</v>
      </c>
      <c r="AG52" s="2" t="s">
        <v>190</v>
      </c>
      <c r="AH52" s="2" t="s">
        <v>190</v>
      </c>
      <c r="AI52" s="2" t="s">
        <v>123</v>
      </c>
      <c r="AJ52" s="2" t="s">
        <v>123</v>
      </c>
      <c r="AK52" s="2" t="s">
        <v>74</v>
      </c>
      <c r="AL52" s="2" t="s">
        <v>74</v>
      </c>
      <c r="AM52" s="2" t="s">
        <v>1439</v>
      </c>
      <c r="AN52" s="2" t="s">
        <v>89</v>
      </c>
      <c r="AO52" s="2" t="s">
        <v>126</v>
      </c>
      <c r="AP52" s="2" t="s">
        <v>126</v>
      </c>
      <c r="AQ52" s="2" t="s">
        <v>618</v>
      </c>
      <c r="AR52" s="2" t="s">
        <v>618</v>
      </c>
      <c r="AS52" s="2" t="s">
        <v>305</v>
      </c>
      <c r="AT52" s="2" t="s">
        <v>305</v>
      </c>
      <c r="AU52" s="2" t="s">
        <v>353</v>
      </c>
      <c r="AV52" s="2" t="s">
        <v>353</v>
      </c>
      <c r="AW52" s="2" t="s">
        <v>264</v>
      </c>
      <c r="AX52" s="2" t="s">
        <v>264</v>
      </c>
      <c r="AY52" s="2" t="s">
        <v>74</v>
      </c>
      <c r="AZ52" s="2" t="s">
        <v>74</v>
      </c>
      <c r="BA52" s="2" t="s">
        <v>96</v>
      </c>
      <c r="BB52" s="2" t="s">
        <v>96</v>
      </c>
      <c r="BC52" s="2" t="s">
        <v>74</v>
      </c>
      <c r="BD52" s="2" t="s">
        <v>74</v>
      </c>
      <c r="BE52" s="2" t="s">
        <v>74</v>
      </c>
      <c r="BF52" s="2" t="s">
        <v>74</v>
      </c>
      <c r="BG52" s="2" t="s">
        <v>74</v>
      </c>
      <c r="BH52" s="2" t="s">
        <v>412</v>
      </c>
      <c r="BI52" s="2" t="s">
        <v>412</v>
      </c>
      <c r="BJ52" s="2" t="s">
        <v>1440</v>
      </c>
      <c r="BK52" s="2" t="s">
        <v>2168</v>
      </c>
      <c r="BL52" s="2" t="s">
        <v>229</v>
      </c>
      <c r="BM52" s="2" t="s">
        <v>229</v>
      </c>
      <c r="BN52" s="2" t="s">
        <v>365</v>
      </c>
      <c r="BO52" s="2" t="s">
        <v>74</v>
      </c>
      <c r="BP52" s="2" t="s">
        <v>2206</v>
      </c>
      <c r="BQ52" s="2" t="s">
        <v>74</v>
      </c>
      <c r="BR52" s="2" t="s">
        <v>1441</v>
      </c>
      <c r="BS52" s="38" t="s">
        <v>738</v>
      </c>
      <c r="BT52" s="2" t="s">
        <v>107</v>
      </c>
      <c r="BU52" s="2" t="s">
        <v>107</v>
      </c>
      <c r="BV52" s="2" t="s">
        <v>107</v>
      </c>
      <c r="BW52" s="2" t="s">
        <v>107</v>
      </c>
      <c r="BX52" s="8"/>
      <c r="BY52" s="2" t="s">
        <v>107</v>
      </c>
      <c r="BZ52" s="2" t="s">
        <v>107</v>
      </c>
      <c r="CA52" s="2" t="s">
        <v>167</v>
      </c>
      <c r="CB52" s="2" t="s">
        <v>167</v>
      </c>
      <c r="CC52" s="2" t="s">
        <v>105</v>
      </c>
      <c r="CD52" s="2" t="s">
        <v>105</v>
      </c>
      <c r="CE52" s="2" t="s">
        <v>313</v>
      </c>
      <c r="CF52" s="2" t="s">
        <v>313</v>
      </c>
      <c r="CG52" s="8"/>
      <c r="CH52" s="2" t="s">
        <v>212</v>
      </c>
      <c r="CI52" s="2" t="s">
        <v>139</v>
      </c>
      <c r="CJ52" s="2" t="s">
        <v>789</v>
      </c>
      <c r="CK52" s="2" t="s">
        <v>83</v>
      </c>
      <c r="CL52" s="2" t="s">
        <v>814</v>
      </c>
      <c r="CM52" s="8"/>
      <c r="CN52" s="2" t="s">
        <v>1442</v>
      </c>
      <c r="CO52" s="2" t="s">
        <v>2353</v>
      </c>
      <c r="CP52" s="2" t="s">
        <v>1443</v>
      </c>
      <c r="CQ52" s="8"/>
      <c r="CR52" s="2" t="s">
        <v>74</v>
      </c>
      <c r="CS52" s="8"/>
      <c r="CU52" s="8"/>
      <c r="CV52" s="8"/>
      <c r="CW52" s="8"/>
      <c r="CX52" s="8"/>
      <c r="CY52" s="8"/>
      <c r="CZ52" s="8"/>
      <c r="DA52" s="8"/>
      <c r="DB52" s="8"/>
      <c r="DC52" s="8"/>
      <c r="DD52" s="8"/>
      <c r="DE52" s="8"/>
      <c r="DF52" s="8"/>
      <c r="DG52" s="8"/>
      <c r="DH52" s="8"/>
      <c r="DI52" s="8"/>
      <c r="DJ52" s="8"/>
      <c r="DK52" s="8"/>
      <c r="DL52" s="8"/>
      <c r="DM52" s="8"/>
      <c r="DN52" s="8"/>
    </row>
    <row r="53" spans="1:118" ht="15.75" customHeight="1">
      <c r="A53" s="8">
        <v>69</v>
      </c>
      <c r="B53" s="8"/>
      <c r="C53" s="9" t="s">
        <v>69</v>
      </c>
      <c r="D53" s="2" t="s">
        <v>70</v>
      </c>
      <c r="E53" s="9">
        <v>43733.673975428246</v>
      </c>
      <c r="F53" s="2" t="s">
        <v>1409</v>
      </c>
      <c r="G53" s="2" t="s">
        <v>1444</v>
      </c>
      <c r="H53" s="2" t="s">
        <v>1445</v>
      </c>
      <c r="I53" s="2" t="s">
        <v>74</v>
      </c>
      <c r="J53" s="10" t="s">
        <v>1447</v>
      </c>
      <c r="K53" s="2" t="s">
        <v>1409</v>
      </c>
      <c r="L53" s="2" t="s">
        <v>1449</v>
      </c>
      <c r="M53" s="2" t="s">
        <v>152</v>
      </c>
      <c r="N53" s="2" t="s">
        <v>152</v>
      </c>
      <c r="O53" s="2" t="s">
        <v>692</v>
      </c>
      <c r="P53" s="2" t="s">
        <v>1450</v>
      </c>
      <c r="Q53" s="2" t="s">
        <v>1415</v>
      </c>
      <c r="R53" s="2" t="s">
        <v>418</v>
      </c>
      <c r="S53" s="2" t="s">
        <v>418</v>
      </c>
      <c r="T53" s="2">
        <v>2017</v>
      </c>
      <c r="U53" s="2">
        <v>2018</v>
      </c>
      <c r="V53" s="2" t="s">
        <v>74</v>
      </c>
      <c r="W53" s="2" t="s">
        <v>74</v>
      </c>
      <c r="X53" s="2" t="s">
        <v>119</v>
      </c>
      <c r="Y53" s="2" t="s">
        <v>119</v>
      </c>
      <c r="Z53" s="2" t="s">
        <v>1451</v>
      </c>
      <c r="AA53" s="38" t="s">
        <v>738</v>
      </c>
      <c r="AB53" s="38" t="s">
        <v>1452</v>
      </c>
      <c r="AC53" s="38" t="s">
        <v>120</v>
      </c>
      <c r="AD53" s="2" t="s">
        <v>74</v>
      </c>
      <c r="AE53" s="2" t="s">
        <v>1453</v>
      </c>
      <c r="AF53" s="2" t="s">
        <v>1453</v>
      </c>
      <c r="AG53" s="2" t="s">
        <v>190</v>
      </c>
      <c r="AH53" s="2" t="s">
        <v>190</v>
      </c>
      <c r="AI53" s="2" t="s">
        <v>261</v>
      </c>
      <c r="AJ53" s="2" t="s">
        <v>261</v>
      </c>
      <c r="AK53" s="2" t="s">
        <v>74</v>
      </c>
      <c r="AL53" s="2" t="s">
        <v>74</v>
      </c>
      <c r="AM53" s="2" t="s">
        <v>1454</v>
      </c>
      <c r="AN53" s="2" t="s">
        <v>205</v>
      </c>
      <c r="AO53" s="2" t="s">
        <v>1455</v>
      </c>
      <c r="AP53" s="2" t="s">
        <v>90</v>
      </c>
      <c r="AQ53" s="2" t="s">
        <v>1456</v>
      </c>
      <c r="AR53" s="2" t="s">
        <v>2151</v>
      </c>
      <c r="AS53" s="2" t="s">
        <v>92</v>
      </c>
      <c r="AT53" s="2" t="s">
        <v>92</v>
      </c>
      <c r="AU53" s="2" t="s">
        <v>93</v>
      </c>
      <c r="AV53" s="2" t="s">
        <v>93</v>
      </c>
      <c r="AW53" s="2" t="s">
        <v>163</v>
      </c>
      <c r="AX53" s="2" t="s">
        <v>163</v>
      </c>
      <c r="AY53" s="2" t="s">
        <v>74</v>
      </c>
      <c r="AZ53" s="2" t="s">
        <v>74</v>
      </c>
      <c r="BA53" s="2" t="s">
        <v>284</v>
      </c>
      <c r="BB53" s="2" t="s">
        <v>284</v>
      </c>
      <c r="BC53" s="2" t="s">
        <v>74</v>
      </c>
      <c r="BD53" s="2" t="s">
        <v>95</v>
      </c>
      <c r="BE53" s="2" t="s">
        <v>74</v>
      </c>
      <c r="BF53" s="2" t="s">
        <v>74</v>
      </c>
      <c r="BG53" s="2" t="s">
        <v>74</v>
      </c>
      <c r="BH53" s="2" t="s">
        <v>97</v>
      </c>
      <c r="BI53" s="2" t="s">
        <v>97</v>
      </c>
      <c r="BJ53" s="2" t="s">
        <v>233</v>
      </c>
      <c r="BK53" s="2" t="s">
        <v>233</v>
      </c>
      <c r="BL53" s="2" t="s">
        <v>520</v>
      </c>
      <c r="BM53" s="2" t="s">
        <v>520</v>
      </c>
      <c r="BN53" s="2" t="s">
        <v>777</v>
      </c>
      <c r="BO53" s="39" t="s">
        <v>74</v>
      </c>
      <c r="BP53" s="39"/>
      <c r="BQ53" s="2" t="s">
        <v>74</v>
      </c>
      <c r="BR53" s="2" t="s">
        <v>1458</v>
      </c>
      <c r="BS53" s="2" t="s">
        <v>2182</v>
      </c>
      <c r="BT53" s="2" t="s">
        <v>1421</v>
      </c>
      <c r="BU53" s="2" t="s">
        <v>2350</v>
      </c>
      <c r="BV53" s="2" t="s">
        <v>1422</v>
      </c>
      <c r="BW53" s="38" t="s">
        <v>74</v>
      </c>
      <c r="BX53" s="8"/>
      <c r="BY53" s="2" t="s">
        <v>1237</v>
      </c>
      <c r="BZ53" s="2" t="s">
        <v>1237</v>
      </c>
      <c r="CA53" s="2" t="s">
        <v>233</v>
      </c>
      <c r="CB53" s="2" t="s">
        <v>233</v>
      </c>
      <c r="CC53" s="2" t="s">
        <v>339</v>
      </c>
      <c r="CD53" s="2" t="s">
        <v>339</v>
      </c>
      <c r="CE53" s="2" t="s">
        <v>168</v>
      </c>
      <c r="CF53" s="2" t="s">
        <v>168</v>
      </c>
      <c r="CG53" s="8"/>
      <c r="CH53" s="2" t="s">
        <v>233</v>
      </c>
      <c r="CI53" s="2" t="s">
        <v>171</v>
      </c>
      <c r="CJ53" s="2" t="s">
        <v>171</v>
      </c>
      <c r="CK53" s="2" t="s">
        <v>83</v>
      </c>
      <c r="CL53" s="2">
        <v>0</v>
      </c>
      <c r="CM53" s="8"/>
      <c r="CN53" s="2" t="s">
        <v>233</v>
      </c>
      <c r="CO53" s="2" t="s">
        <v>233</v>
      </c>
      <c r="CP53" s="2" t="s">
        <v>233</v>
      </c>
      <c r="CQ53" s="8"/>
      <c r="CR53" s="2" t="s">
        <v>74</v>
      </c>
      <c r="CS53" s="2" t="s">
        <v>1459</v>
      </c>
      <c r="CT53" s="8"/>
      <c r="CU53" s="8"/>
      <c r="CV53" s="8"/>
      <c r="CW53" s="8"/>
      <c r="CX53" s="8"/>
      <c r="CY53" s="8"/>
      <c r="CZ53" s="8"/>
      <c r="DA53" s="8"/>
      <c r="DB53" s="8"/>
      <c r="DC53" s="8"/>
      <c r="DD53" s="8"/>
      <c r="DE53" s="8"/>
      <c r="DF53" s="8"/>
      <c r="DG53" s="8"/>
      <c r="DH53" s="8"/>
      <c r="DI53" s="8"/>
      <c r="DJ53" s="8"/>
      <c r="DK53" s="8"/>
      <c r="DL53" s="8"/>
      <c r="DM53" s="8"/>
      <c r="DN53" s="8"/>
    </row>
    <row r="54" spans="1:118" ht="15.75" customHeight="1">
      <c r="A54" s="8">
        <v>70</v>
      </c>
      <c r="B54" s="2" t="s">
        <v>1460</v>
      </c>
      <c r="C54" s="2" t="s">
        <v>69</v>
      </c>
      <c r="D54" s="2" t="s">
        <v>289</v>
      </c>
      <c r="E54" s="9">
        <v>43733.481308333328</v>
      </c>
      <c r="F54" s="2" t="s">
        <v>1461</v>
      </c>
      <c r="G54" s="2" t="s">
        <v>1462</v>
      </c>
      <c r="H54" s="2" t="s">
        <v>1463</v>
      </c>
      <c r="I54" s="2" t="s">
        <v>74</v>
      </c>
      <c r="J54" s="10" t="s">
        <v>1464</v>
      </c>
      <c r="K54" s="2" t="s">
        <v>1461</v>
      </c>
      <c r="L54" s="2" t="s">
        <v>1465</v>
      </c>
      <c r="M54" s="2" t="s">
        <v>152</v>
      </c>
      <c r="N54" s="2" t="s">
        <v>152</v>
      </c>
      <c r="O54" s="2" t="s">
        <v>687</v>
      </c>
      <c r="P54" s="2" t="s">
        <v>1466</v>
      </c>
      <c r="Q54" s="2" t="s">
        <v>1467</v>
      </c>
      <c r="R54" s="2" t="s">
        <v>1468</v>
      </c>
      <c r="S54" s="38" t="s">
        <v>2116</v>
      </c>
      <c r="T54" s="2">
        <v>2019</v>
      </c>
      <c r="U54" s="2" t="s">
        <v>82</v>
      </c>
      <c r="V54" s="2" t="s">
        <v>83</v>
      </c>
      <c r="W54" s="2" t="s">
        <v>83</v>
      </c>
      <c r="X54" s="8"/>
      <c r="Y54" s="8"/>
      <c r="Z54" s="2" t="s">
        <v>257</v>
      </c>
      <c r="AA54" s="2" t="s">
        <v>257</v>
      </c>
      <c r="AB54" s="2" t="s">
        <v>120</v>
      </c>
      <c r="AC54" s="2" t="s">
        <v>120</v>
      </c>
      <c r="AD54" s="2" t="s">
        <v>158</v>
      </c>
      <c r="AE54" s="2" t="s">
        <v>1469</v>
      </c>
      <c r="AF54" s="2" t="s">
        <v>1469</v>
      </c>
      <c r="AG54" s="2" t="s">
        <v>455</v>
      </c>
      <c r="AH54" s="2" t="s">
        <v>455</v>
      </c>
      <c r="AI54" s="2" t="s">
        <v>261</v>
      </c>
      <c r="AJ54" s="2" t="s">
        <v>261</v>
      </c>
      <c r="AK54" s="2" t="s">
        <v>74</v>
      </c>
      <c r="AL54" s="2" t="s">
        <v>74</v>
      </c>
      <c r="AM54" s="2" t="s">
        <v>1470</v>
      </c>
      <c r="AN54" s="2" t="s">
        <v>107</v>
      </c>
      <c r="AO54" s="2" t="s">
        <v>107</v>
      </c>
      <c r="AP54" s="2" t="s">
        <v>107</v>
      </c>
      <c r="AQ54" s="2" t="s">
        <v>931</v>
      </c>
      <c r="AR54" s="2" t="s">
        <v>931</v>
      </c>
      <c r="AS54" s="2" t="s">
        <v>92</v>
      </c>
      <c r="AT54" s="2" t="s">
        <v>92</v>
      </c>
      <c r="AU54" s="2" t="s">
        <v>93</v>
      </c>
      <c r="AV54" s="2" t="s">
        <v>93</v>
      </c>
      <c r="AW54" s="2" t="s">
        <v>264</v>
      </c>
      <c r="AX54" s="2" t="s">
        <v>264</v>
      </c>
      <c r="AY54" s="2" t="s">
        <v>95</v>
      </c>
      <c r="AZ54" s="2" t="s">
        <v>74</v>
      </c>
      <c r="BA54" s="2" t="s">
        <v>164</v>
      </c>
      <c r="BB54" s="2" t="s">
        <v>164</v>
      </c>
      <c r="BC54" s="2" t="s">
        <v>74</v>
      </c>
      <c r="BD54" s="2" t="s">
        <v>74</v>
      </c>
      <c r="BE54" s="2" t="s">
        <v>74</v>
      </c>
      <c r="BF54" s="2" t="s">
        <v>74</v>
      </c>
      <c r="BG54" s="2" t="s">
        <v>74</v>
      </c>
      <c r="BH54" s="2" t="s">
        <v>1471</v>
      </c>
      <c r="BI54" s="2" t="s">
        <v>1471</v>
      </c>
      <c r="BJ54" s="2" t="s">
        <v>92</v>
      </c>
      <c r="BK54" s="2" t="s">
        <v>92</v>
      </c>
      <c r="BL54" s="2" t="s">
        <v>92</v>
      </c>
      <c r="BM54" s="2" t="s">
        <v>92</v>
      </c>
      <c r="BN54" s="2" t="s">
        <v>233</v>
      </c>
      <c r="BO54" s="39" t="s">
        <v>2195</v>
      </c>
      <c r="BP54" s="39"/>
      <c r="BQ54" s="2" t="s">
        <v>74</v>
      </c>
      <c r="BR54" s="2" t="s">
        <v>1472</v>
      </c>
      <c r="BS54" s="38" t="s">
        <v>738</v>
      </c>
      <c r="BT54" s="2" t="s">
        <v>107</v>
      </c>
      <c r="BU54" s="2" t="s">
        <v>107</v>
      </c>
      <c r="BV54" s="2" t="s">
        <v>107</v>
      </c>
      <c r="BW54" s="2" t="s">
        <v>107</v>
      </c>
      <c r="BX54" s="8"/>
      <c r="BY54" s="2" t="s">
        <v>233</v>
      </c>
      <c r="BZ54" s="2" t="s">
        <v>233</v>
      </c>
      <c r="CA54" s="2" t="s">
        <v>107</v>
      </c>
      <c r="CB54" s="2" t="s">
        <v>107</v>
      </c>
      <c r="CC54" s="2" t="s">
        <v>107</v>
      </c>
      <c r="CD54" s="2" t="s">
        <v>107</v>
      </c>
      <c r="CE54" s="2" t="s">
        <v>168</v>
      </c>
      <c r="CF54" s="2" t="s">
        <v>168</v>
      </c>
      <c r="CG54" s="8"/>
      <c r="CH54" s="2" t="s">
        <v>138</v>
      </c>
      <c r="CI54" s="2" t="s">
        <v>341</v>
      </c>
      <c r="CJ54" s="2" t="s">
        <v>234</v>
      </c>
      <c r="CK54" s="2" t="s">
        <v>74</v>
      </c>
      <c r="CL54" s="2" t="s">
        <v>316</v>
      </c>
      <c r="CM54" s="8"/>
      <c r="CN54" s="2" t="s">
        <v>233</v>
      </c>
      <c r="CO54" s="2" t="s">
        <v>233</v>
      </c>
      <c r="CP54" s="2" t="s">
        <v>1473</v>
      </c>
      <c r="CQ54" s="8"/>
      <c r="CR54" s="2" t="s">
        <v>74</v>
      </c>
      <c r="CS54" s="8"/>
      <c r="CT54" s="8"/>
      <c r="CU54" s="8"/>
      <c r="CV54" s="8"/>
      <c r="CW54" s="8"/>
      <c r="CX54" s="8"/>
      <c r="CY54" s="8"/>
      <c r="CZ54" s="8"/>
      <c r="DA54" s="8"/>
      <c r="DB54" s="8"/>
      <c r="DC54" s="8"/>
      <c r="DD54" s="8"/>
      <c r="DE54" s="8"/>
      <c r="DF54" s="8"/>
      <c r="DG54" s="8"/>
      <c r="DH54" s="8"/>
      <c r="DI54" s="8"/>
      <c r="DJ54" s="8"/>
      <c r="DK54" s="8"/>
      <c r="DL54" s="8"/>
      <c r="DM54" s="8"/>
      <c r="DN54" s="8"/>
    </row>
    <row r="55" spans="1:118" ht="15.75" customHeight="1">
      <c r="A55" s="8">
        <v>71</v>
      </c>
      <c r="B55" s="8"/>
      <c r="C55" s="2" t="s">
        <v>69</v>
      </c>
      <c r="D55" s="2" t="s">
        <v>70</v>
      </c>
      <c r="E55" s="9">
        <v>43733.728306261575</v>
      </c>
      <c r="F55" s="2" t="s">
        <v>1474</v>
      </c>
      <c r="G55" s="2" t="s">
        <v>1475</v>
      </c>
      <c r="H55" s="2" t="s">
        <v>1476</v>
      </c>
      <c r="I55" s="2" t="s">
        <v>74</v>
      </c>
      <c r="J55" s="10" t="s">
        <v>1477</v>
      </c>
      <c r="K55" s="2" t="s">
        <v>1474</v>
      </c>
      <c r="L55" s="2" t="s">
        <v>1478</v>
      </c>
      <c r="M55" s="2" t="s">
        <v>152</v>
      </c>
      <c r="N55" s="2" t="s">
        <v>152</v>
      </c>
      <c r="O55" s="2" t="s">
        <v>687</v>
      </c>
      <c r="P55" s="2" t="s">
        <v>608</v>
      </c>
      <c r="Q55" s="2" t="s">
        <v>1479</v>
      </c>
      <c r="R55" s="2" t="s">
        <v>298</v>
      </c>
      <c r="S55" s="2" t="s">
        <v>298</v>
      </c>
      <c r="T55" s="2">
        <v>2017</v>
      </c>
      <c r="U55" s="2" t="s">
        <v>82</v>
      </c>
      <c r="V55" s="2" t="s">
        <v>83</v>
      </c>
      <c r="W55" s="2" t="s">
        <v>83</v>
      </c>
      <c r="X55" s="8"/>
      <c r="Y55" s="8"/>
      <c r="Z55" s="2" t="s">
        <v>84</v>
      </c>
      <c r="AA55" s="2" t="s">
        <v>84</v>
      </c>
      <c r="AB55" s="2" t="s">
        <v>85</v>
      </c>
      <c r="AC55" s="2" t="s">
        <v>85</v>
      </c>
      <c r="AD55" s="2" t="s">
        <v>74</v>
      </c>
      <c r="AE55" s="2" t="s">
        <v>1480</v>
      </c>
      <c r="AF55" s="2" t="s">
        <v>1480</v>
      </c>
      <c r="AG55" s="2" t="s">
        <v>491</v>
      </c>
      <c r="AH55" s="2" t="s">
        <v>491</v>
      </c>
      <c r="AI55" s="2" t="s">
        <v>85</v>
      </c>
      <c r="AJ55" s="2" t="s">
        <v>85</v>
      </c>
      <c r="AK55" s="2" t="s">
        <v>83</v>
      </c>
      <c r="AL55" s="2" t="s">
        <v>83</v>
      </c>
      <c r="AM55" s="8"/>
      <c r="AN55" s="2" t="s">
        <v>125</v>
      </c>
      <c r="AO55" s="2" t="s">
        <v>126</v>
      </c>
      <c r="AP55" s="2" t="s">
        <v>126</v>
      </c>
      <c r="AQ55" s="2" t="s">
        <v>999</v>
      </c>
      <c r="AR55" s="2" t="s">
        <v>999</v>
      </c>
      <c r="AS55" s="2" t="s">
        <v>284</v>
      </c>
      <c r="AT55" s="2" t="s">
        <v>284</v>
      </c>
      <c r="AU55" s="2" t="s">
        <v>284</v>
      </c>
      <c r="AV55" s="2" t="s">
        <v>284</v>
      </c>
      <c r="AW55" s="2" t="s">
        <v>94</v>
      </c>
      <c r="AX55" s="2" t="s">
        <v>94</v>
      </c>
      <c r="AY55" s="2" t="s">
        <v>95</v>
      </c>
      <c r="AZ55" s="2" t="s">
        <v>74</v>
      </c>
      <c r="BA55" s="2" t="s">
        <v>284</v>
      </c>
      <c r="BB55" s="2" t="s">
        <v>284</v>
      </c>
      <c r="BC55" s="2" t="s">
        <v>74</v>
      </c>
      <c r="BD55" s="2" t="s">
        <v>74</v>
      </c>
      <c r="BE55" s="2" t="s">
        <v>233</v>
      </c>
      <c r="BF55" s="2" t="s">
        <v>74</v>
      </c>
      <c r="BG55" s="2" t="s">
        <v>95</v>
      </c>
      <c r="BH55" s="2" t="s">
        <v>358</v>
      </c>
      <c r="BI55" s="2" t="s">
        <v>358</v>
      </c>
      <c r="BJ55" s="2" t="s">
        <v>130</v>
      </c>
      <c r="BK55" s="2" t="s">
        <v>130</v>
      </c>
      <c r="BL55" s="2" t="s">
        <v>229</v>
      </c>
      <c r="BM55" s="2" t="s">
        <v>229</v>
      </c>
      <c r="BN55" s="2" t="s">
        <v>1479</v>
      </c>
      <c r="BO55" s="39" t="s">
        <v>74</v>
      </c>
      <c r="BP55" s="39"/>
      <c r="BQ55" s="2" t="s">
        <v>74</v>
      </c>
      <c r="BR55" s="2" t="s">
        <v>107</v>
      </c>
      <c r="BS55" s="2" t="s">
        <v>107</v>
      </c>
      <c r="BT55" s="2" t="s">
        <v>107</v>
      </c>
      <c r="BU55" s="2" t="s">
        <v>107</v>
      </c>
      <c r="BV55" s="2" t="s">
        <v>83</v>
      </c>
      <c r="BW55" s="2" t="s">
        <v>83</v>
      </c>
      <c r="BX55" s="8"/>
      <c r="BY55" s="2" t="s">
        <v>107</v>
      </c>
      <c r="BZ55" s="2" t="s">
        <v>107</v>
      </c>
      <c r="CA55" s="2" t="s">
        <v>312</v>
      </c>
      <c r="CB55" s="2" t="s">
        <v>312</v>
      </c>
      <c r="CC55" s="2" t="s">
        <v>370</v>
      </c>
      <c r="CD55" s="2" t="s">
        <v>370</v>
      </c>
      <c r="CE55" s="8"/>
      <c r="CF55" s="8"/>
      <c r="CG55" s="8"/>
      <c r="CH55" s="2" t="s">
        <v>107</v>
      </c>
      <c r="CI55" s="2" t="s">
        <v>171</v>
      </c>
      <c r="CJ55" s="2" t="s">
        <v>171</v>
      </c>
      <c r="CK55" s="2" t="s">
        <v>233</v>
      </c>
      <c r="CL55" s="2" t="s">
        <v>233</v>
      </c>
      <c r="CM55" s="8"/>
      <c r="CN55" s="2" t="s">
        <v>233</v>
      </c>
      <c r="CO55" s="2" t="s">
        <v>233</v>
      </c>
      <c r="CP55" s="2" t="s">
        <v>233</v>
      </c>
      <c r="CQ55" s="8"/>
      <c r="CR55" s="2" t="s">
        <v>74</v>
      </c>
      <c r="CS55" s="8"/>
      <c r="CU55" s="8"/>
      <c r="CV55" s="8"/>
      <c r="CW55" s="8"/>
      <c r="CX55" s="8"/>
      <c r="CY55" s="8"/>
      <c r="CZ55" s="8"/>
      <c r="DA55" s="8"/>
      <c r="DB55" s="8"/>
      <c r="DC55" s="8"/>
      <c r="DD55" s="8"/>
      <c r="DE55" s="8"/>
      <c r="DF55" s="8"/>
      <c r="DG55" s="8"/>
      <c r="DH55" s="8"/>
      <c r="DI55" s="8"/>
      <c r="DJ55" s="8"/>
      <c r="DK55" s="8"/>
      <c r="DL55" s="8"/>
      <c r="DM55" s="8"/>
      <c r="DN55" s="8"/>
    </row>
    <row r="56" spans="1:118" ht="15.75" customHeight="1">
      <c r="A56" s="8">
        <v>72</v>
      </c>
      <c r="B56" s="14" t="s">
        <v>1481</v>
      </c>
      <c r="C56" s="8" t="s">
        <v>69</v>
      </c>
      <c r="D56" s="2" t="s">
        <v>70</v>
      </c>
      <c r="E56" s="9">
        <v>43733.917885474541</v>
      </c>
      <c r="F56" s="2" t="s">
        <v>1482</v>
      </c>
      <c r="G56" s="2" t="s">
        <v>1483</v>
      </c>
      <c r="H56" s="2" t="s">
        <v>1484</v>
      </c>
      <c r="I56" s="2" t="s">
        <v>74</v>
      </c>
      <c r="J56" s="10" t="s">
        <v>1485</v>
      </c>
      <c r="K56" s="2" t="s">
        <v>1482</v>
      </c>
      <c r="L56" s="2" t="s">
        <v>1486</v>
      </c>
      <c r="M56" s="2" t="s">
        <v>328</v>
      </c>
      <c r="N56" s="2" t="s">
        <v>328</v>
      </c>
      <c r="O56" s="2" t="s">
        <v>1487</v>
      </c>
      <c r="P56" s="2" t="s">
        <v>1488</v>
      </c>
      <c r="Q56" s="2" t="s">
        <v>1489</v>
      </c>
      <c r="R56" s="2" t="s">
        <v>418</v>
      </c>
      <c r="S56" s="2" t="s">
        <v>418</v>
      </c>
      <c r="T56" s="2">
        <v>2018</v>
      </c>
      <c r="U56" s="2" t="s">
        <v>82</v>
      </c>
      <c r="V56" s="2" t="s">
        <v>74</v>
      </c>
      <c r="W56" s="2" t="s">
        <v>74</v>
      </c>
      <c r="X56" s="2" t="s">
        <v>119</v>
      </c>
      <c r="Y56" s="2" t="s">
        <v>119</v>
      </c>
      <c r="Z56" s="2" t="s">
        <v>966</v>
      </c>
      <c r="AA56" s="2" t="s">
        <v>966</v>
      </c>
      <c r="AB56" s="2" t="s">
        <v>85</v>
      </c>
      <c r="AC56" s="2" t="s">
        <v>85</v>
      </c>
      <c r="AD56" s="2" t="s">
        <v>95</v>
      </c>
      <c r="AE56" s="2" t="s">
        <v>1490</v>
      </c>
      <c r="AF56" s="2" t="s">
        <v>1490</v>
      </c>
      <c r="AG56" s="2" t="s">
        <v>676</v>
      </c>
      <c r="AH56" s="2" t="s">
        <v>676</v>
      </c>
      <c r="AI56" s="2" t="s">
        <v>161</v>
      </c>
      <c r="AJ56" s="2" t="s">
        <v>161</v>
      </c>
      <c r="AK56" s="2" t="s">
        <v>107</v>
      </c>
      <c r="AL56" s="2" t="s">
        <v>107</v>
      </c>
      <c r="AM56" s="8"/>
      <c r="AN56" s="2" t="s">
        <v>125</v>
      </c>
      <c r="AO56" s="2" t="s">
        <v>126</v>
      </c>
      <c r="AP56" s="2" t="s">
        <v>126</v>
      </c>
      <c r="AQ56" s="2" t="s">
        <v>91</v>
      </c>
      <c r="AR56" s="2" t="s">
        <v>91</v>
      </c>
      <c r="AS56" s="2" t="s">
        <v>284</v>
      </c>
      <c r="AT56" s="2" t="s">
        <v>284</v>
      </c>
      <c r="AU56" s="2" t="s">
        <v>93</v>
      </c>
      <c r="AV56" s="2" t="s">
        <v>93</v>
      </c>
      <c r="AW56" s="2" t="s">
        <v>163</v>
      </c>
      <c r="AX56" s="2" t="s">
        <v>163</v>
      </c>
      <c r="AY56" s="2" t="s">
        <v>74</v>
      </c>
      <c r="AZ56" s="2" t="s">
        <v>74</v>
      </c>
      <c r="BA56" s="2" t="s">
        <v>1491</v>
      </c>
      <c r="BB56" s="2" t="s">
        <v>1491</v>
      </c>
      <c r="BC56" s="2" t="s">
        <v>74</v>
      </c>
      <c r="BD56" s="2" t="s">
        <v>74</v>
      </c>
      <c r="BE56" s="2" t="s">
        <v>74</v>
      </c>
      <c r="BF56" s="2" t="s">
        <v>74</v>
      </c>
      <c r="BG56" s="2" t="s">
        <v>74</v>
      </c>
      <c r="BH56" s="2" t="s">
        <v>97</v>
      </c>
      <c r="BI56" s="2" t="s">
        <v>97</v>
      </c>
      <c r="BJ56" s="2" t="s">
        <v>130</v>
      </c>
      <c r="BK56" s="2" t="s">
        <v>130</v>
      </c>
      <c r="BL56" s="2" t="s">
        <v>945</v>
      </c>
      <c r="BM56" s="2" t="s">
        <v>945</v>
      </c>
      <c r="BN56" s="2" t="s">
        <v>365</v>
      </c>
      <c r="BO56" s="2" t="s">
        <v>74</v>
      </c>
      <c r="BP56" s="2" t="s">
        <v>2222</v>
      </c>
      <c r="BQ56" s="2" t="s">
        <v>74</v>
      </c>
      <c r="BR56" s="2" t="s">
        <v>101</v>
      </c>
      <c r="BS56" s="2" t="s">
        <v>101</v>
      </c>
      <c r="BT56" s="2" t="s">
        <v>107</v>
      </c>
      <c r="BU56" s="2" t="s">
        <v>107</v>
      </c>
      <c r="BV56" s="2" t="s">
        <v>233</v>
      </c>
      <c r="BW56" s="2" t="s">
        <v>233</v>
      </c>
      <c r="BX56" s="8"/>
      <c r="BY56" s="2" t="s">
        <v>233</v>
      </c>
      <c r="BZ56" s="2" t="s">
        <v>233</v>
      </c>
      <c r="CA56" s="2" t="s">
        <v>761</v>
      </c>
      <c r="CB56" s="2" t="s">
        <v>761</v>
      </c>
      <c r="CC56" s="2" t="s">
        <v>135</v>
      </c>
      <c r="CD56" s="2" t="s">
        <v>135</v>
      </c>
      <c r="CE56" s="2" t="s">
        <v>861</v>
      </c>
      <c r="CF56" s="2" t="s">
        <v>861</v>
      </c>
      <c r="CG56" s="2" t="s">
        <v>1492</v>
      </c>
      <c r="CH56" s="2">
        <v>0</v>
      </c>
      <c r="CI56" s="2" t="s">
        <v>171</v>
      </c>
      <c r="CJ56" s="2" t="s">
        <v>171</v>
      </c>
      <c r="CK56" s="2" t="s">
        <v>233</v>
      </c>
      <c r="CL56" s="2" t="s">
        <v>141</v>
      </c>
      <c r="CM56" s="8"/>
      <c r="CN56" s="2" t="s">
        <v>143</v>
      </c>
      <c r="CO56" s="2" t="s">
        <v>143</v>
      </c>
      <c r="CP56" s="2" t="s">
        <v>233</v>
      </c>
      <c r="CQ56" s="8"/>
      <c r="CR56" s="2" t="s">
        <v>74</v>
      </c>
      <c r="CS56" s="8"/>
      <c r="CT56" s="8"/>
      <c r="CU56" s="8"/>
      <c r="CV56" s="8"/>
      <c r="CW56" s="8"/>
      <c r="CX56" s="8"/>
      <c r="CY56" s="8"/>
      <c r="CZ56" s="8"/>
      <c r="DA56" s="8"/>
      <c r="DB56" s="8"/>
      <c r="DC56" s="8"/>
      <c r="DD56" s="8"/>
      <c r="DE56" s="8"/>
      <c r="DF56" s="8"/>
      <c r="DG56" s="8"/>
      <c r="DH56" s="8"/>
      <c r="DI56" s="8"/>
      <c r="DJ56" s="8"/>
      <c r="DK56" s="8"/>
      <c r="DL56" s="8"/>
      <c r="DM56" s="8"/>
      <c r="DN56" s="8"/>
    </row>
    <row r="57" spans="1:118" ht="15.75" customHeight="1">
      <c r="A57" s="8">
        <v>73</v>
      </c>
      <c r="B57" s="8"/>
      <c r="C57" s="2" t="s">
        <v>69</v>
      </c>
      <c r="D57" s="2" t="s">
        <v>70</v>
      </c>
      <c r="E57" s="9">
        <v>43735.447957673612</v>
      </c>
      <c r="F57" s="2" t="s">
        <v>1493</v>
      </c>
      <c r="G57" s="2" t="s">
        <v>1494</v>
      </c>
      <c r="H57" s="2" t="s">
        <v>1495</v>
      </c>
      <c r="I57" s="2" t="s">
        <v>74</v>
      </c>
      <c r="J57" s="10" t="s">
        <v>1496</v>
      </c>
      <c r="K57" s="2" t="s">
        <v>1497</v>
      </c>
      <c r="L57" s="2" t="s">
        <v>1498</v>
      </c>
      <c r="M57" s="2" t="s">
        <v>328</v>
      </c>
      <c r="N57" s="2" t="s">
        <v>328</v>
      </c>
      <c r="O57" s="2" t="s">
        <v>356</v>
      </c>
      <c r="P57" s="2" t="s">
        <v>1499</v>
      </c>
      <c r="Q57" s="2" t="s">
        <v>1500</v>
      </c>
      <c r="R57" s="2" t="s">
        <v>81</v>
      </c>
      <c r="S57" s="2" t="s">
        <v>81</v>
      </c>
      <c r="T57" s="2">
        <v>2018</v>
      </c>
      <c r="U57" s="2" t="s">
        <v>82</v>
      </c>
      <c r="V57" s="2" t="s">
        <v>74</v>
      </c>
      <c r="W57" s="2" t="s">
        <v>74</v>
      </c>
      <c r="X57" s="2" t="s">
        <v>1501</v>
      </c>
      <c r="Y57" s="38" t="s">
        <v>611</v>
      </c>
      <c r="Z57" s="2" t="s">
        <v>360</v>
      </c>
      <c r="AA57" s="2" t="s">
        <v>360</v>
      </c>
      <c r="AB57" s="2" t="s">
        <v>85</v>
      </c>
      <c r="AC57" s="2" t="s">
        <v>85</v>
      </c>
      <c r="AD57" s="2" t="s">
        <v>74</v>
      </c>
      <c r="AE57" s="2" t="s">
        <v>1502</v>
      </c>
      <c r="AF57" s="2" t="s">
        <v>1502</v>
      </c>
      <c r="AG57" s="2" t="s">
        <v>87</v>
      </c>
      <c r="AH57" s="2" t="s">
        <v>87</v>
      </c>
      <c r="AI57" s="2" t="s">
        <v>366</v>
      </c>
      <c r="AJ57" s="2" t="s">
        <v>366</v>
      </c>
      <c r="AK57" s="2" t="s">
        <v>107</v>
      </c>
      <c r="AL57" s="2" t="s">
        <v>107</v>
      </c>
      <c r="AM57" s="8"/>
      <c r="AN57" s="2" t="s">
        <v>125</v>
      </c>
      <c r="AO57" s="2" t="s">
        <v>90</v>
      </c>
      <c r="AP57" s="2" t="s">
        <v>90</v>
      </c>
      <c r="AQ57" s="2" t="s">
        <v>1227</v>
      </c>
      <c r="AR57" s="2" t="s">
        <v>1227</v>
      </c>
      <c r="AS57" s="2" t="s">
        <v>548</v>
      </c>
      <c r="AT57" s="2" t="s">
        <v>548</v>
      </c>
      <c r="AU57" s="2" t="s">
        <v>93</v>
      </c>
      <c r="AV57" s="2" t="s">
        <v>93</v>
      </c>
      <c r="AW57" s="2" t="s">
        <v>163</v>
      </c>
      <c r="AX57" s="2" t="s">
        <v>163</v>
      </c>
      <c r="AY57" s="2" t="s">
        <v>74</v>
      </c>
      <c r="AZ57" s="2" t="s">
        <v>74</v>
      </c>
      <c r="BA57" s="2" t="s">
        <v>1503</v>
      </c>
      <c r="BB57" s="2" t="s">
        <v>550</v>
      </c>
      <c r="BC57" s="2" t="s">
        <v>74</v>
      </c>
      <c r="BD57" s="2" t="s">
        <v>74</v>
      </c>
      <c r="BE57" s="2" t="s">
        <v>107</v>
      </c>
      <c r="BF57" s="2" t="s">
        <v>107</v>
      </c>
      <c r="BG57" s="2" t="s">
        <v>74</v>
      </c>
      <c r="BH57" s="2" t="s">
        <v>97</v>
      </c>
      <c r="BI57" s="2" t="s">
        <v>97</v>
      </c>
      <c r="BJ57" s="2" t="s">
        <v>130</v>
      </c>
      <c r="BK57" s="2" t="s">
        <v>130</v>
      </c>
      <c r="BL57" s="2" t="s">
        <v>308</v>
      </c>
      <c r="BM57" s="2" t="s">
        <v>308</v>
      </c>
      <c r="BN57" s="2" t="s">
        <v>1504</v>
      </c>
      <c r="BO57" s="2" t="s">
        <v>74</v>
      </c>
      <c r="BP57" s="2" t="s">
        <v>2207</v>
      </c>
      <c r="BQ57" s="2" t="s">
        <v>83</v>
      </c>
      <c r="BR57" s="2" t="s">
        <v>107</v>
      </c>
      <c r="BS57" s="2" t="s">
        <v>107</v>
      </c>
      <c r="BT57" s="2" t="s">
        <v>857</v>
      </c>
      <c r="BU57" s="2" t="s">
        <v>857</v>
      </c>
      <c r="BV57" s="2" t="s">
        <v>107</v>
      </c>
      <c r="BW57" s="2" t="s">
        <v>107</v>
      </c>
      <c r="BX57" s="8"/>
      <c r="BY57" s="2" t="s">
        <v>107</v>
      </c>
      <c r="BZ57" s="2" t="s">
        <v>107</v>
      </c>
      <c r="CA57" s="2" t="s">
        <v>167</v>
      </c>
      <c r="CB57" s="2" t="s">
        <v>167</v>
      </c>
      <c r="CC57" s="8"/>
      <c r="CD57" s="8"/>
      <c r="CE57" s="8"/>
      <c r="CF57" s="8"/>
      <c r="CG57" s="8"/>
      <c r="CH57" s="2" t="s">
        <v>107</v>
      </c>
      <c r="CI57" s="2" t="s">
        <v>108</v>
      </c>
      <c r="CJ57" s="2" t="s">
        <v>108</v>
      </c>
      <c r="CK57" s="2" t="s">
        <v>74</v>
      </c>
      <c r="CL57" s="2" t="s">
        <v>233</v>
      </c>
      <c r="CM57" s="8"/>
      <c r="CN57" s="2" t="s">
        <v>1505</v>
      </c>
      <c r="CO57" s="2" t="s">
        <v>233</v>
      </c>
      <c r="CP57" s="2" t="s">
        <v>233</v>
      </c>
      <c r="CQ57" s="8"/>
      <c r="CR57" s="2" t="s">
        <v>74</v>
      </c>
      <c r="CS57" s="2" t="s">
        <v>1506</v>
      </c>
      <c r="CT57" s="8"/>
      <c r="CU57" s="8"/>
      <c r="CV57" s="8"/>
      <c r="CW57" s="8"/>
      <c r="CX57" s="8"/>
      <c r="CY57" s="8"/>
      <c r="CZ57" s="8"/>
      <c r="DA57" s="8"/>
      <c r="DB57" s="8"/>
      <c r="DC57" s="8"/>
      <c r="DD57" s="8"/>
      <c r="DE57" s="8"/>
      <c r="DF57" s="8"/>
      <c r="DG57" s="8"/>
      <c r="DH57" s="8"/>
      <c r="DI57" s="8"/>
      <c r="DJ57" s="8"/>
      <c r="DK57" s="8"/>
      <c r="DL57" s="8"/>
      <c r="DM57" s="8"/>
      <c r="DN57" s="8"/>
    </row>
    <row r="58" spans="1:118" ht="15.75" customHeight="1">
      <c r="A58" s="8">
        <v>74</v>
      </c>
      <c r="B58" s="8"/>
      <c r="C58" s="2" t="s">
        <v>69</v>
      </c>
      <c r="D58" s="2" t="s">
        <v>70</v>
      </c>
      <c r="E58" s="9">
        <v>43735.635680949075</v>
      </c>
      <c r="F58" s="2" t="s">
        <v>1507</v>
      </c>
      <c r="G58" s="2" t="s">
        <v>1508</v>
      </c>
      <c r="H58" s="2" t="s">
        <v>1509</v>
      </c>
      <c r="I58" s="2" t="s">
        <v>74</v>
      </c>
      <c r="J58" s="10" t="s">
        <v>1510</v>
      </c>
      <c r="K58" s="2" t="s">
        <v>1507</v>
      </c>
      <c r="L58" s="2" t="s">
        <v>1511</v>
      </c>
      <c r="M58" s="2" t="s">
        <v>152</v>
      </c>
      <c r="N58" s="2" t="s">
        <v>152</v>
      </c>
      <c r="O58" s="2" t="s">
        <v>687</v>
      </c>
      <c r="P58" s="2" t="s">
        <v>608</v>
      </c>
      <c r="Q58" s="2" t="s">
        <v>1512</v>
      </c>
      <c r="R58" s="2" t="s">
        <v>81</v>
      </c>
      <c r="S58" s="2" t="s">
        <v>81</v>
      </c>
      <c r="T58" s="2">
        <v>2019</v>
      </c>
      <c r="U58" s="2">
        <v>2019</v>
      </c>
      <c r="V58" s="2" t="s">
        <v>74</v>
      </c>
      <c r="W58" s="2" t="s">
        <v>74</v>
      </c>
      <c r="X58" s="2" t="s">
        <v>256</v>
      </c>
      <c r="Y58" s="2" t="s">
        <v>256</v>
      </c>
      <c r="Z58" s="2" t="s">
        <v>1513</v>
      </c>
      <c r="AA58" s="2" t="s">
        <v>1513</v>
      </c>
      <c r="AB58" s="2" t="s">
        <v>1514</v>
      </c>
      <c r="AC58" s="38" t="s">
        <v>453</v>
      </c>
      <c r="AD58" s="2" t="s">
        <v>74</v>
      </c>
      <c r="AE58" s="2" t="s">
        <v>854</v>
      </c>
      <c r="AF58" s="2" t="s">
        <v>854</v>
      </c>
      <c r="AG58" s="2" t="s">
        <v>87</v>
      </c>
      <c r="AH58" s="2" t="s">
        <v>87</v>
      </c>
      <c r="AI58" s="2" t="s">
        <v>366</v>
      </c>
      <c r="AJ58" s="2" t="s">
        <v>366</v>
      </c>
      <c r="AK58" s="2" t="s">
        <v>74</v>
      </c>
      <c r="AL58" s="2" t="s">
        <v>74</v>
      </c>
      <c r="AM58" s="2" t="s">
        <v>1515</v>
      </c>
      <c r="AN58" s="2" t="s">
        <v>205</v>
      </c>
      <c r="AO58" s="2" t="s">
        <v>90</v>
      </c>
      <c r="AP58" s="2" t="s">
        <v>90</v>
      </c>
      <c r="AQ58" s="2" t="s">
        <v>1516</v>
      </c>
      <c r="AR58" s="38" t="s">
        <v>738</v>
      </c>
      <c r="AS58" s="2" t="s">
        <v>284</v>
      </c>
      <c r="AT58" s="2" t="s">
        <v>284</v>
      </c>
      <c r="AU58" s="2" t="s">
        <v>1517</v>
      </c>
      <c r="AV58" s="2" t="s">
        <v>353</v>
      </c>
      <c r="AW58" s="2" t="s">
        <v>94</v>
      </c>
      <c r="AX58" s="2" t="s">
        <v>94</v>
      </c>
      <c r="AY58" s="2" t="s">
        <v>74</v>
      </c>
      <c r="AZ58" s="2" t="s">
        <v>83</v>
      </c>
      <c r="BA58" s="2" t="s">
        <v>284</v>
      </c>
      <c r="BB58" s="2" t="s">
        <v>284</v>
      </c>
      <c r="BC58" s="2" t="s">
        <v>208</v>
      </c>
      <c r="BD58" s="2" t="s">
        <v>74</v>
      </c>
      <c r="BE58" s="2" t="s">
        <v>83</v>
      </c>
      <c r="BF58" s="2" t="s">
        <v>83</v>
      </c>
      <c r="BG58" s="2" t="s">
        <v>74</v>
      </c>
      <c r="BH58" s="2" t="s">
        <v>97</v>
      </c>
      <c r="BI58" s="2" t="s">
        <v>97</v>
      </c>
      <c r="BJ58" s="2" t="s">
        <v>1518</v>
      </c>
      <c r="BK58" s="2" t="s">
        <v>738</v>
      </c>
      <c r="BL58" s="2" t="s">
        <v>1519</v>
      </c>
      <c r="BM58" s="2" t="s">
        <v>1519</v>
      </c>
      <c r="BN58" s="2" t="s">
        <v>166</v>
      </c>
      <c r="BO58" s="39" t="s">
        <v>83</v>
      </c>
      <c r="BP58" s="39"/>
      <c r="BQ58" s="2" t="s">
        <v>83</v>
      </c>
      <c r="BR58" s="2" t="s">
        <v>101</v>
      </c>
      <c r="BS58" s="2" t="s">
        <v>101</v>
      </c>
      <c r="BT58" s="2" t="s">
        <v>1520</v>
      </c>
      <c r="BU58" s="2" t="s">
        <v>284</v>
      </c>
      <c r="BV58" s="2" t="s">
        <v>83</v>
      </c>
      <c r="BW58" s="2" t="s">
        <v>83</v>
      </c>
      <c r="BX58" s="8"/>
      <c r="BY58" s="2" t="s">
        <v>233</v>
      </c>
      <c r="BZ58" s="2" t="s">
        <v>233</v>
      </c>
      <c r="CA58" s="2" t="s">
        <v>167</v>
      </c>
      <c r="CB58" s="2" t="s">
        <v>167</v>
      </c>
      <c r="CC58" s="2" t="s">
        <v>1407</v>
      </c>
      <c r="CD58" s="2" t="s">
        <v>1407</v>
      </c>
      <c r="CE58" s="2" t="s">
        <v>168</v>
      </c>
      <c r="CF58" s="2" t="s">
        <v>168</v>
      </c>
      <c r="CG58" s="2" t="s">
        <v>1521</v>
      </c>
      <c r="CH58" s="2" t="s">
        <v>233</v>
      </c>
      <c r="CI58" s="2" t="s">
        <v>139</v>
      </c>
      <c r="CJ58" s="2" t="s">
        <v>139</v>
      </c>
      <c r="CK58" s="2" t="s">
        <v>83</v>
      </c>
      <c r="CL58" s="2" t="s">
        <v>141</v>
      </c>
      <c r="CM58" s="8"/>
      <c r="CN58" s="2" t="s">
        <v>1522</v>
      </c>
      <c r="CO58" s="2" t="s">
        <v>2346</v>
      </c>
      <c r="CP58" s="2" t="s">
        <v>1524</v>
      </c>
      <c r="CQ58" s="8"/>
      <c r="CR58" s="2" t="s">
        <v>74</v>
      </c>
      <c r="CS58" s="8"/>
      <c r="CU58" s="8"/>
      <c r="CV58" s="8"/>
      <c r="CW58" s="8"/>
      <c r="CX58" s="8"/>
      <c r="CY58" s="8"/>
      <c r="CZ58" s="8"/>
      <c r="DA58" s="8"/>
      <c r="DB58" s="8"/>
      <c r="DC58" s="8"/>
      <c r="DD58" s="8"/>
      <c r="DE58" s="8"/>
      <c r="DF58" s="8"/>
      <c r="DG58" s="8"/>
      <c r="DH58" s="8"/>
      <c r="DI58" s="8"/>
      <c r="DJ58" s="8"/>
      <c r="DK58" s="8"/>
      <c r="DL58" s="8"/>
      <c r="DM58" s="8"/>
      <c r="DN58" s="8"/>
    </row>
    <row r="59" spans="1:118" ht="15.75" customHeight="1">
      <c r="A59" s="8">
        <v>75</v>
      </c>
      <c r="B59" s="8"/>
      <c r="C59" s="2" t="s">
        <v>69</v>
      </c>
      <c r="D59" s="2" t="s">
        <v>70</v>
      </c>
      <c r="E59" s="9">
        <v>43740.522517361111</v>
      </c>
      <c r="F59" s="2" t="s">
        <v>1525</v>
      </c>
      <c r="G59" s="2" t="s">
        <v>1526</v>
      </c>
      <c r="H59" s="2" t="s">
        <v>1527</v>
      </c>
      <c r="I59" s="2" t="s">
        <v>74</v>
      </c>
      <c r="J59" s="10" t="s">
        <v>1528</v>
      </c>
      <c r="K59" s="2" t="s">
        <v>1529</v>
      </c>
      <c r="L59" s="2" t="s">
        <v>1530</v>
      </c>
      <c r="M59" s="2" t="s">
        <v>152</v>
      </c>
      <c r="N59" s="2" t="s">
        <v>152</v>
      </c>
      <c r="O59" s="2" t="s">
        <v>653</v>
      </c>
      <c r="P59" s="2" t="s">
        <v>654</v>
      </c>
      <c r="Q59" s="2" t="s">
        <v>1531</v>
      </c>
      <c r="R59" s="2" t="s">
        <v>1532</v>
      </c>
      <c r="S59" s="2" t="s">
        <v>1532</v>
      </c>
      <c r="T59" s="2">
        <v>2016</v>
      </c>
      <c r="U59" s="2" t="s">
        <v>82</v>
      </c>
      <c r="V59" s="2" t="s">
        <v>83</v>
      </c>
      <c r="W59" s="2" t="s">
        <v>83</v>
      </c>
      <c r="X59" s="8"/>
      <c r="Y59" s="8"/>
      <c r="Z59" s="2" t="s">
        <v>156</v>
      </c>
      <c r="AA59" s="2" t="s">
        <v>156</v>
      </c>
      <c r="AB59" s="2" t="s">
        <v>731</v>
      </c>
      <c r="AC59" s="2" t="s">
        <v>731</v>
      </c>
      <c r="AD59" s="2" t="s">
        <v>74</v>
      </c>
      <c r="AE59" s="2" t="s">
        <v>715</v>
      </c>
      <c r="AF59" s="2" t="s">
        <v>715</v>
      </c>
      <c r="AG59" s="2" t="s">
        <v>1533</v>
      </c>
      <c r="AH59" s="2" t="s">
        <v>1533</v>
      </c>
      <c r="AI59" s="2" t="s">
        <v>161</v>
      </c>
      <c r="AJ59" s="2" t="s">
        <v>161</v>
      </c>
      <c r="AK59" s="2" t="s">
        <v>83</v>
      </c>
      <c r="AL59" s="2" t="s">
        <v>83</v>
      </c>
      <c r="AM59" s="8"/>
      <c r="AN59" s="2" t="s">
        <v>205</v>
      </c>
      <c r="AO59" s="2" t="s">
        <v>90</v>
      </c>
      <c r="AP59" s="2" t="s">
        <v>90</v>
      </c>
      <c r="AQ59" s="2" t="s">
        <v>1534</v>
      </c>
      <c r="AR59" s="2" t="s">
        <v>1534</v>
      </c>
      <c r="AS59" s="2" t="s">
        <v>92</v>
      </c>
      <c r="AT59" s="2" t="s">
        <v>92</v>
      </c>
      <c r="AU59" s="2" t="s">
        <v>93</v>
      </c>
      <c r="AV59" s="2" t="s">
        <v>93</v>
      </c>
      <c r="AW59" s="2" t="s">
        <v>163</v>
      </c>
      <c r="AX59" s="2" t="s">
        <v>163</v>
      </c>
      <c r="AY59" s="2" t="s">
        <v>74</v>
      </c>
      <c r="AZ59" s="2" t="s">
        <v>74</v>
      </c>
      <c r="BA59" s="2" t="s">
        <v>643</v>
      </c>
      <c r="BB59" s="2" t="s">
        <v>643</v>
      </c>
      <c r="BC59" s="2" t="s">
        <v>83</v>
      </c>
      <c r="BD59" s="2" t="s">
        <v>74</v>
      </c>
      <c r="BE59" s="2" t="s">
        <v>74</v>
      </c>
      <c r="BF59" s="2" t="s">
        <v>74</v>
      </c>
      <c r="BG59" s="2" t="s">
        <v>74</v>
      </c>
      <c r="BH59" s="2" t="s">
        <v>97</v>
      </c>
      <c r="BI59" s="2" t="s">
        <v>97</v>
      </c>
      <c r="BJ59" s="2" t="s">
        <v>92</v>
      </c>
      <c r="BK59" s="2" t="s">
        <v>92</v>
      </c>
      <c r="BL59" s="2" t="s">
        <v>1535</v>
      </c>
      <c r="BM59" s="2" t="s">
        <v>1535</v>
      </c>
      <c r="BN59" s="2" t="s">
        <v>233</v>
      </c>
      <c r="BO59" s="46" t="s">
        <v>2195</v>
      </c>
      <c r="BP59" s="46"/>
      <c r="BQ59" s="2" t="s">
        <v>74</v>
      </c>
      <c r="BR59" s="2" t="s">
        <v>107</v>
      </c>
      <c r="BS59" s="2" t="s">
        <v>107</v>
      </c>
      <c r="BT59" s="2" t="s">
        <v>107</v>
      </c>
      <c r="BU59" s="2" t="s">
        <v>107</v>
      </c>
      <c r="BV59" s="2" t="s">
        <v>83</v>
      </c>
      <c r="BW59" s="2" t="s">
        <v>83</v>
      </c>
      <c r="BX59" s="8"/>
      <c r="BY59" s="2" t="s">
        <v>233</v>
      </c>
      <c r="BZ59" s="2" t="s">
        <v>233</v>
      </c>
      <c r="CA59" s="2" t="s">
        <v>104</v>
      </c>
      <c r="CB59" s="2" t="s">
        <v>104</v>
      </c>
      <c r="CC59" s="2" t="s">
        <v>288</v>
      </c>
      <c r="CD59" s="2" t="s">
        <v>288</v>
      </c>
      <c r="CE59" s="2" t="s">
        <v>861</v>
      </c>
      <c r="CF59" s="2" t="s">
        <v>861</v>
      </c>
      <c r="CG59" s="2" t="s">
        <v>1536</v>
      </c>
      <c r="CH59" s="2" t="s">
        <v>233</v>
      </c>
      <c r="CI59" s="2" t="s">
        <v>341</v>
      </c>
      <c r="CJ59" s="2" t="s">
        <v>171</v>
      </c>
      <c r="CK59" s="2" t="s">
        <v>74</v>
      </c>
      <c r="CL59" s="2">
        <v>0</v>
      </c>
      <c r="CM59" s="8"/>
      <c r="CN59" s="2" t="s">
        <v>233</v>
      </c>
      <c r="CO59" s="2" t="s">
        <v>233</v>
      </c>
      <c r="CP59" s="2" t="s">
        <v>233</v>
      </c>
      <c r="CQ59" s="8"/>
      <c r="CR59" s="2" t="s">
        <v>74</v>
      </c>
      <c r="CS59" s="8"/>
      <c r="CU59" s="8"/>
      <c r="CV59" s="8"/>
      <c r="CW59" s="8"/>
      <c r="CX59" s="8"/>
      <c r="CY59" s="8"/>
      <c r="CZ59" s="8"/>
      <c r="DA59" s="8"/>
      <c r="DB59" s="8"/>
      <c r="DC59" s="8"/>
      <c r="DD59" s="8"/>
      <c r="DE59" s="8"/>
      <c r="DF59" s="8"/>
      <c r="DG59" s="8"/>
      <c r="DH59" s="8"/>
      <c r="DI59" s="8"/>
      <c r="DJ59" s="8"/>
      <c r="DK59" s="8"/>
      <c r="DL59" s="8"/>
      <c r="DM59" s="8"/>
      <c r="DN59" s="8"/>
    </row>
    <row r="60" spans="1:118" ht="15.75" customHeight="1">
      <c r="A60" s="8">
        <v>76</v>
      </c>
      <c r="B60" s="8"/>
      <c r="C60" s="2" t="s">
        <v>69</v>
      </c>
      <c r="D60" s="2" t="s">
        <v>246</v>
      </c>
      <c r="E60" s="9">
        <v>43740.522826064815</v>
      </c>
      <c r="F60" s="2" t="s">
        <v>1537</v>
      </c>
      <c r="G60" s="2" t="s">
        <v>1538</v>
      </c>
      <c r="H60" s="2" t="s">
        <v>1539</v>
      </c>
      <c r="I60" s="2" t="s">
        <v>74</v>
      </c>
      <c r="J60" s="10" t="s">
        <v>1540</v>
      </c>
      <c r="K60" s="2" t="s">
        <v>1537</v>
      </c>
      <c r="L60" s="2" t="s">
        <v>1541</v>
      </c>
      <c r="M60" s="2" t="s">
        <v>152</v>
      </c>
      <c r="N60" s="2" t="s">
        <v>152</v>
      </c>
      <c r="O60" s="2" t="s">
        <v>680</v>
      </c>
      <c r="P60" s="2" t="s">
        <v>608</v>
      </c>
      <c r="Q60" s="2" t="s">
        <v>1542</v>
      </c>
      <c r="R60" s="2" t="s">
        <v>298</v>
      </c>
      <c r="S60" s="2" t="s">
        <v>298</v>
      </c>
      <c r="T60" s="2">
        <v>2011</v>
      </c>
      <c r="U60" s="2" t="s">
        <v>82</v>
      </c>
      <c r="V60" s="2" t="s">
        <v>95</v>
      </c>
      <c r="W60" s="2" t="s">
        <v>95</v>
      </c>
      <c r="X60" s="2" t="s">
        <v>119</v>
      </c>
      <c r="Y60" s="2" t="s">
        <v>119</v>
      </c>
      <c r="Z60" s="2" t="s">
        <v>84</v>
      </c>
      <c r="AA60" s="2" t="s">
        <v>84</v>
      </c>
      <c r="AB60" s="2" t="s">
        <v>258</v>
      </c>
      <c r="AC60" s="2" t="s">
        <v>258</v>
      </c>
      <c r="AD60" s="2" t="s">
        <v>74</v>
      </c>
      <c r="AE60" s="2" t="s">
        <v>224</v>
      </c>
      <c r="AF60" s="2" t="s">
        <v>224</v>
      </c>
      <c r="AG60" s="2" t="s">
        <v>190</v>
      </c>
      <c r="AH60" s="2" t="s">
        <v>190</v>
      </c>
      <c r="AI60" s="2" t="s">
        <v>499</v>
      </c>
      <c r="AJ60" s="2" t="s">
        <v>499</v>
      </c>
      <c r="AK60" s="2" t="s">
        <v>83</v>
      </c>
      <c r="AL60" s="2" t="s">
        <v>83</v>
      </c>
      <c r="AM60" s="8"/>
      <c r="AN60" s="2" t="s">
        <v>205</v>
      </c>
      <c r="AO60" s="2" t="s">
        <v>90</v>
      </c>
      <c r="AP60" s="2" t="s">
        <v>90</v>
      </c>
      <c r="AQ60" s="2" t="s">
        <v>1543</v>
      </c>
      <c r="AR60" s="2" t="s">
        <v>1543</v>
      </c>
      <c r="AS60" s="2" t="s">
        <v>128</v>
      </c>
      <c r="AT60" s="2" t="s">
        <v>128</v>
      </c>
      <c r="AU60" s="2" t="s">
        <v>284</v>
      </c>
      <c r="AV60" s="2" t="s">
        <v>284</v>
      </c>
      <c r="AW60" s="2" t="s">
        <v>94</v>
      </c>
      <c r="AX60" s="2" t="s">
        <v>94</v>
      </c>
      <c r="AY60" s="2" t="s">
        <v>74</v>
      </c>
      <c r="AZ60" s="2" t="s">
        <v>74</v>
      </c>
      <c r="BA60" s="2" t="s">
        <v>284</v>
      </c>
      <c r="BB60" s="2" t="s">
        <v>284</v>
      </c>
      <c r="BC60" s="2" t="s">
        <v>74</v>
      </c>
      <c r="BD60" s="2" t="s">
        <v>95</v>
      </c>
      <c r="BE60" s="2" t="s">
        <v>74</v>
      </c>
      <c r="BF60" s="2" t="s">
        <v>74</v>
      </c>
      <c r="BG60" s="2" t="s">
        <v>74</v>
      </c>
      <c r="BH60" s="2" t="s">
        <v>97</v>
      </c>
      <c r="BI60" s="2" t="s">
        <v>97</v>
      </c>
      <c r="BJ60" s="2" t="s">
        <v>130</v>
      </c>
      <c r="BK60" s="2" t="s">
        <v>130</v>
      </c>
      <c r="BL60" s="2" t="s">
        <v>229</v>
      </c>
      <c r="BM60" s="2" t="s">
        <v>229</v>
      </c>
      <c r="BN60" s="2" t="s">
        <v>365</v>
      </c>
      <c r="BO60" s="2" t="s">
        <v>83</v>
      </c>
      <c r="BP60" s="2" t="s">
        <v>2201</v>
      </c>
      <c r="BQ60" s="2" t="s">
        <v>83</v>
      </c>
      <c r="BR60" s="2" t="s">
        <v>107</v>
      </c>
      <c r="BS60" s="2" t="s">
        <v>107</v>
      </c>
      <c r="BT60" s="2" t="s">
        <v>107</v>
      </c>
      <c r="BU60" s="2" t="s">
        <v>107</v>
      </c>
      <c r="BV60" s="2" t="s">
        <v>83</v>
      </c>
      <c r="BW60" s="2" t="s">
        <v>83</v>
      </c>
      <c r="BX60" s="8"/>
      <c r="BY60" s="2" t="s">
        <v>107</v>
      </c>
      <c r="BZ60" s="2" t="s">
        <v>107</v>
      </c>
      <c r="CA60" s="2" t="s">
        <v>268</v>
      </c>
      <c r="CB60" s="2" t="s">
        <v>268</v>
      </c>
      <c r="CC60" s="2" t="s">
        <v>370</v>
      </c>
      <c r="CD60" s="2" t="s">
        <v>370</v>
      </c>
      <c r="CE60" s="2" t="s">
        <v>168</v>
      </c>
      <c r="CF60" s="2" t="s">
        <v>168</v>
      </c>
      <c r="CG60" s="8"/>
      <c r="CH60" s="2" t="s">
        <v>107</v>
      </c>
      <c r="CI60" s="2" t="s">
        <v>140</v>
      </c>
      <c r="CJ60" s="2" t="s">
        <v>235</v>
      </c>
      <c r="CK60" s="2" t="s">
        <v>83</v>
      </c>
      <c r="CL60" s="2" t="s">
        <v>141</v>
      </c>
      <c r="CM60" s="8"/>
      <c r="CN60" s="2" t="s">
        <v>213</v>
      </c>
      <c r="CO60" s="2" t="s">
        <v>213</v>
      </c>
      <c r="CP60" s="2" t="s">
        <v>471</v>
      </c>
      <c r="CQ60" s="8"/>
      <c r="CR60" s="2" t="s">
        <v>74</v>
      </c>
      <c r="CS60" s="8"/>
      <c r="CT60" s="8"/>
      <c r="CU60" s="8"/>
      <c r="CV60" s="8"/>
      <c r="CW60" s="8"/>
      <c r="CX60" s="8"/>
      <c r="CY60" s="8"/>
      <c r="CZ60" s="8"/>
      <c r="DA60" s="8"/>
      <c r="DB60" s="8"/>
      <c r="DC60" s="8"/>
      <c r="DD60" s="8"/>
      <c r="DE60" s="8"/>
      <c r="DF60" s="8"/>
      <c r="DG60" s="8"/>
      <c r="DH60" s="8"/>
      <c r="DI60" s="8"/>
      <c r="DJ60" s="8"/>
      <c r="DK60" s="8"/>
      <c r="DL60" s="8"/>
      <c r="DM60" s="8"/>
      <c r="DN60" s="8"/>
    </row>
    <row r="61" spans="1:118" ht="15.75" customHeight="1">
      <c r="A61" s="8">
        <v>77</v>
      </c>
      <c r="B61" s="8"/>
      <c r="C61" s="2" t="s">
        <v>69</v>
      </c>
      <c r="D61" s="2" t="s">
        <v>70</v>
      </c>
      <c r="E61" s="9">
        <v>43740.555362013889</v>
      </c>
      <c r="F61" s="2" t="s">
        <v>1544</v>
      </c>
      <c r="G61" s="2" t="s">
        <v>1545</v>
      </c>
      <c r="H61" s="2" t="s">
        <v>1546</v>
      </c>
      <c r="I61" s="2" t="s">
        <v>74</v>
      </c>
      <c r="J61" s="10" t="s">
        <v>1547</v>
      </c>
      <c r="K61" s="2" t="s">
        <v>1548</v>
      </c>
      <c r="L61" s="2" t="s">
        <v>1549</v>
      </c>
      <c r="M61" s="2" t="s">
        <v>152</v>
      </c>
      <c r="N61" s="2" t="s">
        <v>152</v>
      </c>
      <c r="O61" s="2" t="s">
        <v>578</v>
      </c>
      <c r="P61" s="2" t="s">
        <v>825</v>
      </c>
      <c r="Q61" s="2" t="s">
        <v>1550</v>
      </c>
      <c r="R61" s="2" t="s">
        <v>81</v>
      </c>
      <c r="S61" s="2" t="s">
        <v>81</v>
      </c>
      <c r="T61" s="2">
        <v>2017</v>
      </c>
      <c r="U61" s="2" t="s">
        <v>82</v>
      </c>
      <c r="V61" s="2" t="s">
        <v>83</v>
      </c>
      <c r="W61" s="2" t="s">
        <v>83</v>
      </c>
      <c r="X61" s="8"/>
      <c r="Y61" s="8"/>
      <c r="Z61" s="2" t="s">
        <v>1551</v>
      </c>
      <c r="AA61" s="38" t="s">
        <v>2123</v>
      </c>
      <c r="AB61" s="2" t="s">
        <v>729</v>
      </c>
      <c r="AC61" s="2" t="s">
        <v>729</v>
      </c>
      <c r="AD61" s="2" t="s">
        <v>74</v>
      </c>
      <c r="AE61" s="2" t="s">
        <v>224</v>
      </c>
      <c r="AF61" s="2" t="s">
        <v>224</v>
      </c>
      <c r="AG61" s="2" t="s">
        <v>190</v>
      </c>
      <c r="AH61" s="2" t="s">
        <v>190</v>
      </c>
      <c r="AI61" s="2" t="s">
        <v>499</v>
      </c>
      <c r="AJ61" s="2" t="s">
        <v>499</v>
      </c>
      <c r="AK61" s="2" t="s">
        <v>74</v>
      </c>
      <c r="AL61" s="2" t="s">
        <v>74</v>
      </c>
      <c r="AM61" s="2" t="s">
        <v>1552</v>
      </c>
      <c r="AN61" s="2" t="s">
        <v>205</v>
      </c>
      <c r="AO61" s="2" t="s">
        <v>90</v>
      </c>
      <c r="AP61" s="2" t="s">
        <v>90</v>
      </c>
      <c r="AQ61" s="2" t="s">
        <v>1553</v>
      </c>
      <c r="AR61" s="2" t="s">
        <v>2153</v>
      </c>
      <c r="AS61" s="2" t="s">
        <v>92</v>
      </c>
      <c r="AT61" s="2" t="s">
        <v>92</v>
      </c>
      <c r="AU61" s="2" t="s">
        <v>93</v>
      </c>
      <c r="AV61" s="2" t="s">
        <v>93</v>
      </c>
      <c r="AW61" s="2" t="s">
        <v>94</v>
      </c>
      <c r="AX61" s="2" t="s">
        <v>94</v>
      </c>
      <c r="AY61" s="2" t="s">
        <v>95</v>
      </c>
      <c r="AZ61" s="2" t="s">
        <v>74</v>
      </c>
      <c r="BA61" s="2" t="s">
        <v>284</v>
      </c>
      <c r="BB61" s="2" t="s">
        <v>284</v>
      </c>
      <c r="BC61" s="2" t="s">
        <v>74</v>
      </c>
      <c r="BD61" s="2" t="s">
        <v>95</v>
      </c>
      <c r="BE61" s="2" t="s">
        <v>74</v>
      </c>
      <c r="BF61" s="2" t="s">
        <v>74</v>
      </c>
      <c r="BG61" s="2" t="s">
        <v>74</v>
      </c>
      <c r="BH61" s="2" t="s">
        <v>97</v>
      </c>
      <c r="BI61" s="2" t="s">
        <v>97</v>
      </c>
      <c r="BJ61" s="2" t="s">
        <v>130</v>
      </c>
      <c r="BK61" s="2" t="s">
        <v>130</v>
      </c>
      <c r="BL61" s="2" t="s">
        <v>1554</v>
      </c>
      <c r="BM61" s="2" t="s">
        <v>1554</v>
      </c>
      <c r="BN61" s="2" t="s">
        <v>1096</v>
      </c>
      <c r="BO61" s="2" t="s">
        <v>74</v>
      </c>
      <c r="BP61" s="2" t="s">
        <v>2200</v>
      </c>
      <c r="BQ61" s="2" t="s">
        <v>74</v>
      </c>
      <c r="BR61" s="2" t="s">
        <v>977</v>
      </c>
      <c r="BS61" s="2" t="s">
        <v>980</v>
      </c>
      <c r="BT61" s="2" t="s">
        <v>107</v>
      </c>
      <c r="BU61" s="2" t="s">
        <v>107</v>
      </c>
      <c r="BV61" s="2" t="s">
        <v>233</v>
      </c>
      <c r="BW61" s="2" t="s">
        <v>233</v>
      </c>
      <c r="BX61" s="8"/>
      <c r="BY61" s="2" t="s">
        <v>233</v>
      </c>
      <c r="BZ61" s="2" t="s">
        <v>233</v>
      </c>
      <c r="CA61" s="2" t="s">
        <v>368</v>
      </c>
      <c r="CB61" s="2" t="s">
        <v>368</v>
      </c>
      <c r="CC61" s="2" t="s">
        <v>168</v>
      </c>
      <c r="CD61" s="2" t="s">
        <v>168</v>
      </c>
      <c r="CE61" s="2" t="s">
        <v>168</v>
      </c>
      <c r="CF61" s="2" t="s">
        <v>168</v>
      </c>
      <c r="CG61" s="2" t="s">
        <v>1555</v>
      </c>
      <c r="CH61" s="2">
        <v>0</v>
      </c>
      <c r="CI61" s="2" t="s">
        <v>171</v>
      </c>
      <c r="CJ61" s="2" t="s">
        <v>139</v>
      </c>
      <c r="CK61" s="2" t="s">
        <v>83</v>
      </c>
      <c r="CL61" s="2" t="s">
        <v>270</v>
      </c>
      <c r="CM61" s="8"/>
      <c r="CN61" s="2" t="s">
        <v>572</v>
      </c>
      <c r="CO61" s="2" t="s">
        <v>572</v>
      </c>
      <c r="CP61" s="2" t="s">
        <v>272</v>
      </c>
      <c r="CQ61" s="8"/>
      <c r="CR61" s="2" t="s">
        <v>74</v>
      </c>
      <c r="CS61" s="8"/>
      <c r="CT61" s="8"/>
      <c r="CU61" s="8"/>
      <c r="CV61" s="8"/>
      <c r="CW61" s="8"/>
      <c r="CX61" s="8"/>
      <c r="CY61" s="8"/>
      <c r="CZ61" s="8"/>
      <c r="DA61" s="8"/>
      <c r="DB61" s="8"/>
      <c r="DC61" s="8"/>
      <c r="DD61" s="8"/>
      <c r="DE61" s="8"/>
      <c r="DF61" s="8"/>
      <c r="DG61" s="8"/>
      <c r="DH61" s="8"/>
      <c r="DI61" s="8"/>
      <c r="DJ61" s="8"/>
      <c r="DK61" s="8"/>
      <c r="DL61" s="8"/>
      <c r="DM61" s="8"/>
      <c r="DN61" s="8"/>
    </row>
    <row r="62" spans="1:118" ht="15.75" customHeight="1">
      <c r="A62" s="8">
        <v>79</v>
      </c>
      <c r="B62" s="8"/>
      <c r="C62" s="2" t="s">
        <v>1556</v>
      </c>
      <c r="D62" s="2" t="s">
        <v>70</v>
      </c>
      <c r="E62" s="9">
        <v>43754.632873368057</v>
      </c>
      <c r="F62" s="2" t="s">
        <v>1557</v>
      </c>
      <c r="G62" s="2" t="s">
        <v>1557</v>
      </c>
      <c r="H62" s="2" t="s">
        <v>1558</v>
      </c>
      <c r="I62" s="2" t="s">
        <v>83</v>
      </c>
      <c r="J62" s="10" t="s">
        <v>1559</v>
      </c>
      <c r="K62" s="10" t="s">
        <v>1559</v>
      </c>
      <c r="L62" s="2" t="s">
        <v>1560</v>
      </c>
      <c r="M62" s="2" t="s">
        <v>1561</v>
      </c>
      <c r="N62" s="2" t="s">
        <v>77</v>
      </c>
      <c r="O62" s="2" t="s">
        <v>684</v>
      </c>
      <c r="P62" s="2" t="s">
        <v>967</v>
      </c>
      <c r="Q62" s="2" t="s">
        <v>1562</v>
      </c>
      <c r="R62" s="2" t="s">
        <v>118</v>
      </c>
      <c r="S62" s="2" t="s">
        <v>118</v>
      </c>
      <c r="T62" s="2">
        <v>2015</v>
      </c>
      <c r="U62" s="2">
        <v>2017</v>
      </c>
      <c r="V62" s="2" t="s">
        <v>95</v>
      </c>
      <c r="W62" s="2" t="s">
        <v>95</v>
      </c>
      <c r="X62" s="2" t="s">
        <v>119</v>
      </c>
      <c r="Y62" s="2" t="s">
        <v>119</v>
      </c>
      <c r="Z62" s="2" t="s">
        <v>1563</v>
      </c>
      <c r="AA62" s="38" t="s">
        <v>2120</v>
      </c>
      <c r="AB62" s="2" t="s">
        <v>120</v>
      </c>
      <c r="AC62" s="2" t="s">
        <v>120</v>
      </c>
      <c r="AD62" s="2" t="s">
        <v>74</v>
      </c>
      <c r="AE62" s="2" t="s">
        <v>1564</v>
      </c>
      <c r="AF62" s="38" t="s">
        <v>2136</v>
      </c>
      <c r="AG62" s="2" t="s">
        <v>190</v>
      </c>
      <c r="AH62" s="2" t="s">
        <v>190</v>
      </c>
      <c r="AI62" s="2" t="s">
        <v>499</v>
      </c>
      <c r="AJ62" s="2" t="s">
        <v>499</v>
      </c>
      <c r="AK62" s="2" t="s">
        <v>107</v>
      </c>
      <c r="AL62" s="2" t="s">
        <v>107</v>
      </c>
      <c r="AM62" s="8"/>
      <c r="AN62" s="2" t="s">
        <v>125</v>
      </c>
      <c r="AO62" s="2" t="s">
        <v>126</v>
      </c>
      <c r="AP62" s="2" t="s">
        <v>126</v>
      </c>
      <c r="AQ62" s="2" t="s">
        <v>1565</v>
      </c>
      <c r="AR62" s="2" t="s">
        <v>2152</v>
      </c>
      <c r="AS62" s="2" t="s">
        <v>92</v>
      </c>
      <c r="AT62" s="2" t="s">
        <v>92</v>
      </c>
      <c r="AU62" s="2" t="s">
        <v>107</v>
      </c>
      <c r="AV62" s="2" t="s">
        <v>107</v>
      </c>
      <c r="AW62" s="2" t="s">
        <v>107</v>
      </c>
      <c r="AX62" s="2" t="s">
        <v>107</v>
      </c>
      <c r="AY62" s="2" t="s">
        <v>107</v>
      </c>
      <c r="AZ62" s="2" t="s">
        <v>74</v>
      </c>
      <c r="BA62" s="2" t="s">
        <v>107</v>
      </c>
      <c r="BB62" s="2" t="s">
        <v>107</v>
      </c>
      <c r="BC62" s="2" t="s">
        <v>74</v>
      </c>
      <c r="BD62" s="2" t="s">
        <v>74</v>
      </c>
      <c r="BE62" s="2" t="s">
        <v>74</v>
      </c>
      <c r="BF62" s="2" t="s">
        <v>74</v>
      </c>
      <c r="BG62" s="2" t="s">
        <v>107</v>
      </c>
      <c r="BH62" s="2" t="s">
        <v>97</v>
      </c>
      <c r="BI62" s="2" t="s">
        <v>97</v>
      </c>
      <c r="BJ62" s="2" t="s">
        <v>107</v>
      </c>
      <c r="BK62" s="2" t="s">
        <v>107</v>
      </c>
      <c r="BL62" s="2" t="s">
        <v>1566</v>
      </c>
      <c r="BM62" s="2" t="s">
        <v>1566</v>
      </c>
      <c r="BN62" s="2" t="s">
        <v>107</v>
      </c>
      <c r="BO62" s="39" t="s">
        <v>107</v>
      </c>
      <c r="BP62" s="39"/>
      <c r="BQ62" s="2" t="s">
        <v>107</v>
      </c>
      <c r="BR62" s="2" t="s">
        <v>107</v>
      </c>
      <c r="BS62" s="2" t="s">
        <v>107</v>
      </c>
      <c r="BT62" s="2" t="s">
        <v>107</v>
      </c>
      <c r="BU62" s="2" t="s">
        <v>107</v>
      </c>
      <c r="BV62" s="2" t="s">
        <v>107</v>
      </c>
      <c r="BW62" s="2" t="s">
        <v>107</v>
      </c>
      <c r="BX62" s="8"/>
      <c r="BY62" s="2" t="s">
        <v>107</v>
      </c>
      <c r="BZ62" s="2" t="s">
        <v>107</v>
      </c>
      <c r="CA62" s="2" t="s">
        <v>107</v>
      </c>
      <c r="CB62" s="2" t="s">
        <v>107</v>
      </c>
      <c r="CC62" s="2" t="s">
        <v>107</v>
      </c>
      <c r="CD62" s="2" t="s">
        <v>107</v>
      </c>
      <c r="CE62" s="2" t="s">
        <v>107</v>
      </c>
      <c r="CF62" s="2" t="s">
        <v>107</v>
      </c>
      <c r="CG62" s="8"/>
      <c r="CH62" s="2" t="s">
        <v>107</v>
      </c>
      <c r="CI62" s="2" t="s">
        <v>108</v>
      </c>
      <c r="CJ62" s="2" t="s">
        <v>108</v>
      </c>
      <c r="CK62" s="2" t="s">
        <v>74</v>
      </c>
      <c r="CL62" s="2" t="s">
        <v>107</v>
      </c>
      <c r="CM62" s="8"/>
      <c r="CN62" s="2" t="s">
        <v>107</v>
      </c>
      <c r="CO62" s="2" t="s">
        <v>107</v>
      </c>
      <c r="CP62" s="2" t="s">
        <v>107</v>
      </c>
      <c r="CQ62" s="8"/>
      <c r="CR62" s="2" t="s">
        <v>83</v>
      </c>
      <c r="CS62" s="8"/>
      <c r="CU62" s="8"/>
      <c r="CV62" s="8"/>
      <c r="CW62" s="8"/>
      <c r="CX62" s="8"/>
      <c r="CY62" s="8"/>
      <c r="CZ62" s="8"/>
      <c r="DA62" s="8"/>
      <c r="DB62" s="8"/>
      <c r="DC62" s="8"/>
      <c r="DD62" s="8"/>
      <c r="DE62" s="8"/>
      <c r="DF62" s="8"/>
      <c r="DG62" s="8"/>
      <c r="DH62" s="8"/>
      <c r="DI62" s="8"/>
      <c r="DJ62" s="8"/>
      <c r="DK62" s="8"/>
      <c r="DL62" s="8"/>
      <c r="DM62" s="8"/>
      <c r="DN62" s="8"/>
    </row>
    <row r="63" spans="1:118" ht="15.75" customHeight="1">
      <c r="A63" s="8">
        <v>81</v>
      </c>
      <c r="B63" s="8"/>
      <c r="C63" s="120" t="s">
        <v>69</v>
      </c>
      <c r="D63" s="2" t="s">
        <v>70</v>
      </c>
      <c r="E63" s="9">
        <v>43777.768168043985</v>
      </c>
      <c r="F63" s="2" t="s">
        <v>1567</v>
      </c>
      <c r="G63" s="2" t="s">
        <v>1568</v>
      </c>
      <c r="H63" s="2" t="s">
        <v>1569</v>
      </c>
      <c r="I63" s="2" t="s">
        <v>74</v>
      </c>
      <c r="J63" s="10" t="s">
        <v>1570</v>
      </c>
      <c r="K63" s="2" t="s">
        <v>1573</v>
      </c>
      <c r="L63" s="2" t="s">
        <v>1574</v>
      </c>
      <c r="M63" s="2" t="s">
        <v>328</v>
      </c>
      <c r="N63" s="2" t="s">
        <v>328</v>
      </c>
      <c r="O63" s="2" t="s">
        <v>1575</v>
      </c>
      <c r="P63" s="2" t="s">
        <v>608</v>
      </c>
      <c r="Q63" s="2" t="s">
        <v>1576</v>
      </c>
      <c r="R63" s="2" t="s">
        <v>1375</v>
      </c>
      <c r="S63" s="2" t="s">
        <v>1375</v>
      </c>
      <c r="T63" s="2">
        <v>2019</v>
      </c>
      <c r="U63" s="2" t="s">
        <v>82</v>
      </c>
      <c r="V63" s="2" t="s">
        <v>74</v>
      </c>
      <c r="W63" s="2" t="s">
        <v>74</v>
      </c>
      <c r="X63" s="2" t="s">
        <v>256</v>
      </c>
      <c r="Y63" s="2" t="s">
        <v>256</v>
      </c>
      <c r="Z63" s="2" t="s">
        <v>1577</v>
      </c>
      <c r="AA63" s="2" t="s">
        <v>1721</v>
      </c>
      <c r="AB63" s="2" t="s">
        <v>1578</v>
      </c>
      <c r="AC63" s="38" t="s">
        <v>120</v>
      </c>
      <c r="AD63" s="2" t="s">
        <v>74</v>
      </c>
      <c r="AE63" s="2" t="s">
        <v>1580</v>
      </c>
      <c r="AF63" s="2" t="s">
        <v>1580</v>
      </c>
      <c r="AG63" s="2" t="s">
        <v>1581</v>
      </c>
      <c r="AH63" s="2" t="s">
        <v>1581</v>
      </c>
      <c r="AI63" s="2" t="s">
        <v>261</v>
      </c>
      <c r="AJ63" s="2" t="s">
        <v>261</v>
      </c>
      <c r="AK63" s="2" t="s">
        <v>74</v>
      </c>
      <c r="AL63" s="2" t="s">
        <v>74</v>
      </c>
      <c r="AM63" s="2" t="s">
        <v>1582</v>
      </c>
      <c r="AN63" s="2" t="s">
        <v>303</v>
      </c>
      <c r="AO63" s="2" t="s">
        <v>107</v>
      </c>
      <c r="AP63" s="2" t="s">
        <v>107</v>
      </c>
      <c r="AQ63" s="2" t="s">
        <v>797</v>
      </c>
      <c r="AR63" s="2" t="s">
        <v>797</v>
      </c>
      <c r="AS63" s="2" t="s">
        <v>548</v>
      </c>
      <c r="AT63" s="2" t="s">
        <v>548</v>
      </c>
      <c r="AU63" s="2" t="s">
        <v>284</v>
      </c>
      <c r="AV63" s="2" t="s">
        <v>284</v>
      </c>
      <c r="AW63" s="2" t="s">
        <v>94</v>
      </c>
      <c r="AX63" s="2" t="s">
        <v>94</v>
      </c>
      <c r="AY63" s="2" t="s">
        <v>74</v>
      </c>
      <c r="AZ63" s="2" t="s">
        <v>74</v>
      </c>
      <c r="BA63" s="2" t="s">
        <v>265</v>
      </c>
      <c r="BB63" s="2" t="s">
        <v>265</v>
      </c>
      <c r="BC63" s="2" t="s">
        <v>74</v>
      </c>
      <c r="BD63" s="2" t="s">
        <v>74</v>
      </c>
      <c r="BE63" s="2" t="s">
        <v>74</v>
      </c>
      <c r="BF63" s="2" t="s">
        <v>74</v>
      </c>
      <c r="BG63" s="2" t="s">
        <v>74</v>
      </c>
      <c r="BH63" s="2" t="s">
        <v>412</v>
      </c>
      <c r="BI63" s="2" t="s">
        <v>412</v>
      </c>
      <c r="BJ63" s="2" t="s">
        <v>130</v>
      </c>
      <c r="BK63" s="2" t="s">
        <v>130</v>
      </c>
      <c r="BL63" s="2" t="s">
        <v>725</v>
      </c>
      <c r="BM63" s="2" t="s">
        <v>725</v>
      </c>
      <c r="BN63" s="2" t="s">
        <v>233</v>
      </c>
      <c r="BO63" s="39" t="s">
        <v>2195</v>
      </c>
      <c r="BP63" s="39"/>
      <c r="BQ63" s="2" t="s">
        <v>107</v>
      </c>
      <c r="BR63" s="2" t="s">
        <v>107</v>
      </c>
      <c r="BS63" s="2" t="s">
        <v>107</v>
      </c>
      <c r="BT63" s="2" t="s">
        <v>107</v>
      </c>
      <c r="BU63" s="2" t="s">
        <v>107</v>
      </c>
      <c r="BV63" s="2" t="s">
        <v>1583</v>
      </c>
      <c r="BW63" s="2" t="s">
        <v>74</v>
      </c>
      <c r="BX63" s="8"/>
      <c r="BY63" s="2" t="s">
        <v>107</v>
      </c>
      <c r="BZ63" s="2" t="s">
        <v>107</v>
      </c>
      <c r="CA63" s="2" t="s">
        <v>761</v>
      </c>
      <c r="CB63" s="2" t="s">
        <v>761</v>
      </c>
      <c r="CC63" s="2" t="s">
        <v>105</v>
      </c>
      <c r="CD63" s="2" t="s">
        <v>105</v>
      </c>
      <c r="CE63" s="2" t="s">
        <v>1584</v>
      </c>
      <c r="CF63" s="2" t="s">
        <v>1584</v>
      </c>
      <c r="CG63" s="2" t="s">
        <v>1585</v>
      </c>
      <c r="CH63" s="2" t="s">
        <v>107</v>
      </c>
      <c r="CI63" s="2" t="s">
        <v>108</v>
      </c>
      <c r="CJ63" s="2" t="s">
        <v>108</v>
      </c>
      <c r="CK63" s="2" t="s">
        <v>107</v>
      </c>
      <c r="CL63" s="2" t="s">
        <v>107</v>
      </c>
      <c r="CM63" s="8"/>
      <c r="CN63" s="2" t="s">
        <v>107</v>
      </c>
      <c r="CO63" s="2" t="s">
        <v>107</v>
      </c>
      <c r="CP63" s="2" t="s">
        <v>107</v>
      </c>
      <c r="CQ63" s="8"/>
      <c r="CR63" s="2" t="s">
        <v>74</v>
      </c>
      <c r="CS63" s="2" t="s">
        <v>1586</v>
      </c>
      <c r="CT63" s="8"/>
      <c r="CU63" s="8"/>
      <c r="CV63" s="8"/>
      <c r="CW63" s="8"/>
      <c r="CX63" s="8"/>
      <c r="CY63" s="8"/>
      <c r="CZ63" s="8"/>
      <c r="DA63" s="8"/>
      <c r="DB63" s="8"/>
      <c r="DC63" s="8"/>
      <c r="DD63" s="8"/>
      <c r="DE63" s="8"/>
      <c r="DF63" s="8"/>
      <c r="DG63" s="8"/>
      <c r="DH63" s="8"/>
      <c r="DI63" s="8"/>
      <c r="DJ63" s="8"/>
      <c r="DK63" s="8"/>
      <c r="DL63" s="8"/>
      <c r="DM63" s="8"/>
      <c r="DN63" s="8"/>
    </row>
    <row r="64" spans="1:118" ht="15.75" customHeight="1">
      <c r="A64" s="8">
        <v>82</v>
      </c>
      <c r="B64" s="8"/>
      <c r="C64" s="2" t="s">
        <v>69</v>
      </c>
      <c r="D64" s="2" t="s">
        <v>70</v>
      </c>
      <c r="E64" s="9">
        <v>43777.785705243055</v>
      </c>
      <c r="F64" s="2" t="s">
        <v>1587</v>
      </c>
      <c r="G64" s="2" t="s">
        <v>1588</v>
      </c>
      <c r="H64" s="2" t="s">
        <v>1589</v>
      </c>
      <c r="I64" s="2" t="s">
        <v>74</v>
      </c>
      <c r="J64" s="10" t="s">
        <v>1590</v>
      </c>
      <c r="K64" s="2" t="s">
        <v>1591</v>
      </c>
      <c r="L64" s="2" t="s">
        <v>1592</v>
      </c>
      <c r="M64" s="2" t="s">
        <v>152</v>
      </c>
      <c r="N64" s="2" t="s">
        <v>152</v>
      </c>
      <c r="O64" s="2" t="s">
        <v>278</v>
      </c>
      <c r="P64" s="2" t="s">
        <v>936</v>
      </c>
      <c r="Q64" s="2" t="s">
        <v>1593</v>
      </c>
      <c r="R64" s="2" t="s">
        <v>118</v>
      </c>
      <c r="S64" s="2" t="s">
        <v>118</v>
      </c>
      <c r="T64" s="2">
        <v>2012</v>
      </c>
      <c r="U64" s="2" t="s">
        <v>82</v>
      </c>
      <c r="V64" s="2" t="s">
        <v>83</v>
      </c>
      <c r="W64" s="2" t="s">
        <v>83</v>
      </c>
      <c r="X64" s="8"/>
      <c r="Y64" s="8"/>
      <c r="Z64" s="2" t="s">
        <v>1594</v>
      </c>
      <c r="AA64" s="2" t="s">
        <v>1594</v>
      </c>
      <c r="AB64" s="2" t="s">
        <v>1595</v>
      </c>
      <c r="AC64" s="2" t="s">
        <v>731</v>
      </c>
      <c r="AD64" s="2" t="s">
        <v>74</v>
      </c>
      <c r="AE64" s="2" t="s">
        <v>614</v>
      </c>
      <c r="AF64" s="2" t="s">
        <v>614</v>
      </c>
      <c r="AG64" s="2" t="s">
        <v>387</v>
      </c>
      <c r="AH64" s="2" t="s">
        <v>387</v>
      </c>
      <c r="AI64" s="2" t="s">
        <v>161</v>
      </c>
      <c r="AJ64" s="2" t="s">
        <v>161</v>
      </c>
      <c r="AK64" s="2" t="s">
        <v>74</v>
      </c>
      <c r="AL64" s="2" t="s">
        <v>74</v>
      </c>
      <c r="AM64" s="8"/>
      <c r="AN64" s="2" t="s">
        <v>303</v>
      </c>
      <c r="AO64" s="2" t="s">
        <v>126</v>
      </c>
      <c r="AP64" s="2" t="s">
        <v>126</v>
      </c>
      <c r="AQ64" s="2" t="s">
        <v>1596</v>
      </c>
      <c r="AR64" s="2" t="s">
        <v>1596</v>
      </c>
      <c r="AS64" s="2" t="s">
        <v>227</v>
      </c>
      <c r="AT64" s="2" t="s">
        <v>227</v>
      </c>
      <c r="AU64" s="2" t="s">
        <v>93</v>
      </c>
      <c r="AV64" s="2" t="s">
        <v>93</v>
      </c>
      <c r="AW64" s="2" t="s">
        <v>264</v>
      </c>
      <c r="AX64" s="2" t="s">
        <v>264</v>
      </c>
      <c r="AY64" s="2" t="s">
        <v>74</v>
      </c>
      <c r="AZ64" s="2" t="s">
        <v>74</v>
      </c>
      <c r="BA64" s="2" t="s">
        <v>550</v>
      </c>
      <c r="BB64" s="2" t="s">
        <v>550</v>
      </c>
      <c r="BC64" s="2" t="s">
        <v>83</v>
      </c>
      <c r="BD64" s="2" t="s">
        <v>74</v>
      </c>
      <c r="BE64" s="2" t="s">
        <v>74</v>
      </c>
      <c r="BF64" s="2" t="s">
        <v>74</v>
      </c>
      <c r="BG64" s="2" t="s">
        <v>74</v>
      </c>
      <c r="BH64" s="2" t="s">
        <v>97</v>
      </c>
      <c r="BI64" s="2" t="s">
        <v>97</v>
      </c>
      <c r="BJ64" s="2" t="s">
        <v>464</v>
      </c>
      <c r="BK64" s="2" t="s">
        <v>464</v>
      </c>
      <c r="BL64" s="2" t="s">
        <v>1597</v>
      </c>
      <c r="BM64" s="2" t="s">
        <v>1597</v>
      </c>
      <c r="BN64" s="2" t="s">
        <v>166</v>
      </c>
      <c r="BO64" s="2" t="s">
        <v>83</v>
      </c>
      <c r="BP64" s="39"/>
      <c r="BQ64" s="2" t="s">
        <v>83</v>
      </c>
      <c r="BR64" s="2" t="s">
        <v>101</v>
      </c>
      <c r="BS64" s="2" t="s">
        <v>101</v>
      </c>
      <c r="BT64" s="2" t="s">
        <v>107</v>
      </c>
      <c r="BU64" s="2" t="s">
        <v>107</v>
      </c>
      <c r="BV64" s="2" t="s">
        <v>83</v>
      </c>
      <c r="BW64" s="2" t="s">
        <v>83</v>
      </c>
      <c r="BX64" s="8"/>
      <c r="BY64" s="2" t="s">
        <v>233</v>
      </c>
      <c r="BZ64" s="2" t="s">
        <v>233</v>
      </c>
      <c r="CA64" s="2" t="s">
        <v>1598</v>
      </c>
      <c r="CB64" s="2" t="s">
        <v>1598</v>
      </c>
      <c r="CC64" s="2" t="s">
        <v>288</v>
      </c>
      <c r="CD64" s="2" t="s">
        <v>288</v>
      </c>
      <c r="CE64" s="2" t="s">
        <v>313</v>
      </c>
      <c r="CF64" s="2" t="s">
        <v>313</v>
      </c>
      <c r="CG64" s="8"/>
      <c r="CH64" s="2" t="s">
        <v>233</v>
      </c>
      <c r="CI64" s="2" t="s">
        <v>172</v>
      </c>
      <c r="CJ64" s="2" t="s">
        <v>171</v>
      </c>
      <c r="CK64" s="2" t="s">
        <v>74</v>
      </c>
      <c r="CL64" s="2" t="s">
        <v>141</v>
      </c>
      <c r="CM64" s="8"/>
      <c r="CN64" s="2" t="s">
        <v>213</v>
      </c>
      <c r="CO64" s="2" t="s">
        <v>213</v>
      </c>
      <c r="CP64" s="2" t="s">
        <v>173</v>
      </c>
      <c r="CQ64" s="8"/>
      <c r="CR64" s="2" t="s">
        <v>74</v>
      </c>
      <c r="CS64" s="8"/>
      <c r="CU64" s="8"/>
      <c r="CV64" s="8"/>
      <c r="CW64" s="8"/>
      <c r="CX64" s="8"/>
      <c r="CY64" s="8"/>
      <c r="CZ64" s="8"/>
      <c r="DA64" s="8"/>
      <c r="DB64" s="8"/>
      <c r="DC64" s="8"/>
      <c r="DD64" s="8"/>
      <c r="DE64" s="8"/>
      <c r="DF64" s="8"/>
      <c r="DG64" s="8"/>
      <c r="DH64" s="8"/>
      <c r="DI64" s="8"/>
      <c r="DJ64" s="8"/>
      <c r="DK64" s="8"/>
      <c r="DL64" s="8"/>
      <c r="DM64" s="8"/>
      <c r="DN64" s="8"/>
    </row>
    <row r="65" spans="1:118" ht="15.75" customHeight="1">
      <c r="A65" s="8">
        <v>84</v>
      </c>
      <c r="B65" s="8"/>
      <c r="C65" s="2" t="s">
        <v>69</v>
      </c>
      <c r="D65" s="2" t="s">
        <v>70</v>
      </c>
      <c r="E65" s="9">
        <v>43780.406937673615</v>
      </c>
      <c r="F65" s="2" t="s">
        <v>219</v>
      </c>
      <c r="G65" s="2" t="s">
        <v>1600</v>
      </c>
      <c r="H65" s="2" t="s">
        <v>1601</v>
      </c>
      <c r="I65" s="2" t="s">
        <v>74</v>
      </c>
      <c r="J65" s="10" t="s">
        <v>1602</v>
      </c>
      <c r="K65" s="2" t="s">
        <v>1603</v>
      </c>
      <c r="L65" s="2" t="s">
        <v>1604</v>
      </c>
      <c r="M65" s="2" t="s">
        <v>152</v>
      </c>
      <c r="N65" s="2" t="s">
        <v>152</v>
      </c>
      <c r="O65" s="2" t="s">
        <v>199</v>
      </c>
      <c r="P65" s="2" t="s">
        <v>200</v>
      </c>
      <c r="Q65" s="2" t="s">
        <v>1605</v>
      </c>
      <c r="R65" s="2" t="s">
        <v>1606</v>
      </c>
      <c r="S65" s="38" t="s">
        <v>81</v>
      </c>
      <c r="T65" s="2">
        <v>2017</v>
      </c>
      <c r="U65" s="2" t="s">
        <v>82</v>
      </c>
      <c r="V65" s="2" t="s">
        <v>95</v>
      </c>
      <c r="W65" s="2" t="s">
        <v>95</v>
      </c>
      <c r="X65" s="2" t="s">
        <v>282</v>
      </c>
      <c r="Y65" s="2" t="s">
        <v>282</v>
      </c>
      <c r="Z65" s="2" t="s">
        <v>84</v>
      </c>
      <c r="AA65" s="2" t="s">
        <v>84</v>
      </c>
      <c r="AB65" s="2" t="s">
        <v>120</v>
      </c>
      <c r="AC65" s="2" t="s">
        <v>120</v>
      </c>
      <c r="AD65" s="2" t="s">
        <v>74</v>
      </c>
      <c r="AE65" s="2" t="s">
        <v>674</v>
      </c>
      <c r="AF65" s="2" t="s">
        <v>674</v>
      </c>
      <c r="AG65" s="38" t="s">
        <v>1607</v>
      </c>
      <c r="AH65" s="38" t="s">
        <v>2146</v>
      </c>
      <c r="AI65" s="2" t="s">
        <v>123</v>
      </c>
      <c r="AJ65" s="2" t="s">
        <v>123</v>
      </c>
      <c r="AK65" s="2" t="s">
        <v>74</v>
      </c>
      <c r="AL65" s="2" t="s">
        <v>74</v>
      </c>
      <c r="AM65" s="2" t="s">
        <v>1608</v>
      </c>
      <c r="AN65" s="2" t="s">
        <v>125</v>
      </c>
      <c r="AO65" s="2" t="s">
        <v>90</v>
      </c>
      <c r="AP65" s="2" t="s">
        <v>90</v>
      </c>
      <c r="AQ65" s="2" t="s">
        <v>1609</v>
      </c>
      <c r="AR65" s="2" t="s">
        <v>1609</v>
      </c>
      <c r="AS65" s="2" t="s">
        <v>162</v>
      </c>
      <c r="AT65" s="2" t="s">
        <v>162</v>
      </c>
      <c r="AU65" s="2" t="s">
        <v>93</v>
      </c>
      <c r="AV65" s="2" t="s">
        <v>93</v>
      </c>
      <c r="AW65" s="2" t="s">
        <v>1610</v>
      </c>
      <c r="AX65" s="2" t="s">
        <v>2162</v>
      </c>
      <c r="AY65" s="2" t="s">
        <v>74</v>
      </c>
      <c r="AZ65" s="2" t="s">
        <v>74</v>
      </c>
      <c r="BA65" s="2" t="s">
        <v>1611</v>
      </c>
      <c r="BB65" s="2" t="s">
        <v>96</v>
      </c>
      <c r="BC65" s="2" t="s">
        <v>208</v>
      </c>
      <c r="BD65" s="2" t="s">
        <v>95</v>
      </c>
      <c r="BE65" s="2" t="s">
        <v>74</v>
      </c>
      <c r="BF65" s="2" t="s">
        <v>74</v>
      </c>
      <c r="BG65" s="2" t="s">
        <v>95</v>
      </c>
      <c r="BH65" s="2" t="s">
        <v>97</v>
      </c>
      <c r="BI65" s="2" t="s">
        <v>97</v>
      </c>
      <c r="BJ65" s="2" t="s">
        <v>130</v>
      </c>
      <c r="BK65" s="2" t="s">
        <v>130</v>
      </c>
      <c r="BL65" s="2" t="s">
        <v>131</v>
      </c>
      <c r="BM65" s="2" t="s">
        <v>131</v>
      </c>
      <c r="BN65" s="2" t="s">
        <v>166</v>
      </c>
      <c r="BO65" s="39" t="s">
        <v>83</v>
      </c>
      <c r="BP65" s="39"/>
      <c r="BQ65" s="2" t="s">
        <v>107</v>
      </c>
      <c r="BR65" s="2" t="s">
        <v>1612</v>
      </c>
      <c r="BS65" s="38" t="s">
        <v>2181</v>
      </c>
      <c r="BT65" s="2" t="s">
        <v>107</v>
      </c>
      <c r="BU65" s="2" t="s">
        <v>107</v>
      </c>
      <c r="BV65" s="2" t="s">
        <v>233</v>
      </c>
      <c r="BW65" s="2" t="s">
        <v>233</v>
      </c>
      <c r="BX65" s="8"/>
      <c r="BY65" s="2" t="s">
        <v>233</v>
      </c>
      <c r="BZ65" s="2" t="s">
        <v>233</v>
      </c>
      <c r="CA65" s="2" t="s">
        <v>522</v>
      </c>
      <c r="CB65" s="2" t="s">
        <v>522</v>
      </c>
      <c r="CC65" s="2" t="s">
        <v>168</v>
      </c>
      <c r="CD65" s="2" t="s">
        <v>168</v>
      </c>
      <c r="CE65" s="2" t="s">
        <v>168</v>
      </c>
      <c r="CF65" s="2" t="s">
        <v>168</v>
      </c>
      <c r="CG65" s="8"/>
      <c r="CH65" s="2" t="s">
        <v>233</v>
      </c>
      <c r="CI65" s="2" t="s">
        <v>172</v>
      </c>
      <c r="CJ65" s="2" t="s">
        <v>233</v>
      </c>
      <c r="CK65" s="2" t="s">
        <v>233</v>
      </c>
      <c r="CL65" s="2" t="s">
        <v>107</v>
      </c>
      <c r="CM65" s="8"/>
      <c r="CN65" s="2" t="s">
        <v>107</v>
      </c>
      <c r="CO65" s="2" t="s">
        <v>107</v>
      </c>
      <c r="CP65" s="2" t="s">
        <v>107</v>
      </c>
      <c r="CQ65" s="8"/>
      <c r="CR65" s="2" t="s">
        <v>74</v>
      </c>
      <c r="CS65" s="2" t="s">
        <v>1613</v>
      </c>
      <c r="CU65" s="8"/>
      <c r="CV65" s="8"/>
      <c r="CW65" s="8"/>
      <c r="CX65" s="8"/>
      <c r="CY65" s="8"/>
      <c r="CZ65" s="8"/>
      <c r="DA65" s="8"/>
      <c r="DB65" s="8"/>
      <c r="DC65" s="8"/>
      <c r="DD65" s="8"/>
      <c r="DE65" s="8"/>
      <c r="DF65" s="8"/>
      <c r="DG65" s="8"/>
      <c r="DH65" s="8"/>
      <c r="DI65" s="8"/>
      <c r="DJ65" s="8"/>
      <c r="DK65" s="8"/>
      <c r="DL65" s="8"/>
      <c r="DM65" s="8"/>
      <c r="DN65" s="8"/>
    </row>
    <row r="66" spans="1:118" ht="15.75" customHeight="1">
      <c r="A66" s="8">
        <v>85</v>
      </c>
      <c r="B66" s="14" t="s">
        <v>1614</v>
      </c>
      <c r="C66" s="2" t="s">
        <v>69</v>
      </c>
      <c r="D66" s="2" t="s">
        <v>70</v>
      </c>
      <c r="E66" s="9">
        <v>43782.48224268519</v>
      </c>
      <c r="F66" s="2" t="s">
        <v>1615</v>
      </c>
      <c r="G66" s="2" t="s">
        <v>1616</v>
      </c>
      <c r="H66" s="2" t="s">
        <v>1617</v>
      </c>
      <c r="I66" s="2" t="s">
        <v>74</v>
      </c>
      <c r="J66" s="2" t="s">
        <v>867</v>
      </c>
      <c r="K66" s="2" t="s">
        <v>1615</v>
      </c>
      <c r="L66" s="2" t="s">
        <v>1618</v>
      </c>
      <c r="M66" s="2" t="s">
        <v>114</v>
      </c>
      <c r="N66" s="2" t="s">
        <v>114</v>
      </c>
      <c r="O66" s="2" t="s">
        <v>199</v>
      </c>
      <c r="P66" s="2" t="s">
        <v>1619</v>
      </c>
      <c r="Q66" s="2" t="s">
        <v>1620</v>
      </c>
      <c r="R66" s="2" t="s">
        <v>81</v>
      </c>
      <c r="S66" s="2" t="s">
        <v>81</v>
      </c>
      <c r="T66" s="2">
        <v>2018</v>
      </c>
      <c r="U66" s="2">
        <v>2019</v>
      </c>
      <c r="V66" s="2" t="s">
        <v>83</v>
      </c>
      <c r="W66" s="2" t="s">
        <v>83</v>
      </c>
      <c r="X66" s="8"/>
      <c r="Y66" s="8"/>
      <c r="Z66" s="2" t="s">
        <v>790</v>
      </c>
      <c r="AA66" s="2" t="s">
        <v>790</v>
      </c>
      <c r="AB66" s="2" t="s">
        <v>734</v>
      </c>
      <c r="AC66" s="38" t="s">
        <v>735</v>
      </c>
      <c r="AD66" s="2" t="s">
        <v>74</v>
      </c>
      <c r="AE66" s="2" t="s">
        <v>1621</v>
      </c>
      <c r="AF66" s="2" t="s">
        <v>1621</v>
      </c>
      <c r="AG66" s="2" t="s">
        <v>1622</v>
      </c>
      <c r="AH66" s="2" t="s">
        <v>1622</v>
      </c>
      <c r="AI66" s="2" t="s">
        <v>366</v>
      </c>
      <c r="AJ66" s="2" t="s">
        <v>366</v>
      </c>
      <c r="AK66" s="2" t="s">
        <v>107</v>
      </c>
      <c r="AL66" s="2" t="s">
        <v>107</v>
      </c>
      <c r="AM66" s="8"/>
      <c r="AN66" s="2" t="s">
        <v>303</v>
      </c>
      <c r="AO66" s="2" t="s">
        <v>90</v>
      </c>
      <c r="AP66" s="2" t="s">
        <v>90</v>
      </c>
      <c r="AQ66" s="2" t="s">
        <v>1623</v>
      </c>
      <c r="AR66" s="2" t="s">
        <v>1623</v>
      </c>
      <c r="AS66" s="2" t="s">
        <v>284</v>
      </c>
      <c r="AT66" s="2" t="s">
        <v>284</v>
      </c>
      <c r="AU66" s="2" t="s">
        <v>93</v>
      </c>
      <c r="AV66" s="2" t="s">
        <v>93</v>
      </c>
      <c r="AW66" s="2" t="s">
        <v>264</v>
      </c>
      <c r="AX66" s="2" t="s">
        <v>264</v>
      </c>
      <c r="AY66" s="2" t="s">
        <v>74</v>
      </c>
      <c r="AZ66" s="2" t="s">
        <v>74</v>
      </c>
      <c r="BA66" s="2" t="s">
        <v>96</v>
      </c>
      <c r="BB66" s="2" t="s">
        <v>96</v>
      </c>
      <c r="BC66" s="2" t="s">
        <v>233</v>
      </c>
      <c r="BD66" s="2" t="s">
        <v>74</v>
      </c>
      <c r="BE66" s="2" t="s">
        <v>74</v>
      </c>
      <c r="BF66" s="2" t="s">
        <v>74</v>
      </c>
      <c r="BG66" s="2" t="s">
        <v>74</v>
      </c>
      <c r="BH66" s="2" t="s">
        <v>97</v>
      </c>
      <c r="BI66" s="2" t="s">
        <v>97</v>
      </c>
      <c r="BJ66" s="2" t="s">
        <v>233</v>
      </c>
      <c r="BK66" s="2" t="s">
        <v>233</v>
      </c>
      <c r="BL66" s="2" t="s">
        <v>945</v>
      </c>
      <c r="BM66" s="2" t="s">
        <v>945</v>
      </c>
      <c r="BN66" s="2" t="s">
        <v>233</v>
      </c>
      <c r="BO66" s="2" t="s">
        <v>2195</v>
      </c>
      <c r="BP66" s="39"/>
      <c r="BQ66" s="2" t="s">
        <v>74</v>
      </c>
      <c r="BR66" s="2" t="s">
        <v>101</v>
      </c>
      <c r="BS66" s="2" t="s">
        <v>101</v>
      </c>
      <c r="BT66" s="2" t="s">
        <v>233</v>
      </c>
      <c r="BU66" s="2" t="s">
        <v>233</v>
      </c>
      <c r="BV66" s="2" t="s">
        <v>233</v>
      </c>
      <c r="BW66" s="2" t="s">
        <v>233</v>
      </c>
      <c r="BX66" s="8"/>
      <c r="BY66" s="2" t="s">
        <v>233</v>
      </c>
      <c r="BZ66" s="2" t="s">
        <v>233</v>
      </c>
      <c r="CA66" s="2" t="s">
        <v>167</v>
      </c>
      <c r="CB66" s="2" t="s">
        <v>167</v>
      </c>
      <c r="CC66" s="2" t="s">
        <v>168</v>
      </c>
      <c r="CD66" s="2" t="s">
        <v>168</v>
      </c>
      <c r="CE66" s="2" t="s">
        <v>313</v>
      </c>
      <c r="CF66" s="2" t="s">
        <v>313</v>
      </c>
      <c r="CG66" s="2" t="s">
        <v>1624</v>
      </c>
      <c r="CH66" s="2" t="s">
        <v>233</v>
      </c>
      <c r="CI66" s="2" t="s">
        <v>233</v>
      </c>
      <c r="CJ66" s="2" t="s">
        <v>233</v>
      </c>
      <c r="CK66" s="2" t="s">
        <v>233</v>
      </c>
      <c r="CL66" s="2" t="s">
        <v>141</v>
      </c>
      <c r="CM66" s="8"/>
      <c r="CN66" s="2" t="s">
        <v>1625</v>
      </c>
      <c r="CO66" s="2" t="s">
        <v>2354</v>
      </c>
      <c r="CP66" s="2" t="s">
        <v>282</v>
      </c>
      <c r="CQ66" s="8"/>
      <c r="CR66" s="2" t="s">
        <v>74</v>
      </c>
      <c r="CS66" s="2" t="s">
        <v>1626</v>
      </c>
      <c r="CU66" s="8"/>
      <c r="CV66" s="8"/>
      <c r="CW66" s="8"/>
      <c r="CX66" s="8"/>
      <c r="CY66" s="8"/>
      <c r="CZ66" s="8"/>
      <c r="DA66" s="8"/>
      <c r="DB66" s="8"/>
      <c r="DC66" s="8"/>
      <c r="DD66" s="8"/>
      <c r="DE66" s="8"/>
      <c r="DF66" s="8"/>
      <c r="DG66" s="8"/>
      <c r="DH66" s="8"/>
      <c r="DI66" s="8"/>
      <c r="DJ66" s="8"/>
      <c r="DK66" s="8"/>
      <c r="DL66" s="8"/>
      <c r="DM66" s="8"/>
      <c r="DN66" s="8"/>
    </row>
    <row r="67" spans="1:118" ht="15.75" customHeight="1">
      <c r="A67" s="8">
        <v>86</v>
      </c>
      <c r="B67" s="117"/>
      <c r="C67" s="2" t="s">
        <v>69</v>
      </c>
      <c r="D67" s="2" t="s">
        <v>70</v>
      </c>
      <c r="E67" s="9">
        <v>43783.880534942131</v>
      </c>
      <c r="F67" s="2" t="s">
        <v>1627</v>
      </c>
      <c r="G67" s="2" t="s">
        <v>1628</v>
      </c>
      <c r="H67" s="2" t="s">
        <v>1629</v>
      </c>
      <c r="I67" s="2" t="s">
        <v>74</v>
      </c>
      <c r="J67" s="10" t="s">
        <v>1630</v>
      </c>
      <c r="K67" s="2" t="s">
        <v>1631</v>
      </c>
      <c r="L67" s="2" t="s">
        <v>1632</v>
      </c>
      <c r="M67" s="2" t="s">
        <v>152</v>
      </c>
      <c r="N67" s="2" t="s">
        <v>152</v>
      </c>
      <c r="O67" s="2" t="s">
        <v>78</v>
      </c>
      <c r="P67" s="2" t="s">
        <v>79</v>
      </c>
      <c r="Q67" s="2" t="s">
        <v>1633</v>
      </c>
      <c r="R67" s="2" t="s">
        <v>1634</v>
      </c>
      <c r="S67" s="38" t="s">
        <v>2116</v>
      </c>
      <c r="T67" s="2">
        <v>2019</v>
      </c>
      <c r="U67" s="2" t="s">
        <v>82</v>
      </c>
      <c r="V67" s="2" t="s">
        <v>74</v>
      </c>
      <c r="W67" s="2" t="s">
        <v>74</v>
      </c>
      <c r="X67" s="2" t="s">
        <v>515</v>
      </c>
      <c r="Y67" s="2" t="s">
        <v>515</v>
      </c>
      <c r="Z67" s="2" t="s">
        <v>360</v>
      </c>
      <c r="AA67" s="2" t="s">
        <v>360</v>
      </c>
      <c r="AB67" s="2" t="s">
        <v>1635</v>
      </c>
      <c r="AC67" s="37" t="s">
        <v>2217</v>
      </c>
      <c r="AD67" s="2" t="s">
        <v>74</v>
      </c>
      <c r="AE67" s="2" t="s">
        <v>1284</v>
      </c>
      <c r="AF67" s="2" t="s">
        <v>1284</v>
      </c>
      <c r="AG67" s="2" t="s">
        <v>1636</v>
      </c>
      <c r="AH67" s="2" t="s">
        <v>1636</v>
      </c>
      <c r="AI67" s="2" t="s">
        <v>1637</v>
      </c>
      <c r="AJ67" s="2" t="s">
        <v>1637</v>
      </c>
      <c r="AK67" s="2" t="s">
        <v>83</v>
      </c>
      <c r="AL67" s="2" t="s">
        <v>83</v>
      </c>
      <c r="AM67" s="8"/>
      <c r="AN67" s="2" t="s">
        <v>89</v>
      </c>
      <c r="AO67" s="2" t="s">
        <v>126</v>
      </c>
      <c r="AP67" s="2" t="s">
        <v>126</v>
      </c>
      <c r="AQ67" s="2" t="s">
        <v>1638</v>
      </c>
      <c r="AR67" s="2" t="s">
        <v>1638</v>
      </c>
      <c r="AS67" s="2" t="s">
        <v>92</v>
      </c>
      <c r="AT67" s="2" t="s">
        <v>92</v>
      </c>
      <c r="AU67" s="2" t="s">
        <v>93</v>
      </c>
      <c r="AV67" s="2" t="s">
        <v>93</v>
      </c>
      <c r="AW67" s="2" t="s">
        <v>163</v>
      </c>
      <c r="AX67" s="2" t="s">
        <v>163</v>
      </c>
      <c r="AY67" s="2" t="s">
        <v>74</v>
      </c>
      <c r="AZ67" s="2" t="s">
        <v>74</v>
      </c>
      <c r="BA67" s="2" t="s">
        <v>164</v>
      </c>
      <c r="BB67" s="2" t="s">
        <v>164</v>
      </c>
      <c r="BC67" s="2" t="s">
        <v>74</v>
      </c>
      <c r="BD67" s="2" t="s">
        <v>74</v>
      </c>
      <c r="BE67" s="2" t="s">
        <v>74</v>
      </c>
      <c r="BF67" s="2" t="s">
        <v>74</v>
      </c>
      <c r="BG67" s="2" t="s">
        <v>74</v>
      </c>
      <c r="BH67" s="2" t="s">
        <v>97</v>
      </c>
      <c r="BI67" s="2" t="s">
        <v>97</v>
      </c>
      <c r="BJ67" s="2" t="s">
        <v>464</v>
      </c>
      <c r="BK67" s="2" t="s">
        <v>464</v>
      </c>
      <c r="BL67" s="2" t="s">
        <v>1639</v>
      </c>
      <c r="BM67" s="2" t="s">
        <v>1639</v>
      </c>
      <c r="BN67" s="2" t="s">
        <v>166</v>
      </c>
      <c r="BO67" s="39" t="s">
        <v>83</v>
      </c>
      <c r="BP67" s="39"/>
      <c r="BQ67" s="2" t="s">
        <v>74</v>
      </c>
      <c r="BR67" s="2" t="s">
        <v>101</v>
      </c>
      <c r="BS67" s="2" t="s">
        <v>101</v>
      </c>
      <c r="BT67" s="2" t="s">
        <v>394</v>
      </c>
      <c r="BU67" s="2" t="s">
        <v>394</v>
      </c>
      <c r="BV67" s="2" t="s">
        <v>83</v>
      </c>
      <c r="BW67" s="2" t="s">
        <v>83</v>
      </c>
      <c r="BX67" s="8"/>
      <c r="BY67" s="2" t="s">
        <v>233</v>
      </c>
      <c r="BZ67" s="2" t="s">
        <v>233</v>
      </c>
      <c r="CA67" s="2" t="s">
        <v>104</v>
      </c>
      <c r="CB67" s="2" t="s">
        <v>104</v>
      </c>
      <c r="CC67" s="2" t="s">
        <v>288</v>
      </c>
      <c r="CD67" s="2" t="s">
        <v>288</v>
      </c>
      <c r="CE67" s="2" t="s">
        <v>313</v>
      </c>
      <c r="CF67" s="2" t="s">
        <v>313</v>
      </c>
      <c r="CG67" s="8"/>
      <c r="CH67" s="2" t="s">
        <v>138</v>
      </c>
      <c r="CI67" s="2" t="s">
        <v>140</v>
      </c>
      <c r="CJ67" s="2" t="s">
        <v>139</v>
      </c>
      <c r="CK67" s="2" t="s">
        <v>74</v>
      </c>
      <c r="CL67" s="2" t="s">
        <v>270</v>
      </c>
      <c r="CM67" s="8"/>
      <c r="CN67" s="2" t="s">
        <v>143</v>
      </c>
      <c r="CO67" s="2" t="s">
        <v>143</v>
      </c>
      <c r="CP67" s="2" t="s">
        <v>282</v>
      </c>
      <c r="CQ67" s="8"/>
      <c r="CR67" s="2" t="s">
        <v>74</v>
      </c>
      <c r="CS67" s="8"/>
      <c r="CU67" s="8"/>
      <c r="CV67" s="8"/>
      <c r="CW67" s="8"/>
      <c r="CX67" s="8"/>
      <c r="CY67" s="8"/>
      <c r="CZ67" s="8"/>
      <c r="DA67" s="8"/>
      <c r="DB67" s="8"/>
      <c r="DC67" s="8"/>
      <c r="DD67" s="8"/>
      <c r="DE67" s="8"/>
      <c r="DF67" s="8"/>
      <c r="DG67" s="8"/>
      <c r="DH67" s="8"/>
      <c r="DI67" s="8"/>
      <c r="DJ67" s="8"/>
      <c r="DK67" s="8"/>
      <c r="DL67" s="8"/>
      <c r="DM67" s="8"/>
      <c r="DN67" s="8"/>
    </row>
    <row r="68" spans="1:118" ht="15.75" customHeight="1">
      <c r="A68" s="8">
        <v>88</v>
      </c>
      <c r="B68" s="117"/>
      <c r="C68" s="120" t="s">
        <v>69</v>
      </c>
      <c r="D68" s="2" t="s">
        <v>70</v>
      </c>
      <c r="E68" s="9">
        <v>43802.475653506946</v>
      </c>
      <c r="F68" s="2" t="s">
        <v>1641</v>
      </c>
      <c r="G68" s="2" t="s">
        <v>1642</v>
      </c>
      <c r="H68" s="2" t="s">
        <v>1643</v>
      </c>
      <c r="I68" s="2" t="s">
        <v>74</v>
      </c>
      <c r="J68" s="10" t="s">
        <v>1644</v>
      </c>
      <c r="K68" s="2" t="s">
        <v>1641</v>
      </c>
      <c r="L68" s="2" t="s">
        <v>1645</v>
      </c>
      <c r="M68" s="2" t="s">
        <v>1646</v>
      </c>
      <c r="N68" s="2" t="s">
        <v>328</v>
      </c>
      <c r="O68" s="2" t="s">
        <v>694</v>
      </c>
      <c r="P68" s="2" t="s">
        <v>608</v>
      </c>
      <c r="Q68" s="2" t="s">
        <v>1647</v>
      </c>
      <c r="R68" s="2" t="s">
        <v>81</v>
      </c>
      <c r="S68" s="2" t="s">
        <v>81</v>
      </c>
      <c r="T68" s="2">
        <v>2016</v>
      </c>
      <c r="U68" s="2" t="s">
        <v>82</v>
      </c>
      <c r="V68" s="2" t="s">
        <v>95</v>
      </c>
      <c r="W68" s="2" t="s">
        <v>95</v>
      </c>
      <c r="X68" s="38" t="s">
        <v>1648</v>
      </c>
      <c r="Y68" s="38" t="s">
        <v>282</v>
      </c>
      <c r="Z68" s="2" t="s">
        <v>966</v>
      </c>
      <c r="AA68" s="2" t="s">
        <v>966</v>
      </c>
      <c r="AB68" s="38" t="s">
        <v>1649</v>
      </c>
      <c r="AC68" s="38" t="s">
        <v>735</v>
      </c>
      <c r="AD68" s="2" t="s">
        <v>74</v>
      </c>
      <c r="AE68" s="2" t="s">
        <v>1650</v>
      </c>
      <c r="AF68" s="2" t="s">
        <v>1650</v>
      </c>
      <c r="AG68" s="2" t="s">
        <v>1651</v>
      </c>
      <c r="AH68" s="2" t="s">
        <v>1651</v>
      </c>
      <c r="AI68" s="2" t="s">
        <v>161</v>
      </c>
      <c r="AJ68" s="2" t="s">
        <v>161</v>
      </c>
      <c r="AK68" s="2" t="s">
        <v>107</v>
      </c>
      <c r="AL68" s="2" t="s">
        <v>107</v>
      </c>
      <c r="AM68" s="8"/>
      <c r="AN68" s="2" t="s">
        <v>303</v>
      </c>
      <c r="AO68" s="2" t="s">
        <v>126</v>
      </c>
      <c r="AP68" s="2" t="s">
        <v>126</v>
      </c>
      <c r="AQ68" s="2" t="s">
        <v>409</v>
      </c>
      <c r="AR68" s="2" t="s">
        <v>409</v>
      </c>
      <c r="AS68" s="2" t="s">
        <v>92</v>
      </c>
      <c r="AT68" s="2" t="s">
        <v>92</v>
      </c>
      <c r="AU68" s="2" t="s">
        <v>284</v>
      </c>
      <c r="AV68" s="2" t="s">
        <v>284</v>
      </c>
      <c r="AW68" s="2" t="s">
        <v>94</v>
      </c>
      <c r="AX68" s="2" t="s">
        <v>94</v>
      </c>
      <c r="AY68" s="2" t="s">
        <v>74</v>
      </c>
      <c r="AZ68" s="2" t="s">
        <v>74</v>
      </c>
      <c r="BA68" s="2" t="s">
        <v>164</v>
      </c>
      <c r="BB68" s="2" t="s">
        <v>164</v>
      </c>
      <c r="BC68" s="2" t="s">
        <v>83</v>
      </c>
      <c r="BD68" s="2" t="s">
        <v>74</v>
      </c>
      <c r="BE68" s="2" t="s">
        <v>74</v>
      </c>
      <c r="BF68" s="2" t="s">
        <v>74</v>
      </c>
      <c r="BG68" s="2" t="s">
        <v>74</v>
      </c>
      <c r="BH68" s="2" t="s">
        <v>97</v>
      </c>
      <c r="BI68" s="2" t="s">
        <v>97</v>
      </c>
      <c r="BJ68" s="2" t="s">
        <v>1652</v>
      </c>
      <c r="BK68" s="2" t="s">
        <v>1652</v>
      </c>
      <c r="BL68" s="2" t="s">
        <v>725</v>
      </c>
      <c r="BM68" s="2" t="s">
        <v>725</v>
      </c>
      <c r="BN68" s="2" t="s">
        <v>166</v>
      </c>
      <c r="BO68" s="2" t="s">
        <v>83</v>
      </c>
      <c r="BP68" s="39"/>
      <c r="BQ68" s="2" t="s">
        <v>83</v>
      </c>
      <c r="BR68" s="2" t="s">
        <v>101</v>
      </c>
      <c r="BS68" s="2" t="s">
        <v>101</v>
      </c>
      <c r="BT68" s="2" t="s">
        <v>107</v>
      </c>
      <c r="BU68" s="2" t="s">
        <v>107</v>
      </c>
      <c r="BV68" s="2" t="s">
        <v>83</v>
      </c>
      <c r="BW68" s="2" t="s">
        <v>83</v>
      </c>
      <c r="BX68" s="8"/>
      <c r="BY68" s="2" t="s">
        <v>233</v>
      </c>
      <c r="BZ68" s="2" t="s">
        <v>233</v>
      </c>
      <c r="CA68" s="2" t="s">
        <v>1653</v>
      </c>
      <c r="CB68" s="2" t="s">
        <v>1653</v>
      </c>
      <c r="CC68" s="2" t="s">
        <v>399</v>
      </c>
      <c r="CD68" s="2" t="s">
        <v>399</v>
      </c>
      <c r="CE68" s="2" t="s">
        <v>136</v>
      </c>
      <c r="CF68" s="2" t="s">
        <v>136</v>
      </c>
      <c r="CG68" s="8"/>
      <c r="CH68" s="2" t="s">
        <v>233</v>
      </c>
      <c r="CI68" s="2" t="s">
        <v>171</v>
      </c>
      <c r="CJ68" s="2" t="s">
        <v>171</v>
      </c>
      <c r="CK68" s="2" t="s">
        <v>74</v>
      </c>
      <c r="CL68" s="2">
        <v>0</v>
      </c>
      <c r="CM68" s="8"/>
      <c r="CN68" s="2" t="s">
        <v>233</v>
      </c>
      <c r="CO68" s="2" t="s">
        <v>233</v>
      </c>
      <c r="CP68" s="2" t="s">
        <v>233</v>
      </c>
      <c r="CQ68" s="8"/>
      <c r="CR68" s="2" t="s">
        <v>74</v>
      </c>
      <c r="CS68" s="8"/>
      <c r="CU68" s="8"/>
      <c r="CV68" s="8"/>
      <c r="CW68" s="8"/>
      <c r="CX68" s="8"/>
      <c r="CY68" s="8"/>
      <c r="CZ68" s="8"/>
      <c r="DA68" s="8"/>
      <c r="DB68" s="8"/>
      <c r="DC68" s="8"/>
      <c r="DD68" s="8"/>
      <c r="DE68" s="8"/>
      <c r="DF68" s="8"/>
      <c r="DG68" s="8"/>
      <c r="DH68" s="8"/>
      <c r="DI68" s="8"/>
      <c r="DJ68" s="8"/>
      <c r="DK68" s="8"/>
      <c r="DL68" s="8"/>
      <c r="DM68" s="8"/>
      <c r="DN68" s="8"/>
    </row>
    <row r="69" spans="1:118" ht="15.75" customHeight="1">
      <c r="A69" s="8">
        <v>90</v>
      </c>
      <c r="B69" s="14" t="s">
        <v>1654</v>
      </c>
      <c r="C69" s="117" t="s">
        <v>69</v>
      </c>
      <c r="D69" s="2" t="s">
        <v>70</v>
      </c>
      <c r="E69" s="9">
        <v>43821.782724502315</v>
      </c>
      <c r="F69" s="2" t="s">
        <v>1655</v>
      </c>
      <c r="G69" s="2" t="s">
        <v>1656</v>
      </c>
      <c r="H69" s="2" t="s">
        <v>1657</v>
      </c>
      <c r="I69" s="2" t="s">
        <v>74</v>
      </c>
      <c r="J69" s="2" t="s">
        <v>1658</v>
      </c>
      <c r="K69" s="2" t="s">
        <v>1655</v>
      </c>
      <c r="L69" s="2" t="s">
        <v>1659</v>
      </c>
      <c r="M69" s="2" t="s">
        <v>77</v>
      </c>
      <c r="N69" s="2" t="s">
        <v>77</v>
      </c>
      <c r="O69" s="2" t="s">
        <v>295</v>
      </c>
      <c r="P69" s="2" t="s">
        <v>1660</v>
      </c>
      <c r="Q69" s="2" t="s">
        <v>1661</v>
      </c>
      <c r="R69" s="2" t="s">
        <v>81</v>
      </c>
      <c r="S69" s="2" t="s">
        <v>81</v>
      </c>
      <c r="T69" s="2">
        <v>2015</v>
      </c>
      <c r="U69" s="2" t="s">
        <v>82</v>
      </c>
      <c r="V69" s="2" t="s">
        <v>83</v>
      </c>
      <c r="W69" s="2" t="s">
        <v>83</v>
      </c>
      <c r="X69" s="8"/>
      <c r="Y69" s="8"/>
      <c r="Z69" s="2" t="s">
        <v>790</v>
      </c>
      <c r="AA69" s="2" t="s">
        <v>790</v>
      </c>
      <c r="AB69" s="2" t="s">
        <v>120</v>
      </c>
      <c r="AC69" s="2" t="s">
        <v>120</v>
      </c>
      <c r="AD69" s="2" t="s">
        <v>74</v>
      </c>
      <c r="AE69" s="2" t="s">
        <v>1490</v>
      </c>
      <c r="AF69" s="2" t="s">
        <v>1490</v>
      </c>
      <c r="AG69" s="2" t="s">
        <v>1662</v>
      </c>
      <c r="AH69" s="2" t="s">
        <v>1662</v>
      </c>
      <c r="AI69" s="2" t="s">
        <v>499</v>
      </c>
      <c r="AJ69" s="2" t="s">
        <v>499</v>
      </c>
      <c r="AK69" s="2" t="s">
        <v>83</v>
      </c>
      <c r="AL69" s="2" t="s">
        <v>83</v>
      </c>
      <c r="AM69" s="8"/>
      <c r="AN69" s="2" t="s">
        <v>303</v>
      </c>
      <c r="AO69" s="2" t="s">
        <v>126</v>
      </c>
      <c r="AP69" s="2" t="s">
        <v>126</v>
      </c>
      <c r="AQ69" s="2" t="s">
        <v>1623</v>
      </c>
      <c r="AR69" s="2" t="s">
        <v>1623</v>
      </c>
      <c r="AS69" s="2" t="s">
        <v>284</v>
      </c>
      <c r="AT69" s="2" t="s">
        <v>284</v>
      </c>
      <c r="AU69" s="2" t="s">
        <v>93</v>
      </c>
      <c r="AV69" s="2" t="s">
        <v>93</v>
      </c>
      <c r="AW69" s="2" t="s">
        <v>264</v>
      </c>
      <c r="AX69" s="2" t="s">
        <v>264</v>
      </c>
      <c r="AY69" s="2" t="s">
        <v>74</v>
      </c>
      <c r="AZ69" s="2" t="s">
        <v>74</v>
      </c>
      <c r="BA69" s="2" t="s">
        <v>96</v>
      </c>
      <c r="BB69" s="2" t="s">
        <v>96</v>
      </c>
      <c r="BC69" s="2" t="s">
        <v>74</v>
      </c>
      <c r="BD69" s="2" t="s">
        <v>74</v>
      </c>
      <c r="BE69" s="2" t="s">
        <v>74</v>
      </c>
      <c r="BF69" s="2" t="s">
        <v>74</v>
      </c>
      <c r="BG69" s="2" t="s">
        <v>74</v>
      </c>
      <c r="BH69" s="2" t="s">
        <v>97</v>
      </c>
      <c r="BI69" s="2" t="s">
        <v>97</v>
      </c>
      <c r="BJ69" s="2" t="s">
        <v>130</v>
      </c>
      <c r="BK69" s="2" t="s">
        <v>130</v>
      </c>
      <c r="BL69" s="2" t="s">
        <v>1663</v>
      </c>
      <c r="BM69" s="2" t="s">
        <v>1663</v>
      </c>
      <c r="BN69" s="2" t="s">
        <v>166</v>
      </c>
      <c r="BO69" s="2" t="s">
        <v>83</v>
      </c>
      <c r="BP69" s="39"/>
      <c r="BQ69" s="2" t="s">
        <v>74</v>
      </c>
      <c r="BR69" s="2" t="s">
        <v>101</v>
      </c>
      <c r="BS69" s="2" t="s">
        <v>101</v>
      </c>
      <c r="BT69" s="2" t="s">
        <v>394</v>
      </c>
      <c r="BU69" s="2" t="s">
        <v>394</v>
      </c>
      <c r="BV69" s="2" t="s">
        <v>83</v>
      </c>
      <c r="BW69" s="2" t="s">
        <v>83</v>
      </c>
      <c r="BX69" s="8"/>
      <c r="BY69" s="2" t="s">
        <v>233</v>
      </c>
      <c r="BZ69" s="2" t="s">
        <v>233</v>
      </c>
      <c r="CA69" s="2" t="s">
        <v>368</v>
      </c>
      <c r="CB69" s="2" t="s">
        <v>368</v>
      </c>
      <c r="CC69" s="2" t="s">
        <v>288</v>
      </c>
      <c r="CD69" s="2" t="s">
        <v>288</v>
      </c>
      <c r="CE69" s="2" t="s">
        <v>1664</v>
      </c>
      <c r="CF69" s="2" t="s">
        <v>1664</v>
      </c>
      <c r="CG69" s="2" t="s">
        <v>1665</v>
      </c>
      <c r="CH69" s="2" t="s">
        <v>233</v>
      </c>
      <c r="CI69" s="2" t="s">
        <v>172</v>
      </c>
      <c r="CJ69" s="2" t="s">
        <v>172</v>
      </c>
      <c r="CK69" s="2" t="s">
        <v>74</v>
      </c>
      <c r="CL69" s="2">
        <v>0</v>
      </c>
      <c r="CM69" s="8"/>
      <c r="CN69" s="2" t="s">
        <v>233</v>
      </c>
      <c r="CO69" s="2" t="s">
        <v>233</v>
      </c>
      <c r="CP69" s="2" t="s">
        <v>233</v>
      </c>
      <c r="CQ69" s="8"/>
      <c r="CR69" s="2" t="s">
        <v>74</v>
      </c>
      <c r="CS69" s="8"/>
      <c r="CU69" s="8"/>
      <c r="CV69" s="8"/>
      <c r="CW69" s="8"/>
      <c r="CX69" s="8"/>
      <c r="CY69" s="8"/>
      <c r="CZ69" s="8"/>
      <c r="DA69" s="8"/>
      <c r="DB69" s="8"/>
      <c r="DC69" s="8"/>
      <c r="DD69" s="8"/>
      <c r="DE69" s="8"/>
      <c r="DF69" s="8"/>
      <c r="DG69" s="8"/>
      <c r="DH69" s="8"/>
      <c r="DI69" s="8"/>
      <c r="DJ69" s="8"/>
      <c r="DK69" s="8"/>
      <c r="DL69" s="8"/>
      <c r="DM69" s="8"/>
      <c r="DN69" s="8"/>
    </row>
    <row r="70" spans="1:118" ht="15.75" customHeight="1">
      <c r="A70" s="8">
        <v>93</v>
      </c>
      <c r="B70" s="8"/>
      <c r="C70" s="2" t="s">
        <v>69</v>
      </c>
      <c r="D70" s="2" t="s">
        <v>436</v>
      </c>
      <c r="E70" s="9">
        <v>43851.60049045139</v>
      </c>
      <c r="F70" s="2" t="s">
        <v>1666</v>
      </c>
      <c r="G70" s="2" t="s">
        <v>1666</v>
      </c>
      <c r="H70" s="2" t="s">
        <v>1667</v>
      </c>
      <c r="I70" s="2" t="s">
        <v>74</v>
      </c>
      <c r="J70" s="10" t="s">
        <v>1668</v>
      </c>
      <c r="K70" s="2" t="s">
        <v>1666</v>
      </c>
      <c r="L70" s="2" t="s">
        <v>1669</v>
      </c>
      <c r="M70" s="2" t="s">
        <v>152</v>
      </c>
      <c r="N70" s="2" t="s">
        <v>152</v>
      </c>
      <c r="O70" s="2" t="s">
        <v>682</v>
      </c>
      <c r="P70" s="2" t="s">
        <v>1276</v>
      </c>
      <c r="Q70" s="2" t="s">
        <v>1670</v>
      </c>
      <c r="R70" s="2" t="s">
        <v>1671</v>
      </c>
      <c r="S70" s="38" t="s">
        <v>1375</v>
      </c>
      <c r="T70" s="2">
        <v>2017</v>
      </c>
      <c r="U70" s="2" t="s">
        <v>107</v>
      </c>
      <c r="V70" s="2" t="s">
        <v>83</v>
      </c>
      <c r="W70" s="2" t="s">
        <v>83</v>
      </c>
      <c r="X70" s="2" t="s">
        <v>1672</v>
      </c>
      <c r="Y70" s="2"/>
      <c r="Z70" s="2" t="s">
        <v>1673</v>
      </c>
      <c r="AA70" s="38" t="s">
        <v>84</v>
      </c>
      <c r="AB70" s="38" t="s">
        <v>1674</v>
      </c>
      <c r="AC70" s="38" t="s">
        <v>2129</v>
      </c>
      <c r="AD70" s="2" t="s">
        <v>74</v>
      </c>
      <c r="AE70" s="2" t="s">
        <v>1675</v>
      </c>
      <c r="AF70" s="2" t="s">
        <v>1675</v>
      </c>
      <c r="AG70" s="38" t="s">
        <v>1676</v>
      </c>
      <c r="AH70" s="38" t="s">
        <v>2145</v>
      </c>
      <c r="AI70" s="2" t="s">
        <v>85</v>
      </c>
      <c r="AJ70" s="2" t="s">
        <v>85</v>
      </c>
      <c r="AK70" s="2" t="s">
        <v>74</v>
      </c>
      <c r="AL70" s="2" t="s">
        <v>74</v>
      </c>
      <c r="AM70" s="2" t="s">
        <v>1677</v>
      </c>
      <c r="AN70" s="2" t="s">
        <v>89</v>
      </c>
      <c r="AO70" s="2" t="s">
        <v>90</v>
      </c>
      <c r="AP70" s="2" t="s">
        <v>90</v>
      </c>
      <c r="AQ70" s="2" t="s">
        <v>1678</v>
      </c>
      <c r="AR70" s="2" t="s">
        <v>1678</v>
      </c>
      <c r="AS70" s="2" t="s">
        <v>284</v>
      </c>
      <c r="AT70" s="2" t="s">
        <v>284</v>
      </c>
      <c r="AU70" s="2" t="s">
        <v>284</v>
      </c>
      <c r="AV70" s="2" t="s">
        <v>284</v>
      </c>
      <c r="AW70" s="2" t="s">
        <v>163</v>
      </c>
      <c r="AX70" s="2" t="s">
        <v>163</v>
      </c>
      <c r="AY70" s="2" t="s">
        <v>74</v>
      </c>
      <c r="AZ70" s="2" t="s">
        <v>74</v>
      </c>
      <c r="BA70" s="2" t="s">
        <v>284</v>
      </c>
      <c r="BB70" s="2" t="s">
        <v>284</v>
      </c>
      <c r="BC70" s="2" t="s">
        <v>74</v>
      </c>
      <c r="BD70" s="2" t="s">
        <v>74</v>
      </c>
      <c r="BE70" s="2" t="s">
        <v>233</v>
      </c>
      <c r="BF70" s="2" t="s">
        <v>74</v>
      </c>
      <c r="BG70" s="2" t="s">
        <v>74</v>
      </c>
      <c r="BH70" s="2" t="s">
        <v>97</v>
      </c>
      <c r="BI70" s="2" t="s">
        <v>97</v>
      </c>
      <c r="BJ70" s="2" t="s">
        <v>130</v>
      </c>
      <c r="BK70" s="2" t="s">
        <v>130</v>
      </c>
      <c r="BL70" s="2" t="s">
        <v>393</v>
      </c>
      <c r="BM70" s="2" t="s">
        <v>393</v>
      </c>
      <c r="BN70" s="2" t="s">
        <v>1679</v>
      </c>
      <c r="BO70" s="39" t="s">
        <v>74</v>
      </c>
      <c r="BP70" s="39"/>
      <c r="BQ70" s="2" t="s">
        <v>74</v>
      </c>
      <c r="BR70" s="2" t="s">
        <v>101</v>
      </c>
      <c r="BS70" s="2" t="s">
        <v>101</v>
      </c>
      <c r="BT70" s="2" t="s">
        <v>1680</v>
      </c>
      <c r="BU70" s="2" t="s">
        <v>738</v>
      </c>
      <c r="BV70" s="2" t="s">
        <v>1681</v>
      </c>
      <c r="BW70" s="38" t="s">
        <v>74</v>
      </c>
      <c r="BX70" s="8"/>
      <c r="BY70" s="2" t="s">
        <v>1682</v>
      </c>
      <c r="BZ70" s="38" t="s">
        <v>738</v>
      </c>
      <c r="CA70" s="2" t="s">
        <v>104</v>
      </c>
      <c r="CB70" s="2" t="s">
        <v>104</v>
      </c>
      <c r="CC70" s="2" t="s">
        <v>339</v>
      </c>
      <c r="CD70" s="2" t="s">
        <v>339</v>
      </c>
      <c r="CE70" s="2" t="s">
        <v>233</v>
      </c>
      <c r="CF70" s="2" t="s">
        <v>233</v>
      </c>
      <c r="CG70" s="2" t="s">
        <v>1683</v>
      </c>
      <c r="CH70" s="2" t="s">
        <v>233</v>
      </c>
      <c r="CI70" s="2" t="s">
        <v>139</v>
      </c>
      <c r="CJ70" s="2" t="s">
        <v>139</v>
      </c>
      <c r="CK70" s="2" t="s">
        <v>233</v>
      </c>
      <c r="CL70" s="2" t="s">
        <v>141</v>
      </c>
      <c r="CM70" s="8"/>
      <c r="CN70" s="2" t="s">
        <v>143</v>
      </c>
      <c r="CO70" s="2" t="s">
        <v>143</v>
      </c>
      <c r="CP70" s="2" t="s">
        <v>587</v>
      </c>
      <c r="CQ70" s="8"/>
      <c r="CR70" s="2" t="s">
        <v>74</v>
      </c>
      <c r="CS70" s="8"/>
      <c r="CU70" s="8"/>
      <c r="CV70" s="8"/>
      <c r="CW70" s="8"/>
      <c r="CX70" s="8"/>
      <c r="CY70" s="8"/>
      <c r="CZ70" s="8"/>
      <c r="DA70" s="8"/>
      <c r="DB70" s="8"/>
      <c r="DC70" s="8"/>
      <c r="DD70" s="8"/>
      <c r="DE70" s="8"/>
      <c r="DF70" s="8"/>
      <c r="DG70" s="8"/>
      <c r="DH70" s="8"/>
      <c r="DI70" s="8"/>
      <c r="DJ70" s="8"/>
      <c r="DK70" s="8"/>
      <c r="DL70" s="8"/>
      <c r="DM70" s="8"/>
      <c r="DN70" s="8"/>
    </row>
    <row r="71" spans="1:118" ht="15.75" customHeight="1">
      <c r="A71" s="8">
        <v>94</v>
      </c>
      <c r="B71" s="8"/>
      <c r="C71" s="2" t="s">
        <v>69</v>
      </c>
      <c r="D71" s="2" t="s">
        <v>70</v>
      </c>
      <c r="E71" s="9">
        <v>43853.443448749997</v>
      </c>
      <c r="F71" s="2" t="s">
        <v>1684</v>
      </c>
      <c r="G71" s="2" t="s">
        <v>1684</v>
      </c>
      <c r="H71" s="2" t="s">
        <v>1685</v>
      </c>
      <c r="I71" s="2" t="s">
        <v>74</v>
      </c>
      <c r="J71" s="10" t="s">
        <v>1686</v>
      </c>
      <c r="K71" s="2" t="s">
        <v>1684</v>
      </c>
      <c r="L71" s="2" t="s">
        <v>1687</v>
      </c>
      <c r="M71" s="2" t="s">
        <v>152</v>
      </c>
      <c r="N71" s="2" t="s">
        <v>152</v>
      </c>
      <c r="O71" s="2" t="s">
        <v>680</v>
      </c>
      <c r="P71" s="2" t="s">
        <v>608</v>
      </c>
      <c r="Q71" s="2" t="s">
        <v>1688</v>
      </c>
      <c r="R71" s="2" t="s">
        <v>513</v>
      </c>
      <c r="S71" s="2" t="s">
        <v>513</v>
      </c>
      <c r="T71" s="2">
        <v>2005</v>
      </c>
      <c r="U71" s="2" t="s">
        <v>82</v>
      </c>
      <c r="V71" s="2" t="s">
        <v>95</v>
      </c>
      <c r="W71" s="2" t="s">
        <v>95</v>
      </c>
      <c r="X71" s="2" t="s">
        <v>119</v>
      </c>
      <c r="Y71" s="2" t="s">
        <v>119</v>
      </c>
      <c r="Z71" s="2" t="s">
        <v>84</v>
      </c>
      <c r="AA71" s="2" t="s">
        <v>84</v>
      </c>
      <c r="AB71" s="2" t="s">
        <v>258</v>
      </c>
      <c r="AC71" s="2" t="s">
        <v>258</v>
      </c>
      <c r="AD71" s="2" t="s">
        <v>74</v>
      </c>
      <c r="AE71" s="2" t="s">
        <v>674</v>
      </c>
      <c r="AF71" s="2" t="s">
        <v>674</v>
      </c>
      <c r="AG71" s="2" t="s">
        <v>1689</v>
      </c>
      <c r="AH71" s="2" t="s">
        <v>1689</v>
      </c>
      <c r="AI71" s="2" t="s">
        <v>261</v>
      </c>
      <c r="AJ71" s="2" t="s">
        <v>261</v>
      </c>
      <c r="AK71" s="2" t="s">
        <v>74</v>
      </c>
      <c r="AL71" s="2" t="s">
        <v>74</v>
      </c>
      <c r="AM71" s="2" t="s">
        <v>1690</v>
      </c>
      <c r="AN71" s="2" t="s">
        <v>303</v>
      </c>
      <c r="AO71" s="2" t="s">
        <v>90</v>
      </c>
      <c r="AP71" s="2" t="s">
        <v>90</v>
      </c>
      <c r="AQ71" s="2" t="s">
        <v>1691</v>
      </c>
      <c r="AR71" s="2" t="s">
        <v>2159</v>
      </c>
      <c r="AS71" s="2" t="s">
        <v>128</v>
      </c>
      <c r="AT71" s="2" t="s">
        <v>128</v>
      </c>
      <c r="AU71" s="2" t="s">
        <v>284</v>
      </c>
      <c r="AV71" s="2" t="s">
        <v>284</v>
      </c>
      <c r="AW71" s="2" t="s">
        <v>94</v>
      </c>
      <c r="AX71" s="2" t="s">
        <v>94</v>
      </c>
      <c r="AY71" s="2" t="s">
        <v>74</v>
      </c>
      <c r="AZ71" s="2" t="s">
        <v>74</v>
      </c>
      <c r="BA71" s="2" t="s">
        <v>164</v>
      </c>
      <c r="BB71" s="2" t="s">
        <v>164</v>
      </c>
      <c r="BC71" s="2" t="s">
        <v>74</v>
      </c>
      <c r="BD71" s="2" t="s">
        <v>74</v>
      </c>
      <c r="BE71" s="2" t="s">
        <v>74</v>
      </c>
      <c r="BF71" s="2" t="s">
        <v>74</v>
      </c>
      <c r="BG71" s="2" t="s">
        <v>74</v>
      </c>
      <c r="BH71" s="2" t="s">
        <v>1340</v>
      </c>
      <c r="BI71" s="2" t="s">
        <v>1340</v>
      </c>
      <c r="BJ71" s="2" t="s">
        <v>130</v>
      </c>
      <c r="BK71" s="2" t="s">
        <v>130</v>
      </c>
      <c r="BL71" s="2" t="s">
        <v>1692</v>
      </c>
      <c r="BM71" s="2" t="s">
        <v>1692</v>
      </c>
      <c r="BN71" s="2" t="s">
        <v>777</v>
      </c>
      <c r="BO71" s="39" t="s">
        <v>74</v>
      </c>
      <c r="BP71" s="39"/>
      <c r="BQ71" s="2" t="s">
        <v>74</v>
      </c>
      <c r="BR71" s="2" t="s">
        <v>1693</v>
      </c>
      <c r="BS71" s="2" t="s">
        <v>1901</v>
      </c>
      <c r="BT71" s="2" t="s">
        <v>107</v>
      </c>
      <c r="BU71" s="2" t="s">
        <v>107</v>
      </c>
      <c r="BV71" s="2" t="s">
        <v>107</v>
      </c>
      <c r="BW71" s="2" t="s">
        <v>107</v>
      </c>
      <c r="BX71" s="8"/>
      <c r="BY71" s="2" t="s">
        <v>103</v>
      </c>
      <c r="BZ71" s="2" t="s">
        <v>103</v>
      </c>
      <c r="CA71" s="2" t="s">
        <v>761</v>
      </c>
      <c r="CB71" s="2" t="s">
        <v>761</v>
      </c>
      <c r="CC71" s="2" t="s">
        <v>339</v>
      </c>
      <c r="CD71" s="2" t="s">
        <v>339</v>
      </c>
      <c r="CE71" s="2" t="s">
        <v>313</v>
      </c>
      <c r="CF71" s="2" t="s">
        <v>313</v>
      </c>
      <c r="CG71" s="8"/>
      <c r="CH71" s="2" t="s">
        <v>107</v>
      </c>
      <c r="CI71" s="2" t="s">
        <v>314</v>
      </c>
      <c r="CJ71" s="2" t="s">
        <v>801</v>
      </c>
      <c r="CK71" s="2" t="s">
        <v>83</v>
      </c>
      <c r="CL71" s="2" t="s">
        <v>814</v>
      </c>
      <c r="CM71" s="10" t="s">
        <v>1694</v>
      </c>
      <c r="CN71" s="2" t="s">
        <v>925</v>
      </c>
      <c r="CO71" s="2" t="s">
        <v>925</v>
      </c>
      <c r="CP71" s="2" t="s">
        <v>1473</v>
      </c>
      <c r="CQ71" s="8"/>
      <c r="CR71" s="2" t="s">
        <v>74</v>
      </c>
      <c r="CS71" s="8"/>
      <c r="CT71" s="8"/>
      <c r="CU71" s="8"/>
      <c r="CV71" s="8"/>
      <c r="CW71" s="8"/>
      <c r="CX71" s="8"/>
      <c r="CY71" s="8"/>
      <c r="CZ71" s="8"/>
      <c r="DA71" s="8"/>
      <c r="DB71" s="8"/>
      <c r="DC71" s="8"/>
      <c r="DD71" s="8"/>
      <c r="DE71" s="8"/>
      <c r="DF71" s="8"/>
      <c r="DG71" s="8"/>
      <c r="DH71" s="8"/>
      <c r="DI71" s="8"/>
      <c r="DJ71" s="8"/>
      <c r="DK71" s="8"/>
      <c r="DL71" s="8"/>
      <c r="DM71" s="8"/>
      <c r="DN71" s="8"/>
    </row>
    <row r="72" spans="1:118" ht="15.75" customHeight="1">
      <c r="A72" s="8">
        <v>95</v>
      </c>
      <c r="B72" s="8"/>
      <c r="C72" s="2" t="s">
        <v>69</v>
      </c>
      <c r="D72" s="2" t="s">
        <v>70</v>
      </c>
      <c r="E72" s="9">
        <v>43853.476948090276</v>
      </c>
      <c r="F72" s="2" t="s">
        <v>1684</v>
      </c>
      <c r="G72" s="2" t="s">
        <v>1695</v>
      </c>
      <c r="H72" s="2" t="s">
        <v>1696</v>
      </c>
      <c r="I72" s="2" t="s">
        <v>83</v>
      </c>
      <c r="J72" s="10" t="s">
        <v>1697</v>
      </c>
      <c r="K72" s="2" t="s">
        <v>1698</v>
      </c>
      <c r="L72" s="2" t="s">
        <v>1699</v>
      </c>
      <c r="M72" s="2" t="s">
        <v>152</v>
      </c>
      <c r="N72" s="2" t="s">
        <v>152</v>
      </c>
      <c r="O72" s="2" t="s">
        <v>680</v>
      </c>
      <c r="P72" s="2" t="s">
        <v>608</v>
      </c>
      <c r="Q72" s="2" t="s">
        <v>1700</v>
      </c>
      <c r="R72" s="2" t="s">
        <v>1375</v>
      </c>
      <c r="S72" s="2" t="s">
        <v>1375</v>
      </c>
      <c r="T72" s="2">
        <v>2010</v>
      </c>
      <c r="U72" s="2" t="s">
        <v>82</v>
      </c>
      <c r="V72" s="2" t="s">
        <v>74</v>
      </c>
      <c r="W72" s="2" t="s">
        <v>74</v>
      </c>
      <c r="X72" s="2" t="s">
        <v>223</v>
      </c>
      <c r="Y72" s="38" t="s">
        <v>282</v>
      </c>
      <c r="Z72" s="2" t="s">
        <v>84</v>
      </c>
      <c r="AA72" s="2" t="s">
        <v>84</v>
      </c>
      <c r="AB72" s="38" t="s">
        <v>1701</v>
      </c>
      <c r="AC72" s="38" t="s">
        <v>2132</v>
      </c>
      <c r="AD72" s="2" t="s">
        <v>74</v>
      </c>
      <c r="AE72" s="2" t="s">
        <v>1702</v>
      </c>
      <c r="AF72" s="2" t="s">
        <v>1702</v>
      </c>
      <c r="AG72" s="2" t="s">
        <v>87</v>
      </c>
      <c r="AH72" s="2" t="s">
        <v>87</v>
      </c>
      <c r="AI72" s="2" t="s">
        <v>85</v>
      </c>
      <c r="AJ72" s="2" t="s">
        <v>85</v>
      </c>
      <c r="AK72" s="2" t="s">
        <v>74</v>
      </c>
      <c r="AL72" s="2" t="s">
        <v>74</v>
      </c>
      <c r="AM72" s="2" t="s">
        <v>1703</v>
      </c>
      <c r="AN72" s="2" t="s">
        <v>89</v>
      </c>
      <c r="AO72" s="2" t="s">
        <v>90</v>
      </c>
      <c r="AP72" s="2" t="s">
        <v>90</v>
      </c>
      <c r="AQ72" s="2" t="s">
        <v>1678</v>
      </c>
      <c r="AR72" s="2" t="s">
        <v>1678</v>
      </c>
      <c r="AS72" s="2" t="s">
        <v>284</v>
      </c>
      <c r="AT72" s="2" t="s">
        <v>284</v>
      </c>
      <c r="AU72" s="2" t="s">
        <v>284</v>
      </c>
      <c r="AV72" s="2" t="s">
        <v>284</v>
      </c>
      <c r="AW72" s="2" t="s">
        <v>94</v>
      </c>
      <c r="AX72" s="2" t="s">
        <v>94</v>
      </c>
      <c r="AY72" s="2" t="s">
        <v>74</v>
      </c>
      <c r="AZ72" s="2" t="s">
        <v>74</v>
      </c>
      <c r="BA72" s="2" t="s">
        <v>164</v>
      </c>
      <c r="BB72" s="2" t="s">
        <v>164</v>
      </c>
      <c r="BC72" s="2" t="s">
        <v>74</v>
      </c>
      <c r="BD72" s="2" t="s">
        <v>95</v>
      </c>
      <c r="BE72" s="2" t="s">
        <v>83</v>
      </c>
      <c r="BF72" s="2" t="s">
        <v>74</v>
      </c>
      <c r="BG72" s="2" t="s">
        <v>74</v>
      </c>
      <c r="BH72" s="2" t="s">
        <v>1340</v>
      </c>
      <c r="BI72" s="2" t="s">
        <v>1340</v>
      </c>
      <c r="BJ72" s="2" t="s">
        <v>233</v>
      </c>
      <c r="BK72" s="2" t="s">
        <v>233</v>
      </c>
      <c r="BL72" s="2" t="s">
        <v>725</v>
      </c>
      <c r="BM72" s="2" t="s">
        <v>725</v>
      </c>
      <c r="BN72" s="2" t="s">
        <v>777</v>
      </c>
      <c r="BO72" s="39" t="s">
        <v>74</v>
      </c>
      <c r="BP72" s="39"/>
      <c r="BQ72" s="2" t="s">
        <v>74</v>
      </c>
      <c r="BR72" s="2" t="s">
        <v>107</v>
      </c>
      <c r="BS72" s="2" t="s">
        <v>107</v>
      </c>
      <c r="BT72" s="2" t="s">
        <v>107</v>
      </c>
      <c r="BU72" s="2" t="s">
        <v>107</v>
      </c>
      <c r="BV72" s="2" t="s">
        <v>107</v>
      </c>
      <c r="BW72" s="2" t="s">
        <v>107</v>
      </c>
      <c r="BX72" s="8"/>
      <c r="BY72" s="2" t="s">
        <v>103</v>
      </c>
      <c r="BZ72" s="2" t="s">
        <v>103</v>
      </c>
      <c r="CA72" s="2" t="s">
        <v>761</v>
      </c>
      <c r="CB72" s="2" t="s">
        <v>761</v>
      </c>
      <c r="CC72" s="2" t="s">
        <v>399</v>
      </c>
      <c r="CD72" s="2" t="s">
        <v>399</v>
      </c>
      <c r="CE72" s="2" t="s">
        <v>107</v>
      </c>
      <c r="CF72" s="2" t="s">
        <v>107</v>
      </c>
      <c r="CG72" s="8"/>
      <c r="CH72" s="2" t="s">
        <v>233</v>
      </c>
      <c r="CI72" s="2" t="s">
        <v>341</v>
      </c>
      <c r="CJ72" s="2" t="s">
        <v>140</v>
      </c>
      <c r="CK72" s="2" t="s">
        <v>83</v>
      </c>
      <c r="CL72" s="2" t="s">
        <v>141</v>
      </c>
      <c r="CM72" s="8"/>
      <c r="CN72" s="2" t="s">
        <v>271</v>
      </c>
      <c r="CO72" s="2" t="s">
        <v>271</v>
      </c>
      <c r="CP72" s="2" t="s">
        <v>1473</v>
      </c>
      <c r="CQ72" s="8"/>
      <c r="CR72" s="2" t="s">
        <v>74</v>
      </c>
      <c r="CS72" s="8"/>
      <c r="CU72" s="8"/>
      <c r="CV72" s="8"/>
      <c r="CW72" s="8"/>
      <c r="CX72" s="8"/>
      <c r="CY72" s="8"/>
      <c r="CZ72" s="8"/>
      <c r="DA72" s="8"/>
      <c r="DB72" s="8"/>
      <c r="DC72" s="8"/>
      <c r="DD72" s="8"/>
      <c r="DE72" s="8"/>
      <c r="DF72" s="8"/>
      <c r="DG72" s="8"/>
      <c r="DH72" s="8"/>
      <c r="DI72" s="8"/>
      <c r="DJ72" s="8"/>
      <c r="DK72" s="8"/>
      <c r="DL72" s="8"/>
      <c r="DM72" s="8"/>
      <c r="DN72" s="8"/>
    </row>
    <row r="73" spans="1:118" ht="15.75" customHeight="1">
      <c r="A73" s="8">
        <v>96</v>
      </c>
      <c r="B73" s="8"/>
      <c r="C73" s="2" t="s">
        <v>69</v>
      </c>
      <c r="D73" s="2" t="s">
        <v>246</v>
      </c>
      <c r="E73" s="9">
        <v>43853.789640868054</v>
      </c>
      <c r="F73" s="2" t="s">
        <v>1704</v>
      </c>
      <c r="G73" s="2" t="s">
        <v>1705</v>
      </c>
      <c r="H73" s="2" t="s">
        <v>1706</v>
      </c>
      <c r="I73" s="2" t="s">
        <v>74</v>
      </c>
      <c r="J73" s="10" t="s">
        <v>1707</v>
      </c>
      <c r="K73" s="2" t="s">
        <v>1704</v>
      </c>
      <c r="L73" s="2" t="s">
        <v>1708</v>
      </c>
      <c r="M73" s="2" t="s">
        <v>152</v>
      </c>
      <c r="N73" s="2" t="s">
        <v>152</v>
      </c>
      <c r="O73" s="2" t="s">
        <v>1709</v>
      </c>
      <c r="P73" s="2" t="s">
        <v>608</v>
      </c>
      <c r="Q73" s="2" t="s">
        <v>1710</v>
      </c>
      <c r="R73" s="2" t="s">
        <v>118</v>
      </c>
      <c r="S73" s="2" t="s">
        <v>118</v>
      </c>
      <c r="T73" s="2">
        <v>2008</v>
      </c>
      <c r="U73" s="2" t="s">
        <v>82</v>
      </c>
      <c r="V73" s="2" t="s">
        <v>74</v>
      </c>
      <c r="W73" s="2" t="s">
        <v>74</v>
      </c>
      <c r="X73" s="2" t="s">
        <v>720</v>
      </c>
      <c r="Y73" s="2" t="s">
        <v>720</v>
      </c>
      <c r="Z73" s="2" t="s">
        <v>84</v>
      </c>
      <c r="AA73" s="2" t="s">
        <v>84</v>
      </c>
      <c r="AB73" s="2" t="s">
        <v>258</v>
      </c>
      <c r="AC73" s="2" t="s">
        <v>258</v>
      </c>
      <c r="AD73" s="2" t="s">
        <v>74</v>
      </c>
      <c r="AE73" s="2" t="s">
        <v>1711</v>
      </c>
      <c r="AF73" s="2" t="s">
        <v>1711</v>
      </c>
      <c r="AG73" s="2" t="s">
        <v>190</v>
      </c>
      <c r="AH73" s="2" t="s">
        <v>190</v>
      </c>
      <c r="AI73" s="2" t="s">
        <v>261</v>
      </c>
      <c r="AJ73" s="2" t="s">
        <v>261</v>
      </c>
      <c r="AK73" s="2" t="s">
        <v>83</v>
      </c>
      <c r="AL73" s="2" t="s">
        <v>83</v>
      </c>
      <c r="AM73" s="8"/>
      <c r="AN73" s="2" t="s">
        <v>205</v>
      </c>
      <c r="AO73" s="2" t="s">
        <v>90</v>
      </c>
      <c r="AP73" s="2" t="s">
        <v>90</v>
      </c>
      <c r="AQ73" s="2" t="s">
        <v>999</v>
      </c>
      <c r="AR73" s="2" t="s">
        <v>999</v>
      </c>
      <c r="AS73" s="2" t="s">
        <v>128</v>
      </c>
      <c r="AT73" s="2" t="s">
        <v>128</v>
      </c>
      <c r="AU73" s="2" t="s">
        <v>284</v>
      </c>
      <c r="AV73" s="2" t="s">
        <v>284</v>
      </c>
      <c r="AW73" s="2" t="s">
        <v>94</v>
      </c>
      <c r="AX73" s="2" t="s">
        <v>94</v>
      </c>
      <c r="AY73" s="2" t="s">
        <v>95</v>
      </c>
      <c r="AZ73" s="2" t="s">
        <v>83</v>
      </c>
      <c r="BA73" s="2" t="s">
        <v>284</v>
      </c>
      <c r="BB73" s="2" t="s">
        <v>284</v>
      </c>
      <c r="BC73" s="2" t="s">
        <v>74</v>
      </c>
      <c r="BD73" s="2" t="s">
        <v>74</v>
      </c>
      <c r="BE73" s="2" t="s">
        <v>74</v>
      </c>
      <c r="BF73" s="2" t="s">
        <v>83</v>
      </c>
      <c r="BG73" s="2" t="s">
        <v>74</v>
      </c>
      <c r="BH73" s="2" t="s">
        <v>97</v>
      </c>
      <c r="BI73" s="2" t="s">
        <v>97</v>
      </c>
      <c r="BJ73" s="2" t="s">
        <v>233</v>
      </c>
      <c r="BK73" s="2" t="s">
        <v>233</v>
      </c>
      <c r="BL73" s="2" t="s">
        <v>725</v>
      </c>
      <c r="BM73" s="2" t="s">
        <v>725</v>
      </c>
      <c r="BN73" s="2" t="s">
        <v>1712</v>
      </c>
      <c r="BO73" s="39" t="s">
        <v>74</v>
      </c>
      <c r="BP73" s="39"/>
      <c r="BQ73" s="2" t="s">
        <v>83</v>
      </c>
      <c r="BR73" s="2" t="s">
        <v>101</v>
      </c>
      <c r="BS73" s="2" t="s">
        <v>101</v>
      </c>
      <c r="BT73" s="2" t="s">
        <v>107</v>
      </c>
      <c r="BU73" s="2" t="s">
        <v>107</v>
      </c>
      <c r="BV73" s="2" t="s">
        <v>83</v>
      </c>
      <c r="BW73" s="2" t="s">
        <v>83</v>
      </c>
      <c r="BX73" s="8"/>
      <c r="BY73" s="2" t="s">
        <v>1713</v>
      </c>
      <c r="BZ73" s="38" t="s">
        <v>738</v>
      </c>
      <c r="CA73" s="2" t="s">
        <v>761</v>
      </c>
      <c r="CB73" s="2" t="s">
        <v>761</v>
      </c>
      <c r="CC73" s="2" t="s">
        <v>233</v>
      </c>
      <c r="CD73" s="2" t="s">
        <v>233</v>
      </c>
      <c r="CE73" s="2" t="s">
        <v>136</v>
      </c>
      <c r="CF73" s="2" t="s">
        <v>136</v>
      </c>
      <c r="CG73" s="8"/>
      <c r="CH73" s="2" t="s">
        <v>233</v>
      </c>
      <c r="CI73" s="2" t="s">
        <v>108</v>
      </c>
      <c r="CJ73" s="2" t="s">
        <v>801</v>
      </c>
      <c r="CK73" s="2" t="s">
        <v>233</v>
      </c>
      <c r="CL73" s="2" t="s">
        <v>233</v>
      </c>
      <c r="CM73" s="8"/>
      <c r="CN73" s="2" t="s">
        <v>233</v>
      </c>
      <c r="CO73" s="2" t="s">
        <v>233</v>
      </c>
      <c r="CP73" s="2" t="s">
        <v>233</v>
      </c>
      <c r="CQ73" s="8"/>
      <c r="CR73" s="2" t="s">
        <v>74</v>
      </c>
      <c r="CS73" s="8"/>
      <c r="CT73" s="8"/>
      <c r="CU73" s="8"/>
      <c r="CV73" s="8"/>
      <c r="CW73" s="8"/>
      <c r="CX73" s="8"/>
      <c r="CY73" s="8"/>
      <c r="CZ73" s="8"/>
      <c r="DA73" s="8"/>
      <c r="DB73" s="8"/>
      <c r="DC73" s="8"/>
      <c r="DD73" s="8"/>
      <c r="DE73" s="8"/>
      <c r="DF73" s="8"/>
      <c r="DG73" s="8"/>
      <c r="DH73" s="8"/>
      <c r="DI73" s="8"/>
      <c r="DJ73" s="8"/>
      <c r="DK73" s="8"/>
      <c r="DL73" s="8"/>
      <c r="DM73" s="8"/>
      <c r="DN73" s="8"/>
    </row>
    <row r="74" spans="1:118" ht="15.75" customHeight="1">
      <c r="A74" s="8">
        <v>97</v>
      </c>
      <c r="B74" s="2" t="s">
        <v>1714</v>
      </c>
      <c r="C74" s="2" t="s">
        <v>69</v>
      </c>
      <c r="D74" s="2" t="s">
        <v>246</v>
      </c>
      <c r="E74" s="9">
        <v>43854.375155624999</v>
      </c>
      <c r="F74" s="2" t="s">
        <v>1715</v>
      </c>
      <c r="G74" s="2" t="s">
        <v>1716</v>
      </c>
      <c r="H74" s="2" t="s">
        <v>1717</v>
      </c>
      <c r="I74" s="2" t="s">
        <v>74</v>
      </c>
      <c r="J74" s="2" t="s">
        <v>1718</v>
      </c>
      <c r="K74" s="2" t="s">
        <v>1715</v>
      </c>
      <c r="L74" s="2" t="s">
        <v>1719</v>
      </c>
      <c r="M74" s="2" t="s">
        <v>152</v>
      </c>
      <c r="N74" s="2" t="s">
        <v>152</v>
      </c>
      <c r="O74" s="2" t="s">
        <v>680</v>
      </c>
      <c r="P74" s="2" t="s">
        <v>608</v>
      </c>
      <c r="Q74" s="2" t="s">
        <v>1720</v>
      </c>
      <c r="R74" s="2" t="s">
        <v>118</v>
      </c>
      <c r="S74" s="2" t="s">
        <v>118</v>
      </c>
      <c r="T74" s="2">
        <v>2013</v>
      </c>
      <c r="U74" s="2">
        <v>2018</v>
      </c>
      <c r="V74" s="2" t="s">
        <v>74</v>
      </c>
      <c r="W74" s="2" t="s">
        <v>74</v>
      </c>
      <c r="X74" s="2" t="s">
        <v>119</v>
      </c>
      <c r="Y74" s="2" t="s">
        <v>119</v>
      </c>
      <c r="Z74" s="2" t="s">
        <v>1721</v>
      </c>
      <c r="AA74" s="2" t="s">
        <v>1721</v>
      </c>
      <c r="AB74" s="2" t="s">
        <v>120</v>
      </c>
      <c r="AC74" s="2" t="s">
        <v>120</v>
      </c>
      <c r="AD74" s="2" t="s">
        <v>158</v>
      </c>
      <c r="AE74" s="2" t="s">
        <v>582</v>
      </c>
      <c r="AF74" s="2" t="s">
        <v>582</v>
      </c>
      <c r="AG74" s="2" t="s">
        <v>232</v>
      </c>
      <c r="AH74" s="2" t="s">
        <v>232</v>
      </c>
      <c r="AI74" s="2" t="s">
        <v>499</v>
      </c>
      <c r="AJ74" s="2" t="s">
        <v>499</v>
      </c>
      <c r="AK74" s="2" t="s">
        <v>83</v>
      </c>
      <c r="AL74" s="2" t="s">
        <v>83</v>
      </c>
      <c r="AM74" s="8"/>
      <c r="AN74" s="2" t="s">
        <v>107</v>
      </c>
      <c r="AO74" s="2" t="s">
        <v>90</v>
      </c>
      <c r="AP74" s="2" t="s">
        <v>90</v>
      </c>
      <c r="AQ74" s="2" t="s">
        <v>263</v>
      </c>
      <c r="AR74" s="2" t="s">
        <v>263</v>
      </c>
      <c r="AS74" s="2" t="s">
        <v>128</v>
      </c>
      <c r="AT74" s="2" t="s">
        <v>128</v>
      </c>
      <c r="AU74" s="2" t="s">
        <v>93</v>
      </c>
      <c r="AV74" s="2" t="s">
        <v>93</v>
      </c>
      <c r="AW74" s="2" t="s">
        <v>163</v>
      </c>
      <c r="AX74" s="2" t="s">
        <v>163</v>
      </c>
      <c r="AY74" s="2" t="s">
        <v>74</v>
      </c>
      <c r="AZ74" s="2" t="s">
        <v>74</v>
      </c>
      <c r="BA74" s="2" t="s">
        <v>96</v>
      </c>
      <c r="BB74" s="2" t="s">
        <v>96</v>
      </c>
      <c r="BC74" s="2" t="s">
        <v>74</v>
      </c>
      <c r="BD74" s="2" t="s">
        <v>74</v>
      </c>
      <c r="BE74" s="2" t="s">
        <v>74</v>
      </c>
      <c r="BF74" s="2" t="s">
        <v>74</v>
      </c>
      <c r="BG74" s="2" t="s">
        <v>74</v>
      </c>
      <c r="BH74" s="2" t="s">
        <v>97</v>
      </c>
      <c r="BI74" s="2" t="s">
        <v>97</v>
      </c>
      <c r="BJ74" s="2" t="s">
        <v>130</v>
      </c>
      <c r="BK74" s="2" t="s">
        <v>130</v>
      </c>
      <c r="BL74" s="2" t="s">
        <v>308</v>
      </c>
      <c r="BM74" s="2" t="s">
        <v>308</v>
      </c>
      <c r="BN74" s="2" t="s">
        <v>631</v>
      </c>
      <c r="BO74" s="2" t="s">
        <v>83</v>
      </c>
      <c r="BP74" s="2" t="s">
        <v>2201</v>
      </c>
      <c r="BQ74" s="2" t="s">
        <v>83</v>
      </c>
      <c r="BR74" s="2" t="s">
        <v>107</v>
      </c>
      <c r="BS74" s="2" t="s">
        <v>107</v>
      </c>
      <c r="BT74" s="2" t="s">
        <v>107</v>
      </c>
      <c r="BU74" s="2" t="s">
        <v>107</v>
      </c>
      <c r="BV74" s="2" t="s">
        <v>83</v>
      </c>
      <c r="BW74" s="2" t="s">
        <v>83</v>
      </c>
      <c r="BX74" s="8"/>
      <c r="BY74" s="2" t="s">
        <v>107</v>
      </c>
      <c r="BZ74" s="2" t="s">
        <v>107</v>
      </c>
      <c r="CA74" s="2" t="s">
        <v>368</v>
      </c>
      <c r="CB74" s="2" t="s">
        <v>368</v>
      </c>
      <c r="CC74" s="2" t="s">
        <v>1722</v>
      </c>
      <c r="CD74" s="2" t="s">
        <v>1722</v>
      </c>
      <c r="CE74" s="30" t="s">
        <v>1723</v>
      </c>
      <c r="CF74" s="45" t="s">
        <v>2188</v>
      </c>
      <c r="CG74" s="2" t="s">
        <v>1724</v>
      </c>
      <c r="CH74" s="2" t="s">
        <v>775</v>
      </c>
      <c r="CI74" s="2" t="s">
        <v>341</v>
      </c>
      <c r="CJ74" s="2" t="s">
        <v>140</v>
      </c>
      <c r="CK74" s="2" t="s">
        <v>233</v>
      </c>
      <c r="CL74" s="2" t="s">
        <v>270</v>
      </c>
      <c r="CM74" s="10" t="s">
        <v>1725</v>
      </c>
      <c r="CN74" s="2" t="s">
        <v>143</v>
      </c>
      <c r="CO74" s="2" t="s">
        <v>143</v>
      </c>
      <c r="CP74" s="2" t="s">
        <v>238</v>
      </c>
      <c r="CQ74" s="8"/>
      <c r="CR74" s="2" t="s">
        <v>74</v>
      </c>
      <c r="CS74" s="8"/>
      <c r="CT74" s="8"/>
      <c r="CU74" s="8"/>
      <c r="CV74" s="8"/>
      <c r="CW74" s="8"/>
      <c r="CX74" s="8"/>
      <c r="CY74" s="8"/>
      <c r="CZ74" s="8"/>
      <c r="DA74" s="8"/>
      <c r="DB74" s="8"/>
      <c r="DC74" s="8"/>
      <c r="DD74" s="8"/>
      <c r="DE74" s="8"/>
      <c r="DF74" s="8"/>
      <c r="DG74" s="8"/>
      <c r="DH74" s="8"/>
      <c r="DI74" s="8"/>
      <c r="DJ74" s="8"/>
      <c r="DK74" s="8"/>
      <c r="DL74" s="8"/>
      <c r="DM74" s="8"/>
      <c r="DN74" s="8"/>
    </row>
    <row r="75" spans="1:118" ht="15.75" customHeight="1">
      <c r="A75" s="8">
        <v>98</v>
      </c>
      <c r="B75" s="8"/>
      <c r="C75" s="2" t="s">
        <v>69</v>
      </c>
      <c r="D75" s="2" t="s">
        <v>70</v>
      </c>
      <c r="E75" s="9">
        <v>43856.388195706022</v>
      </c>
      <c r="F75" s="2" t="s">
        <v>1726</v>
      </c>
      <c r="G75" s="2" t="s">
        <v>1727</v>
      </c>
      <c r="H75" s="2" t="s">
        <v>1728</v>
      </c>
      <c r="I75" s="2" t="s">
        <v>74</v>
      </c>
      <c r="J75" s="10" t="s">
        <v>1729</v>
      </c>
      <c r="K75" s="2" t="s">
        <v>1727</v>
      </c>
      <c r="L75" s="2" t="s">
        <v>1730</v>
      </c>
      <c r="M75" s="2" t="s">
        <v>152</v>
      </c>
      <c r="N75" s="2" t="s">
        <v>152</v>
      </c>
      <c r="O75" s="2" t="s">
        <v>680</v>
      </c>
      <c r="P75" s="2" t="s">
        <v>608</v>
      </c>
      <c r="Q75" s="2" t="s">
        <v>1542</v>
      </c>
      <c r="R75" s="2" t="s">
        <v>118</v>
      </c>
      <c r="S75" s="2" t="s">
        <v>118</v>
      </c>
      <c r="T75" s="2">
        <v>2017</v>
      </c>
      <c r="U75" s="2" t="s">
        <v>82</v>
      </c>
      <c r="V75" s="2" t="s">
        <v>95</v>
      </c>
      <c r="W75" s="2" t="s">
        <v>95</v>
      </c>
      <c r="X75" s="2" t="s">
        <v>119</v>
      </c>
      <c r="Y75" s="2" t="s">
        <v>119</v>
      </c>
      <c r="Z75" s="2" t="s">
        <v>84</v>
      </c>
      <c r="AA75" s="2" t="s">
        <v>84</v>
      </c>
      <c r="AB75" s="2" t="s">
        <v>258</v>
      </c>
      <c r="AC75" s="2" t="s">
        <v>258</v>
      </c>
      <c r="AD75" s="2" t="s">
        <v>74</v>
      </c>
      <c r="AE75" s="2" t="s">
        <v>386</v>
      </c>
      <c r="AF75" s="2" t="s">
        <v>386</v>
      </c>
      <c r="AG75" s="2" t="s">
        <v>260</v>
      </c>
      <c r="AH75" s="2" t="s">
        <v>260</v>
      </c>
      <c r="AI75" s="2" t="s">
        <v>499</v>
      </c>
      <c r="AJ75" s="2" t="s">
        <v>499</v>
      </c>
      <c r="AK75" s="2" t="s">
        <v>74</v>
      </c>
      <c r="AL75" s="2" t="s">
        <v>74</v>
      </c>
      <c r="AM75" s="2" t="s">
        <v>1731</v>
      </c>
      <c r="AN75" s="2" t="s">
        <v>89</v>
      </c>
      <c r="AO75" s="2" t="s">
        <v>90</v>
      </c>
      <c r="AP75" s="2" t="s">
        <v>90</v>
      </c>
      <c r="AQ75" s="2" t="s">
        <v>1732</v>
      </c>
      <c r="AR75" s="2" t="s">
        <v>2160</v>
      </c>
      <c r="AS75" s="2" t="s">
        <v>128</v>
      </c>
      <c r="AT75" s="2" t="s">
        <v>128</v>
      </c>
      <c r="AU75" s="2" t="s">
        <v>284</v>
      </c>
      <c r="AV75" s="2" t="s">
        <v>284</v>
      </c>
      <c r="AW75" s="2" t="s">
        <v>1733</v>
      </c>
      <c r="AX75" s="2" t="s">
        <v>1733</v>
      </c>
      <c r="AY75" s="2" t="s">
        <v>74</v>
      </c>
      <c r="AZ75" s="2" t="s">
        <v>74</v>
      </c>
      <c r="BA75" s="2" t="s">
        <v>96</v>
      </c>
      <c r="BB75" s="2" t="s">
        <v>96</v>
      </c>
      <c r="BC75" s="2" t="s">
        <v>74</v>
      </c>
      <c r="BD75" s="2" t="s">
        <v>74</v>
      </c>
      <c r="BE75" s="2" t="s">
        <v>74</v>
      </c>
      <c r="BF75" s="2" t="s">
        <v>74</v>
      </c>
      <c r="BG75" s="2" t="s">
        <v>74</v>
      </c>
      <c r="BH75" s="2" t="s">
        <v>358</v>
      </c>
      <c r="BI75" s="2" t="s">
        <v>358</v>
      </c>
      <c r="BJ75" s="2" t="s">
        <v>1734</v>
      </c>
      <c r="BK75" s="2" t="s">
        <v>2171</v>
      </c>
      <c r="BL75" s="2" t="s">
        <v>1735</v>
      </c>
      <c r="BM75" s="2" t="s">
        <v>2178</v>
      </c>
      <c r="BN75" s="2" t="s">
        <v>1736</v>
      </c>
      <c r="BO75" s="39" t="s">
        <v>74</v>
      </c>
      <c r="BP75" s="39"/>
      <c r="BQ75" s="2" t="s">
        <v>74</v>
      </c>
      <c r="BR75" s="2" t="s">
        <v>1737</v>
      </c>
      <c r="BS75" s="2" t="s">
        <v>1901</v>
      </c>
      <c r="BT75" s="2" t="s">
        <v>780</v>
      </c>
      <c r="BU75" s="2" t="s">
        <v>780</v>
      </c>
      <c r="BV75" s="2" t="s">
        <v>74</v>
      </c>
      <c r="BW75" s="2" t="s">
        <v>74</v>
      </c>
      <c r="BX75" s="8"/>
      <c r="BY75" s="2" t="s">
        <v>1738</v>
      </c>
      <c r="BZ75" s="38" t="s">
        <v>107</v>
      </c>
      <c r="CA75" s="2" t="s">
        <v>761</v>
      </c>
      <c r="CB75" s="2" t="s">
        <v>761</v>
      </c>
      <c r="CC75" s="2" t="s">
        <v>288</v>
      </c>
      <c r="CD75" s="2" t="s">
        <v>288</v>
      </c>
      <c r="CE75" s="2" t="s">
        <v>136</v>
      </c>
      <c r="CF75" s="2" t="s">
        <v>136</v>
      </c>
      <c r="CG75" s="2" t="s">
        <v>1739</v>
      </c>
      <c r="CH75" s="2" t="s">
        <v>107</v>
      </c>
      <c r="CI75" s="2" t="s">
        <v>108</v>
      </c>
      <c r="CJ75" s="2" t="s">
        <v>171</v>
      </c>
      <c r="CK75" s="2" t="s">
        <v>83</v>
      </c>
      <c r="CL75" s="2" t="s">
        <v>270</v>
      </c>
      <c r="CM75" s="8"/>
      <c r="CN75" s="2" t="s">
        <v>572</v>
      </c>
      <c r="CO75" s="2" t="s">
        <v>572</v>
      </c>
      <c r="CP75" s="2" t="s">
        <v>551</v>
      </c>
      <c r="CQ75" s="8"/>
      <c r="CR75" s="2" t="s">
        <v>74</v>
      </c>
      <c r="CS75" s="8"/>
      <c r="CT75" s="8"/>
      <c r="CU75" s="1"/>
      <c r="CV75" s="1"/>
      <c r="CW75" s="1"/>
      <c r="CX75" s="1"/>
      <c r="CY75" s="1"/>
      <c r="CZ75" s="1"/>
      <c r="DA75" s="1"/>
      <c r="DB75" s="1"/>
      <c r="DC75" s="1"/>
      <c r="DD75" s="1"/>
      <c r="DE75" s="1"/>
      <c r="DF75" s="1"/>
      <c r="DG75" s="1"/>
      <c r="DH75" s="1"/>
      <c r="DI75" s="1"/>
      <c r="DJ75" s="1"/>
      <c r="DK75" s="1"/>
      <c r="DL75" s="1"/>
      <c r="DM75" s="1"/>
      <c r="DN75" s="1"/>
    </row>
    <row r="76" spans="1:118" ht="15.75" customHeight="1">
      <c r="A76" s="8">
        <v>99</v>
      </c>
      <c r="B76" s="8" t="s">
        <v>1740</v>
      </c>
      <c r="C76" s="2" t="s">
        <v>69</v>
      </c>
      <c r="D76" s="2" t="s">
        <v>70</v>
      </c>
      <c r="E76" s="9">
        <v>43856.524759155094</v>
      </c>
      <c r="F76" s="2" t="s">
        <v>1741</v>
      </c>
      <c r="G76" s="2" t="s">
        <v>1742</v>
      </c>
      <c r="H76" s="2" t="s">
        <v>1743</v>
      </c>
      <c r="I76" s="2" t="s">
        <v>74</v>
      </c>
      <c r="J76" s="10" t="s">
        <v>1744</v>
      </c>
      <c r="K76" s="2" t="s">
        <v>1745</v>
      </c>
      <c r="L76" s="2" t="s">
        <v>1746</v>
      </c>
      <c r="M76" s="2" t="s">
        <v>152</v>
      </c>
      <c r="N76" s="2" t="s">
        <v>152</v>
      </c>
      <c r="O76" s="2" t="s">
        <v>680</v>
      </c>
      <c r="P76" s="2" t="s">
        <v>608</v>
      </c>
      <c r="Q76" s="2" t="s">
        <v>1747</v>
      </c>
      <c r="R76" s="2" t="s">
        <v>118</v>
      </c>
      <c r="S76" s="2" t="s">
        <v>118</v>
      </c>
      <c r="T76" s="2">
        <v>2019</v>
      </c>
      <c r="U76" s="2" t="s">
        <v>82</v>
      </c>
      <c r="V76" s="2" t="s">
        <v>83</v>
      </c>
      <c r="W76" s="2" t="s">
        <v>83</v>
      </c>
      <c r="X76" s="8"/>
      <c r="Y76" s="8"/>
      <c r="Z76" s="38" t="s">
        <v>1748</v>
      </c>
      <c r="AA76" s="38" t="s">
        <v>2127</v>
      </c>
      <c r="AB76" s="2" t="s">
        <v>729</v>
      </c>
      <c r="AC76" s="2" t="s">
        <v>729</v>
      </c>
      <c r="AD76" s="2" t="s">
        <v>95</v>
      </c>
      <c r="AE76" s="2" t="s">
        <v>1749</v>
      </c>
      <c r="AF76" s="38" t="s">
        <v>2138</v>
      </c>
      <c r="AG76" s="2" t="s">
        <v>87</v>
      </c>
      <c r="AH76" s="2" t="s">
        <v>87</v>
      </c>
      <c r="AI76" s="2" t="s">
        <v>499</v>
      </c>
      <c r="AJ76" s="2" t="s">
        <v>499</v>
      </c>
      <c r="AK76" s="2" t="s">
        <v>74</v>
      </c>
      <c r="AL76" s="2" t="s">
        <v>74</v>
      </c>
      <c r="AM76" s="2" t="s">
        <v>1750</v>
      </c>
      <c r="AN76" s="2" t="s">
        <v>89</v>
      </c>
      <c r="AO76" s="2" t="s">
        <v>90</v>
      </c>
      <c r="AP76" s="2" t="s">
        <v>90</v>
      </c>
      <c r="AQ76" s="2" t="s">
        <v>409</v>
      </c>
      <c r="AR76" s="2" t="s">
        <v>409</v>
      </c>
      <c r="AS76" s="2" t="s">
        <v>305</v>
      </c>
      <c r="AT76" s="2" t="s">
        <v>305</v>
      </c>
      <c r="AU76" s="2" t="s">
        <v>1751</v>
      </c>
      <c r="AV76" s="2" t="s">
        <v>284</v>
      </c>
      <c r="AW76" s="2" t="s">
        <v>1752</v>
      </c>
      <c r="AX76" s="2" t="s">
        <v>2162</v>
      </c>
      <c r="AY76" s="2" t="s">
        <v>95</v>
      </c>
      <c r="AZ76" s="2" t="s">
        <v>74</v>
      </c>
      <c r="BA76" s="2" t="s">
        <v>164</v>
      </c>
      <c r="BB76" s="2" t="s">
        <v>164</v>
      </c>
      <c r="BC76" s="2" t="s">
        <v>208</v>
      </c>
      <c r="BD76" s="2" t="s">
        <v>74</v>
      </c>
      <c r="BE76" s="2" t="s">
        <v>74</v>
      </c>
      <c r="BF76" s="2" t="s">
        <v>74</v>
      </c>
      <c r="BG76" s="2" t="s">
        <v>95</v>
      </c>
      <c r="BH76" s="2" t="s">
        <v>97</v>
      </c>
      <c r="BI76" s="2" t="s">
        <v>97</v>
      </c>
      <c r="BJ76" s="2" t="s">
        <v>130</v>
      </c>
      <c r="BK76" s="2" t="s">
        <v>130</v>
      </c>
      <c r="BL76" s="2" t="s">
        <v>1378</v>
      </c>
      <c r="BM76" s="2" t="s">
        <v>1378</v>
      </c>
      <c r="BN76" s="2" t="s">
        <v>1753</v>
      </c>
      <c r="BO76" s="39" t="s">
        <v>74</v>
      </c>
      <c r="BP76" s="39"/>
      <c r="BQ76" s="2" t="s">
        <v>74</v>
      </c>
      <c r="BR76" s="2" t="s">
        <v>1754</v>
      </c>
      <c r="BS76" s="38" t="s">
        <v>2088</v>
      </c>
      <c r="BT76" s="2" t="s">
        <v>107</v>
      </c>
      <c r="BU76" s="2" t="s">
        <v>107</v>
      </c>
      <c r="BV76" s="2" t="s">
        <v>1755</v>
      </c>
      <c r="BW76" s="38" t="s">
        <v>74</v>
      </c>
      <c r="BX76" s="8"/>
      <c r="BY76" s="2" t="s">
        <v>233</v>
      </c>
      <c r="BZ76" s="2" t="s">
        <v>233</v>
      </c>
      <c r="CA76" s="2" t="s">
        <v>761</v>
      </c>
      <c r="CB76" s="2" t="s">
        <v>761</v>
      </c>
      <c r="CC76" s="2" t="s">
        <v>105</v>
      </c>
      <c r="CD76" s="2" t="s">
        <v>105</v>
      </c>
      <c r="CE76" s="2" t="s">
        <v>593</v>
      </c>
      <c r="CF76" s="2" t="s">
        <v>593</v>
      </c>
      <c r="CG76" s="2" t="s">
        <v>1756</v>
      </c>
      <c r="CH76" s="2" t="s">
        <v>107</v>
      </c>
      <c r="CI76" s="2" t="s">
        <v>108</v>
      </c>
      <c r="CJ76" s="2" t="s">
        <v>108</v>
      </c>
      <c r="CK76" s="2" t="s">
        <v>233</v>
      </c>
      <c r="CL76" s="2" t="s">
        <v>233</v>
      </c>
      <c r="CM76" s="8"/>
      <c r="CN76" s="2" t="s">
        <v>1757</v>
      </c>
      <c r="CO76" s="2" t="s">
        <v>2346</v>
      </c>
      <c r="CP76" s="2" t="s">
        <v>282</v>
      </c>
      <c r="CQ76" s="8"/>
      <c r="CR76" s="2" t="s">
        <v>83</v>
      </c>
      <c r="CS76" s="2" t="s">
        <v>1758</v>
      </c>
      <c r="CT76" s="8"/>
      <c r="CU76" s="8"/>
      <c r="CV76" s="8"/>
      <c r="CW76" s="8"/>
      <c r="CX76" s="8"/>
      <c r="CY76" s="8"/>
      <c r="CZ76" s="8"/>
      <c r="DA76" s="8"/>
      <c r="DB76" s="8"/>
      <c r="DC76" s="8"/>
      <c r="DD76" s="8"/>
      <c r="DE76" s="8"/>
      <c r="DF76" s="8"/>
      <c r="DG76" s="8"/>
      <c r="DH76" s="8"/>
      <c r="DI76" s="8"/>
      <c r="DJ76" s="8"/>
      <c r="DK76" s="8"/>
      <c r="DL76" s="8"/>
      <c r="DM76" s="8"/>
      <c r="DN76" s="8"/>
    </row>
    <row r="77" spans="1:118" ht="15.75" customHeight="1">
      <c r="A77" s="8">
        <v>100</v>
      </c>
      <c r="B77" s="8"/>
      <c r="C77" s="2" t="s">
        <v>69</v>
      </c>
      <c r="D77" s="2" t="s">
        <v>289</v>
      </c>
      <c r="E77" s="9">
        <v>43857.650160914352</v>
      </c>
      <c r="F77" s="2" t="s">
        <v>1759</v>
      </c>
      <c r="G77" s="2" t="s">
        <v>1760</v>
      </c>
      <c r="H77" s="2" t="s">
        <v>1761</v>
      </c>
      <c r="I77" s="2" t="s">
        <v>74</v>
      </c>
      <c r="J77" s="10" t="s">
        <v>1762</v>
      </c>
      <c r="K77" s="2" t="s">
        <v>1763</v>
      </c>
      <c r="L77" s="2" t="s">
        <v>1764</v>
      </c>
      <c r="M77" s="2" t="s">
        <v>152</v>
      </c>
      <c r="N77" s="2" t="s">
        <v>152</v>
      </c>
      <c r="O77" s="2" t="s">
        <v>682</v>
      </c>
      <c r="P77" s="2" t="s">
        <v>1276</v>
      </c>
      <c r="Q77" s="2" t="s">
        <v>1765</v>
      </c>
      <c r="R77" s="2" t="s">
        <v>418</v>
      </c>
      <c r="S77" s="2" t="s">
        <v>418</v>
      </c>
      <c r="T77" s="2">
        <v>2014</v>
      </c>
      <c r="U77" s="2" t="s">
        <v>82</v>
      </c>
      <c r="V77" s="2" t="s">
        <v>95</v>
      </c>
      <c r="W77" s="2" t="s">
        <v>95</v>
      </c>
      <c r="X77" s="2" t="s">
        <v>119</v>
      </c>
      <c r="Y77" s="2" t="s">
        <v>119</v>
      </c>
      <c r="Z77" s="2" t="s">
        <v>84</v>
      </c>
      <c r="AA77" s="2" t="s">
        <v>84</v>
      </c>
      <c r="AB77" s="2" t="s">
        <v>258</v>
      </c>
      <c r="AC77" s="2" t="s">
        <v>258</v>
      </c>
      <c r="AD77" s="2" t="s">
        <v>74</v>
      </c>
      <c r="AE77" s="2" t="s">
        <v>1766</v>
      </c>
      <c r="AF77" s="2" t="s">
        <v>1766</v>
      </c>
      <c r="AG77" s="2" t="s">
        <v>260</v>
      </c>
      <c r="AH77" s="2" t="s">
        <v>260</v>
      </c>
      <c r="AI77" s="2" t="s">
        <v>261</v>
      </c>
      <c r="AJ77" s="2" t="s">
        <v>261</v>
      </c>
      <c r="AK77" s="2" t="s">
        <v>74</v>
      </c>
      <c r="AL77" s="2" t="s">
        <v>74</v>
      </c>
      <c r="AM77" s="2" t="s">
        <v>1767</v>
      </c>
      <c r="AN77" s="2" t="s">
        <v>205</v>
      </c>
      <c r="AO77" s="2" t="s">
        <v>90</v>
      </c>
      <c r="AP77" s="2" t="s">
        <v>90</v>
      </c>
      <c r="AQ77" s="2" t="s">
        <v>999</v>
      </c>
      <c r="AR77" s="2" t="s">
        <v>999</v>
      </c>
      <c r="AS77" s="2" t="s">
        <v>284</v>
      </c>
      <c r="AT77" s="2" t="s">
        <v>284</v>
      </c>
      <c r="AU77" s="2" t="s">
        <v>284</v>
      </c>
      <c r="AV77" s="2" t="s">
        <v>284</v>
      </c>
      <c r="AW77" s="2" t="s">
        <v>94</v>
      </c>
      <c r="AX77" s="2" t="s">
        <v>94</v>
      </c>
      <c r="AY77" s="2" t="s">
        <v>95</v>
      </c>
      <c r="AZ77" s="2" t="s">
        <v>83</v>
      </c>
      <c r="BA77" s="2" t="s">
        <v>284</v>
      </c>
      <c r="BB77" s="2" t="s">
        <v>284</v>
      </c>
      <c r="BC77" s="2" t="s">
        <v>74</v>
      </c>
      <c r="BD77" s="2" t="s">
        <v>95</v>
      </c>
      <c r="BE77" s="2" t="s">
        <v>74</v>
      </c>
      <c r="BF77" s="2" t="s">
        <v>74</v>
      </c>
      <c r="BG77" s="2" t="s">
        <v>74</v>
      </c>
      <c r="BH77" s="2" t="s">
        <v>97</v>
      </c>
      <c r="BI77" s="2" t="s">
        <v>97</v>
      </c>
      <c r="BJ77" s="2" t="s">
        <v>130</v>
      </c>
      <c r="BK77" s="2" t="s">
        <v>130</v>
      </c>
      <c r="BL77" s="2" t="s">
        <v>725</v>
      </c>
      <c r="BM77" s="2" t="s">
        <v>725</v>
      </c>
      <c r="BN77" s="2" t="s">
        <v>365</v>
      </c>
      <c r="BO77" s="2" t="s">
        <v>83</v>
      </c>
      <c r="BP77" s="2" t="s">
        <v>2201</v>
      </c>
      <c r="BQ77" s="2" t="s">
        <v>83</v>
      </c>
      <c r="BR77" s="2" t="s">
        <v>101</v>
      </c>
      <c r="BS77" s="2" t="s">
        <v>101</v>
      </c>
      <c r="BT77" s="2" t="s">
        <v>107</v>
      </c>
      <c r="BU77" s="2" t="s">
        <v>107</v>
      </c>
      <c r="BV77" s="2" t="s">
        <v>83</v>
      </c>
      <c r="BW77" s="2" t="s">
        <v>83</v>
      </c>
      <c r="BX77" s="8"/>
      <c r="BY77" s="2" t="s">
        <v>107</v>
      </c>
      <c r="BZ77" s="2" t="s">
        <v>107</v>
      </c>
      <c r="CA77" s="2" t="s">
        <v>398</v>
      </c>
      <c r="CB77" s="2" t="s">
        <v>398</v>
      </c>
      <c r="CC77" s="2" t="s">
        <v>168</v>
      </c>
      <c r="CD77" s="2" t="s">
        <v>168</v>
      </c>
      <c r="CE77" s="2" t="s">
        <v>136</v>
      </c>
      <c r="CF77" s="2" t="s">
        <v>136</v>
      </c>
      <c r="CG77" s="2" t="s">
        <v>1768</v>
      </c>
      <c r="CH77" s="2" t="s">
        <v>233</v>
      </c>
      <c r="CI77" s="2" t="s">
        <v>314</v>
      </c>
      <c r="CJ77" s="2" t="s">
        <v>315</v>
      </c>
      <c r="CK77" s="2" t="s">
        <v>83</v>
      </c>
      <c r="CL77" s="2">
        <v>0</v>
      </c>
      <c r="CM77" s="8"/>
      <c r="CN77" s="2" t="s">
        <v>233</v>
      </c>
      <c r="CO77" s="2" t="s">
        <v>233</v>
      </c>
      <c r="CP77" s="2" t="s">
        <v>233</v>
      </c>
      <c r="CQ77" s="8"/>
      <c r="CR77" s="2" t="s">
        <v>74</v>
      </c>
      <c r="CS77" s="8"/>
      <c r="CT77" s="8"/>
      <c r="CU77" s="8"/>
      <c r="CV77" s="8"/>
      <c r="CW77" s="8"/>
      <c r="CX77" s="8"/>
      <c r="CY77" s="8"/>
      <c r="CZ77" s="8"/>
      <c r="DA77" s="8"/>
      <c r="DB77" s="8"/>
      <c r="DC77" s="8"/>
      <c r="DD77" s="8"/>
      <c r="DE77" s="8"/>
      <c r="DF77" s="8"/>
      <c r="DG77" s="8"/>
      <c r="DH77" s="8"/>
      <c r="DI77" s="8"/>
      <c r="DJ77" s="8"/>
      <c r="DK77" s="8"/>
      <c r="DL77" s="8"/>
      <c r="DM77" s="8"/>
      <c r="DN77" s="8"/>
    </row>
    <row r="78" spans="1:118" ht="15.75" customHeight="1">
      <c r="A78" s="8">
        <v>101</v>
      </c>
      <c r="B78" s="8"/>
      <c r="C78" s="2" t="s">
        <v>69</v>
      </c>
      <c r="D78" s="2" t="s">
        <v>70</v>
      </c>
      <c r="E78" s="9">
        <v>43858.45363418982</v>
      </c>
      <c r="F78" s="2" t="s">
        <v>1769</v>
      </c>
      <c r="G78" s="2" t="s">
        <v>1770</v>
      </c>
      <c r="H78" s="10" t="s">
        <v>1771</v>
      </c>
      <c r="I78" s="2" t="s">
        <v>83</v>
      </c>
      <c r="J78" s="10" t="s">
        <v>1772</v>
      </c>
      <c r="K78" s="2" t="s">
        <v>1769</v>
      </c>
      <c r="L78" s="2" t="s">
        <v>1773</v>
      </c>
      <c r="M78" s="2" t="s">
        <v>77</v>
      </c>
      <c r="N78" s="2" t="s">
        <v>77</v>
      </c>
      <c r="O78" s="2" t="s">
        <v>682</v>
      </c>
      <c r="P78" s="2" t="s">
        <v>1276</v>
      </c>
      <c r="Q78" s="2" t="s">
        <v>1774</v>
      </c>
      <c r="R78" s="2" t="s">
        <v>1775</v>
      </c>
      <c r="S78" s="2" t="s">
        <v>418</v>
      </c>
      <c r="T78" s="2">
        <v>2016</v>
      </c>
      <c r="U78" s="2" t="s">
        <v>107</v>
      </c>
      <c r="V78" s="2" t="s">
        <v>83</v>
      </c>
      <c r="W78" s="2" t="s">
        <v>74</v>
      </c>
      <c r="X78" s="2" t="s">
        <v>256</v>
      </c>
      <c r="Y78" s="2" t="s">
        <v>256</v>
      </c>
      <c r="Z78" s="2" t="s">
        <v>84</v>
      </c>
      <c r="AA78" s="2" t="s">
        <v>84</v>
      </c>
      <c r="AB78" s="2" t="s">
        <v>385</v>
      </c>
      <c r="AC78" s="2" t="s">
        <v>385</v>
      </c>
      <c r="AD78" s="2" t="s">
        <v>74</v>
      </c>
      <c r="AE78" s="2" t="s">
        <v>1395</v>
      </c>
      <c r="AF78" s="2" t="s">
        <v>1395</v>
      </c>
      <c r="AG78" s="2" t="s">
        <v>1581</v>
      </c>
      <c r="AH78" s="2" t="s">
        <v>1581</v>
      </c>
      <c r="AI78" s="2" t="s">
        <v>261</v>
      </c>
      <c r="AJ78" s="2" t="s">
        <v>261</v>
      </c>
      <c r="AK78" s="2" t="s">
        <v>83</v>
      </c>
      <c r="AL78" s="2" t="s">
        <v>83</v>
      </c>
      <c r="AM78" s="8"/>
      <c r="AN78" s="2" t="s">
        <v>205</v>
      </c>
      <c r="AO78" s="2" t="s">
        <v>126</v>
      </c>
      <c r="AP78" s="2" t="s">
        <v>126</v>
      </c>
      <c r="AQ78" s="2" t="s">
        <v>999</v>
      </c>
      <c r="AR78" s="2" t="s">
        <v>999</v>
      </c>
      <c r="AS78" s="2" t="s">
        <v>1776</v>
      </c>
      <c r="AT78" s="2" t="s">
        <v>92</v>
      </c>
      <c r="AU78" s="2" t="s">
        <v>284</v>
      </c>
      <c r="AV78" s="2" t="s">
        <v>284</v>
      </c>
      <c r="AW78" s="2" t="s">
        <v>163</v>
      </c>
      <c r="AX78" s="2" t="s">
        <v>163</v>
      </c>
      <c r="AY78" s="2" t="s">
        <v>83</v>
      </c>
      <c r="AZ78" s="2" t="s">
        <v>83</v>
      </c>
      <c r="BA78" s="2" t="s">
        <v>284</v>
      </c>
      <c r="BB78" s="2" t="s">
        <v>284</v>
      </c>
      <c r="BC78" s="2" t="s">
        <v>74</v>
      </c>
      <c r="BD78" s="2" t="s">
        <v>83</v>
      </c>
      <c r="BE78" s="2" t="s">
        <v>74</v>
      </c>
      <c r="BF78" s="2" t="s">
        <v>83</v>
      </c>
      <c r="BG78" s="2" t="s">
        <v>74</v>
      </c>
      <c r="BH78" s="2" t="s">
        <v>1777</v>
      </c>
      <c r="BI78" s="2" t="s">
        <v>2356</v>
      </c>
      <c r="BJ78" s="2" t="s">
        <v>130</v>
      </c>
      <c r="BK78" s="2" t="s">
        <v>130</v>
      </c>
      <c r="BL78" s="2" t="s">
        <v>725</v>
      </c>
      <c r="BM78" s="2" t="s">
        <v>725</v>
      </c>
      <c r="BN78" s="2" t="s">
        <v>631</v>
      </c>
      <c r="BO78" s="2" t="s">
        <v>74</v>
      </c>
      <c r="BP78" s="2" t="s">
        <v>2202</v>
      </c>
      <c r="BQ78" s="2" t="s">
        <v>74</v>
      </c>
      <c r="BR78" s="2" t="s">
        <v>101</v>
      </c>
      <c r="BS78" s="2" t="s">
        <v>101</v>
      </c>
      <c r="BT78" s="2" t="s">
        <v>857</v>
      </c>
      <c r="BU78" s="2" t="s">
        <v>857</v>
      </c>
      <c r="BV78" s="2" t="s">
        <v>1778</v>
      </c>
      <c r="BW78" s="38" t="s">
        <v>74</v>
      </c>
      <c r="BX78" s="8"/>
      <c r="BY78" s="2" t="s">
        <v>1779</v>
      </c>
      <c r="BZ78" s="38" t="s">
        <v>738</v>
      </c>
      <c r="CA78" s="2" t="s">
        <v>167</v>
      </c>
      <c r="CB78" s="2" t="s">
        <v>167</v>
      </c>
      <c r="CC78" s="2" t="s">
        <v>339</v>
      </c>
      <c r="CD78" s="2" t="s">
        <v>339</v>
      </c>
      <c r="CE78" s="2" t="s">
        <v>1780</v>
      </c>
      <c r="CF78" s="38" t="s">
        <v>2188</v>
      </c>
      <c r="CG78" s="8"/>
      <c r="CH78" s="2" t="s">
        <v>107</v>
      </c>
      <c r="CI78" s="2" t="s">
        <v>234</v>
      </c>
      <c r="CJ78" s="2" t="s">
        <v>341</v>
      </c>
      <c r="CK78" s="2" t="s">
        <v>83</v>
      </c>
      <c r="CL78" s="2">
        <v>0</v>
      </c>
      <c r="CM78" s="8"/>
      <c r="CN78" s="2" t="s">
        <v>1781</v>
      </c>
      <c r="CO78" s="2" t="s">
        <v>2353</v>
      </c>
      <c r="CP78" s="2" t="s">
        <v>107</v>
      </c>
      <c r="CQ78" s="8"/>
      <c r="CR78" s="2" t="s">
        <v>74</v>
      </c>
      <c r="CS78" s="2" t="s">
        <v>1782</v>
      </c>
      <c r="CT78" s="8"/>
      <c r="CU78" s="8"/>
      <c r="CV78" s="8"/>
      <c r="CW78" s="8"/>
      <c r="CX78" s="8"/>
      <c r="CY78" s="8"/>
      <c r="CZ78" s="8"/>
      <c r="DA78" s="8"/>
      <c r="DB78" s="8"/>
      <c r="DC78" s="8"/>
      <c r="DD78" s="8"/>
      <c r="DE78" s="8"/>
      <c r="DF78" s="8"/>
      <c r="DG78" s="8"/>
      <c r="DH78" s="8"/>
      <c r="DI78" s="8"/>
      <c r="DJ78" s="8"/>
      <c r="DK78" s="8"/>
      <c r="DL78" s="8"/>
      <c r="DM78" s="8"/>
      <c r="DN78" s="8"/>
    </row>
    <row r="79" spans="1:118" ht="15.75" customHeight="1">
      <c r="A79" s="8">
        <v>102</v>
      </c>
      <c r="B79" s="8"/>
      <c r="C79" s="2" t="s">
        <v>69</v>
      </c>
      <c r="D79" s="2" t="s">
        <v>70</v>
      </c>
      <c r="E79" s="9">
        <v>43858.65454131944</v>
      </c>
      <c r="F79" s="2" t="s">
        <v>1783</v>
      </c>
      <c r="G79" s="2" t="s">
        <v>1784</v>
      </c>
      <c r="H79" s="2" t="s">
        <v>1785</v>
      </c>
      <c r="I79" s="2" t="s">
        <v>74</v>
      </c>
      <c r="J79" s="10" t="s">
        <v>1786</v>
      </c>
      <c r="K79" s="2" t="s">
        <v>1783</v>
      </c>
      <c r="L79" s="2" t="s">
        <v>1787</v>
      </c>
      <c r="M79" s="2" t="s">
        <v>152</v>
      </c>
      <c r="N79" s="2" t="s">
        <v>152</v>
      </c>
      <c r="O79" s="2" t="s">
        <v>682</v>
      </c>
      <c r="P79" s="2" t="s">
        <v>1276</v>
      </c>
      <c r="Q79" s="2" t="s">
        <v>1788</v>
      </c>
      <c r="R79" s="2" t="s">
        <v>513</v>
      </c>
      <c r="S79" s="2" t="s">
        <v>513</v>
      </c>
      <c r="T79" s="2">
        <v>2006</v>
      </c>
      <c r="U79" s="2" t="s">
        <v>82</v>
      </c>
      <c r="V79" s="2" t="s">
        <v>74</v>
      </c>
      <c r="W79" s="2" t="s">
        <v>74</v>
      </c>
      <c r="X79" s="2" t="s">
        <v>223</v>
      </c>
      <c r="Y79" s="38" t="s">
        <v>282</v>
      </c>
      <c r="Z79" s="2" t="s">
        <v>84</v>
      </c>
      <c r="AA79" s="2" t="s">
        <v>84</v>
      </c>
      <c r="AB79" s="2" t="s">
        <v>1789</v>
      </c>
      <c r="AC79" s="38" t="s">
        <v>258</v>
      </c>
      <c r="AD79" s="2" t="s">
        <v>74</v>
      </c>
      <c r="AE79" s="2" t="s">
        <v>1790</v>
      </c>
      <c r="AF79" s="2" t="s">
        <v>1790</v>
      </c>
      <c r="AG79" s="2" t="s">
        <v>1791</v>
      </c>
      <c r="AH79" s="2" t="s">
        <v>1791</v>
      </c>
      <c r="AI79" s="2" t="s">
        <v>261</v>
      </c>
      <c r="AJ79" s="2" t="s">
        <v>261</v>
      </c>
      <c r="AK79" s="2" t="s">
        <v>74</v>
      </c>
      <c r="AL79" s="2" t="s">
        <v>74</v>
      </c>
      <c r="AM79" s="2" t="s">
        <v>1792</v>
      </c>
      <c r="AN79" s="2" t="s">
        <v>303</v>
      </c>
      <c r="AO79" s="2" t="s">
        <v>90</v>
      </c>
      <c r="AP79" s="2" t="s">
        <v>90</v>
      </c>
      <c r="AQ79" s="2" t="s">
        <v>1793</v>
      </c>
      <c r="AR79" s="2" t="s">
        <v>1793</v>
      </c>
      <c r="AS79" s="2" t="s">
        <v>773</v>
      </c>
      <c r="AT79" s="2" t="s">
        <v>773</v>
      </c>
      <c r="AU79" s="2" t="s">
        <v>284</v>
      </c>
      <c r="AV79" s="2" t="s">
        <v>284</v>
      </c>
      <c r="AW79" s="2" t="s">
        <v>163</v>
      </c>
      <c r="AX79" s="2" t="s">
        <v>163</v>
      </c>
      <c r="AY79" s="2" t="s">
        <v>74</v>
      </c>
      <c r="AZ79" s="2" t="s">
        <v>74</v>
      </c>
      <c r="BA79" s="2" t="s">
        <v>284</v>
      </c>
      <c r="BB79" s="2" t="s">
        <v>284</v>
      </c>
      <c r="BC79" s="2" t="s">
        <v>74</v>
      </c>
      <c r="BD79" s="2" t="s">
        <v>74</v>
      </c>
      <c r="BE79" s="2" t="s">
        <v>74</v>
      </c>
      <c r="BF79" s="2" t="s">
        <v>74</v>
      </c>
      <c r="BG79" s="2" t="s">
        <v>74</v>
      </c>
      <c r="BH79" s="2" t="s">
        <v>97</v>
      </c>
      <c r="BI79" s="2" t="s">
        <v>97</v>
      </c>
      <c r="BJ79" s="2" t="s">
        <v>233</v>
      </c>
      <c r="BK79" s="2" t="s">
        <v>233</v>
      </c>
      <c r="BL79" s="2" t="s">
        <v>975</v>
      </c>
      <c r="BM79" s="2" t="s">
        <v>975</v>
      </c>
      <c r="BN79" s="2" t="s">
        <v>1736</v>
      </c>
      <c r="BO79" s="39" t="s">
        <v>74</v>
      </c>
      <c r="BP79" s="39"/>
      <c r="BQ79" s="2" t="s">
        <v>83</v>
      </c>
      <c r="BR79" s="2" t="s">
        <v>1794</v>
      </c>
      <c r="BS79" s="2" t="s">
        <v>738</v>
      </c>
      <c r="BT79" s="2" t="s">
        <v>107</v>
      </c>
      <c r="BU79" s="2" t="s">
        <v>107</v>
      </c>
      <c r="BV79" s="10" t="s">
        <v>1795</v>
      </c>
      <c r="BW79" s="41" t="s">
        <v>74</v>
      </c>
      <c r="BX79" s="8"/>
      <c r="BY79" s="2" t="s">
        <v>103</v>
      </c>
      <c r="BZ79" s="2" t="s">
        <v>103</v>
      </c>
      <c r="CA79" s="2" t="s">
        <v>522</v>
      </c>
      <c r="CB79" s="2" t="s">
        <v>522</v>
      </c>
      <c r="CC79" s="2" t="s">
        <v>288</v>
      </c>
      <c r="CD79" s="2" t="s">
        <v>288</v>
      </c>
      <c r="CE79" s="2" t="s">
        <v>313</v>
      </c>
      <c r="CF79" s="2" t="s">
        <v>313</v>
      </c>
      <c r="CG79" s="2" t="s">
        <v>1796</v>
      </c>
      <c r="CH79" s="2" t="s">
        <v>233</v>
      </c>
      <c r="CI79" s="2" t="s">
        <v>314</v>
      </c>
      <c r="CJ79" s="2" t="s">
        <v>235</v>
      </c>
      <c r="CK79" s="2" t="s">
        <v>83</v>
      </c>
      <c r="CL79" s="2" t="s">
        <v>814</v>
      </c>
      <c r="CM79" s="10" t="s">
        <v>1797</v>
      </c>
      <c r="CN79" s="2" t="s">
        <v>143</v>
      </c>
      <c r="CO79" s="2" t="s">
        <v>143</v>
      </c>
      <c r="CP79" s="2" t="s">
        <v>282</v>
      </c>
      <c r="CQ79" s="8"/>
      <c r="CR79" s="2" t="s">
        <v>74</v>
      </c>
      <c r="CS79" s="8"/>
      <c r="CT79" s="8"/>
      <c r="CU79" s="8"/>
      <c r="CV79" s="8"/>
      <c r="CW79" s="8"/>
      <c r="CX79" s="8"/>
      <c r="CY79" s="8"/>
      <c r="CZ79" s="8"/>
      <c r="DA79" s="8"/>
      <c r="DB79" s="8"/>
      <c r="DC79" s="8"/>
      <c r="DD79" s="8"/>
      <c r="DE79" s="8"/>
      <c r="DF79" s="8"/>
      <c r="DG79" s="8"/>
      <c r="DH79" s="8"/>
      <c r="DI79" s="8"/>
      <c r="DJ79" s="8"/>
      <c r="DK79" s="8"/>
      <c r="DL79" s="8"/>
      <c r="DM79" s="8"/>
      <c r="DN79" s="8"/>
    </row>
    <row r="80" spans="1:118" ht="15.75" customHeight="1">
      <c r="A80" s="8">
        <v>103</v>
      </c>
      <c r="B80" s="119" t="s">
        <v>1798</v>
      </c>
      <c r="C80" s="119" t="s">
        <v>1799</v>
      </c>
      <c r="D80" s="2" t="s">
        <v>70</v>
      </c>
      <c r="E80" s="9">
        <v>43859.60638809028</v>
      </c>
      <c r="F80" s="2" t="s">
        <v>1800</v>
      </c>
      <c r="G80" s="2" t="s">
        <v>1801</v>
      </c>
      <c r="H80" s="2" t="s">
        <v>1802</v>
      </c>
      <c r="I80" s="2" t="s">
        <v>83</v>
      </c>
      <c r="J80" s="10" t="s">
        <v>1803</v>
      </c>
      <c r="K80" s="10" t="s">
        <v>1804</v>
      </c>
      <c r="L80" s="2" t="s">
        <v>1805</v>
      </c>
      <c r="M80" s="2" t="s">
        <v>77</v>
      </c>
      <c r="N80" s="2" t="s">
        <v>77</v>
      </c>
      <c r="O80" s="2" t="s">
        <v>1806</v>
      </c>
      <c r="P80" s="2" t="s">
        <v>1807</v>
      </c>
      <c r="Q80" s="2" t="s">
        <v>1808</v>
      </c>
      <c r="R80" s="2" t="s">
        <v>418</v>
      </c>
      <c r="S80" s="2" t="s">
        <v>418</v>
      </c>
      <c r="T80" s="2">
        <v>2018</v>
      </c>
      <c r="U80" s="2" t="s">
        <v>82</v>
      </c>
      <c r="V80" s="2" t="s">
        <v>95</v>
      </c>
      <c r="W80" s="2" t="s">
        <v>95</v>
      </c>
      <c r="X80" s="2" t="s">
        <v>282</v>
      </c>
      <c r="Y80" s="2" t="s">
        <v>282</v>
      </c>
      <c r="Z80" s="2" t="s">
        <v>84</v>
      </c>
      <c r="AA80" s="2" t="s">
        <v>84</v>
      </c>
      <c r="AB80" s="2" t="s">
        <v>120</v>
      </c>
      <c r="AC80" s="2" t="s">
        <v>120</v>
      </c>
      <c r="AD80" s="2" t="s">
        <v>158</v>
      </c>
      <c r="AE80" s="2" t="s">
        <v>1810</v>
      </c>
      <c r="AF80" s="2" t="s">
        <v>1810</v>
      </c>
      <c r="AG80" s="2" t="s">
        <v>1811</v>
      </c>
      <c r="AH80" s="38" t="s">
        <v>107</v>
      </c>
      <c r="AI80" s="2" t="s">
        <v>366</v>
      </c>
      <c r="AJ80" s="2" t="s">
        <v>366</v>
      </c>
      <c r="AK80" s="2" t="s">
        <v>107</v>
      </c>
      <c r="AL80" s="2" t="s">
        <v>107</v>
      </c>
      <c r="AM80" s="8"/>
      <c r="AN80" s="2" t="s">
        <v>125</v>
      </c>
      <c r="AO80" s="2" t="s">
        <v>126</v>
      </c>
      <c r="AP80" s="2" t="s">
        <v>126</v>
      </c>
      <c r="AQ80" s="2" t="s">
        <v>107</v>
      </c>
      <c r="AR80" s="2" t="s">
        <v>107</v>
      </c>
      <c r="AS80" s="2" t="s">
        <v>107</v>
      </c>
      <c r="AT80" s="2" t="s">
        <v>107</v>
      </c>
      <c r="AU80" s="2" t="s">
        <v>107</v>
      </c>
      <c r="AV80" s="2" t="s">
        <v>107</v>
      </c>
      <c r="AW80" s="2" t="s">
        <v>107</v>
      </c>
      <c r="AX80" s="2" t="s">
        <v>107</v>
      </c>
      <c r="AY80" s="2" t="s">
        <v>107</v>
      </c>
      <c r="AZ80" s="2" t="s">
        <v>107</v>
      </c>
      <c r="BA80" s="2" t="s">
        <v>107</v>
      </c>
      <c r="BB80" s="2" t="s">
        <v>107</v>
      </c>
      <c r="BC80" s="2" t="s">
        <v>107</v>
      </c>
      <c r="BD80" s="2" t="s">
        <v>107</v>
      </c>
      <c r="BE80" s="2" t="s">
        <v>107</v>
      </c>
      <c r="BF80" s="2" t="s">
        <v>107</v>
      </c>
      <c r="BG80" s="2" t="s">
        <v>107</v>
      </c>
      <c r="BH80" s="2" t="s">
        <v>107</v>
      </c>
      <c r="BI80" s="2" t="s">
        <v>107</v>
      </c>
      <c r="BJ80" s="2" t="s">
        <v>107</v>
      </c>
      <c r="BK80" s="2" t="s">
        <v>107</v>
      </c>
      <c r="BL80" s="2" t="s">
        <v>107</v>
      </c>
      <c r="BM80" s="2" t="s">
        <v>107</v>
      </c>
      <c r="BN80" s="2" t="s">
        <v>107</v>
      </c>
      <c r="BO80" s="39" t="s">
        <v>107</v>
      </c>
      <c r="BP80" s="39"/>
      <c r="BQ80" s="2" t="s">
        <v>107</v>
      </c>
      <c r="BR80" s="2" t="s">
        <v>107</v>
      </c>
      <c r="BS80" s="2" t="s">
        <v>107</v>
      </c>
      <c r="BT80" s="2" t="s">
        <v>107</v>
      </c>
      <c r="BU80" s="2" t="s">
        <v>107</v>
      </c>
      <c r="BV80" s="2" t="s">
        <v>107</v>
      </c>
      <c r="BW80" s="2" t="s">
        <v>107</v>
      </c>
      <c r="BX80" s="8"/>
      <c r="BY80" s="2" t="s">
        <v>107</v>
      </c>
      <c r="BZ80" s="2" t="s">
        <v>107</v>
      </c>
      <c r="CA80" s="2" t="s">
        <v>107</v>
      </c>
      <c r="CB80" s="2" t="s">
        <v>107</v>
      </c>
      <c r="CC80" s="2" t="s">
        <v>168</v>
      </c>
      <c r="CD80" s="2" t="s">
        <v>288</v>
      </c>
      <c r="CE80" s="2" t="s">
        <v>168</v>
      </c>
      <c r="CF80" s="2" t="s">
        <v>168</v>
      </c>
      <c r="CG80" s="8"/>
      <c r="CH80" s="2" t="s">
        <v>107</v>
      </c>
      <c r="CI80" s="2" t="s">
        <v>108</v>
      </c>
      <c r="CJ80" s="2" t="s">
        <v>108</v>
      </c>
      <c r="CK80" s="2" t="s">
        <v>107</v>
      </c>
      <c r="CL80" s="2" t="s">
        <v>107</v>
      </c>
      <c r="CM80" s="8"/>
      <c r="CN80" s="2" t="s">
        <v>107</v>
      </c>
      <c r="CO80" s="2" t="s">
        <v>107</v>
      </c>
      <c r="CP80" s="2" t="s">
        <v>107</v>
      </c>
      <c r="CQ80" s="8"/>
      <c r="CR80" s="2" t="s">
        <v>83</v>
      </c>
      <c r="CS80" s="2" t="s">
        <v>1812</v>
      </c>
      <c r="CT80" s="8"/>
      <c r="CU80" s="8"/>
      <c r="CV80" s="8"/>
      <c r="CW80" s="8"/>
      <c r="CX80" s="8"/>
      <c r="CY80" s="8"/>
      <c r="CZ80" s="8"/>
      <c r="DA80" s="8"/>
      <c r="DB80" s="8"/>
      <c r="DC80" s="8"/>
      <c r="DD80" s="8"/>
      <c r="DE80" s="8"/>
      <c r="DF80" s="8"/>
      <c r="DG80" s="8"/>
      <c r="DH80" s="8"/>
      <c r="DI80" s="8"/>
      <c r="DJ80" s="8"/>
      <c r="DK80" s="8"/>
      <c r="DL80" s="8"/>
      <c r="DM80" s="8"/>
      <c r="DN80" s="8"/>
    </row>
    <row r="81" spans="1:118" ht="15.75" customHeight="1">
      <c r="A81" s="8">
        <v>104</v>
      </c>
      <c r="B81" s="2" t="s">
        <v>1460</v>
      </c>
      <c r="C81" s="2" t="s">
        <v>69</v>
      </c>
      <c r="D81" s="2" t="s">
        <v>1408</v>
      </c>
      <c r="E81" s="9">
        <v>43859.623147719903</v>
      </c>
      <c r="F81" s="2" t="s">
        <v>1800</v>
      </c>
      <c r="G81" s="2" t="s">
        <v>1801</v>
      </c>
      <c r="H81" s="2" t="s">
        <v>1813</v>
      </c>
      <c r="I81" s="2" t="s">
        <v>83</v>
      </c>
      <c r="J81" s="10" t="s">
        <v>1814</v>
      </c>
      <c r="K81" s="2" t="s">
        <v>1815</v>
      </c>
      <c r="L81" s="2" t="s">
        <v>1816</v>
      </c>
      <c r="M81" s="2" t="s">
        <v>750</v>
      </c>
      <c r="N81" s="2" t="s">
        <v>750</v>
      </c>
      <c r="O81" s="2" t="s">
        <v>1817</v>
      </c>
      <c r="P81" s="2" t="s">
        <v>1488</v>
      </c>
      <c r="Q81" s="2" t="s">
        <v>1818</v>
      </c>
      <c r="R81" s="2" t="s">
        <v>418</v>
      </c>
      <c r="S81" s="2" t="s">
        <v>418</v>
      </c>
      <c r="T81" s="2">
        <v>2018</v>
      </c>
      <c r="U81" s="2">
        <v>2019</v>
      </c>
      <c r="V81" s="2" t="s">
        <v>95</v>
      </c>
      <c r="W81" s="2" t="s">
        <v>95</v>
      </c>
      <c r="X81" s="2" t="s">
        <v>282</v>
      </c>
      <c r="Y81" s="2" t="s">
        <v>282</v>
      </c>
      <c r="Z81" s="2" t="s">
        <v>84</v>
      </c>
      <c r="AA81" s="2" t="s">
        <v>84</v>
      </c>
      <c r="AB81" s="2" t="s">
        <v>120</v>
      </c>
      <c r="AC81" s="2" t="s">
        <v>120</v>
      </c>
      <c r="AD81" s="2" t="s">
        <v>158</v>
      </c>
      <c r="AE81" s="2" t="s">
        <v>1810</v>
      </c>
      <c r="AF81" s="2" t="s">
        <v>1810</v>
      </c>
      <c r="AG81" s="2" t="s">
        <v>1819</v>
      </c>
      <c r="AH81" s="38" t="s">
        <v>107</v>
      </c>
      <c r="AI81" s="2" t="s">
        <v>499</v>
      </c>
      <c r="AJ81" s="2" t="s">
        <v>499</v>
      </c>
      <c r="AK81" s="2" t="s">
        <v>107</v>
      </c>
      <c r="AL81" s="2" t="s">
        <v>107</v>
      </c>
      <c r="AM81" s="8"/>
      <c r="AN81" s="2" t="s">
        <v>125</v>
      </c>
      <c r="AO81" s="2" t="s">
        <v>107</v>
      </c>
      <c r="AP81" s="2" t="s">
        <v>107</v>
      </c>
      <c r="AQ81" s="2" t="s">
        <v>107</v>
      </c>
      <c r="AR81" s="2" t="s">
        <v>107</v>
      </c>
      <c r="AS81" s="2" t="s">
        <v>107</v>
      </c>
      <c r="AT81" s="2" t="s">
        <v>107</v>
      </c>
      <c r="AU81" s="2" t="s">
        <v>107</v>
      </c>
      <c r="AV81" s="2" t="s">
        <v>107</v>
      </c>
      <c r="AW81" s="2" t="s">
        <v>107</v>
      </c>
      <c r="AX81" s="2" t="s">
        <v>107</v>
      </c>
      <c r="AY81" s="2" t="s">
        <v>107</v>
      </c>
      <c r="AZ81" s="2" t="s">
        <v>107</v>
      </c>
      <c r="BA81" s="2" t="s">
        <v>107</v>
      </c>
      <c r="BB81" s="2" t="s">
        <v>107</v>
      </c>
      <c r="BC81" s="2" t="s">
        <v>107</v>
      </c>
      <c r="BD81" s="2" t="s">
        <v>107</v>
      </c>
      <c r="BE81" s="2" t="s">
        <v>107</v>
      </c>
      <c r="BF81" s="2" t="s">
        <v>107</v>
      </c>
      <c r="BG81" s="2" t="s">
        <v>107</v>
      </c>
      <c r="BH81" s="2" t="s">
        <v>107</v>
      </c>
      <c r="BI81" s="2" t="s">
        <v>107</v>
      </c>
      <c r="BJ81" s="2" t="s">
        <v>107</v>
      </c>
      <c r="BK81" s="2" t="s">
        <v>107</v>
      </c>
      <c r="BL81" s="2" t="s">
        <v>107</v>
      </c>
      <c r="BM81" s="2" t="s">
        <v>107</v>
      </c>
      <c r="BN81" s="2" t="s">
        <v>107</v>
      </c>
      <c r="BO81" s="2" t="s">
        <v>107</v>
      </c>
      <c r="BP81" s="39"/>
      <c r="BQ81" s="2" t="s">
        <v>107</v>
      </c>
      <c r="BR81" s="2" t="s">
        <v>107</v>
      </c>
      <c r="BS81" s="2" t="s">
        <v>107</v>
      </c>
      <c r="BT81" s="2" t="s">
        <v>107</v>
      </c>
      <c r="BU81" s="2" t="s">
        <v>107</v>
      </c>
      <c r="BV81" s="2" t="s">
        <v>107</v>
      </c>
      <c r="BW81" s="2" t="s">
        <v>107</v>
      </c>
      <c r="BX81" s="8"/>
      <c r="BY81" s="2" t="s">
        <v>107</v>
      </c>
      <c r="BZ81" s="2" t="s">
        <v>107</v>
      </c>
      <c r="CA81" s="2" t="s">
        <v>107</v>
      </c>
      <c r="CB81" s="2" t="s">
        <v>107</v>
      </c>
      <c r="CC81" s="2" t="s">
        <v>107</v>
      </c>
      <c r="CD81" s="2" t="s">
        <v>107</v>
      </c>
      <c r="CE81" s="2" t="s">
        <v>107</v>
      </c>
      <c r="CF81" s="2" t="s">
        <v>107</v>
      </c>
      <c r="CG81" s="8"/>
      <c r="CH81" s="2" t="s">
        <v>107</v>
      </c>
      <c r="CI81" s="2" t="s">
        <v>108</v>
      </c>
      <c r="CJ81" s="2" t="s">
        <v>108</v>
      </c>
      <c r="CK81" s="2" t="s">
        <v>107</v>
      </c>
      <c r="CL81" s="2" t="s">
        <v>107</v>
      </c>
      <c r="CM81" s="8"/>
      <c r="CN81" s="2" t="s">
        <v>107</v>
      </c>
      <c r="CO81" s="2" t="s">
        <v>107</v>
      </c>
      <c r="CP81" s="2" t="s">
        <v>107</v>
      </c>
      <c r="CQ81" s="8"/>
      <c r="CR81" s="2" t="s">
        <v>83</v>
      </c>
      <c r="CS81" s="2" t="s">
        <v>1820</v>
      </c>
      <c r="CT81" s="8"/>
      <c r="CU81" s="8"/>
      <c r="CV81" s="8"/>
      <c r="CW81" s="8"/>
      <c r="CX81" s="8"/>
      <c r="CY81" s="8"/>
      <c r="CZ81" s="8"/>
      <c r="DA81" s="8"/>
      <c r="DB81" s="8"/>
      <c r="DC81" s="8"/>
      <c r="DD81" s="8"/>
      <c r="DE81" s="8"/>
      <c r="DF81" s="8"/>
      <c r="DG81" s="8"/>
      <c r="DH81" s="8"/>
      <c r="DI81" s="8"/>
      <c r="DJ81" s="8"/>
      <c r="DK81" s="8"/>
      <c r="DL81" s="8"/>
      <c r="DM81" s="8"/>
      <c r="DN81" s="8"/>
    </row>
    <row r="82" spans="1:118" ht="15.75" customHeight="1">
      <c r="A82" s="8">
        <v>105</v>
      </c>
      <c r="B82" s="14" t="s">
        <v>1821</v>
      </c>
      <c r="C82" s="119" t="s">
        <v>1822</v>
      </c>
      <c r="D82" s="2" t="s">
        <v>70</v>
      </c>
      <c r="E82" s="9">
        <v>43860.401878321762</v>
      </c>
      <c r="F82" s="2" t="s">
        <v>1823</v>
      </c>
      <c r="G82" s="2" t="s">
        <v>1824</v>
      </c>
      <c r="H82" s="2" t="s">
        <v>1825</v>
      </c>
      <c r="I82" s="2" t="s">
        <v>74</v>
      </c>
      <c r="J82" s="10" t="s">
        <v>1826</v>
      </c>
      <c r="K82" s="2" t="s">
        <v>1823</v>
      </c>
      <c r="L82" s="2" t="s">
        <v>1827</v>
      </c>
      <c r="M82" s="2" t="s">
        <v>616</v>
      </c>
      <c r="N82" s="2" t="s">
        <v>616</v>
      </c>
      <c r="O82" s="2" t="s">
        <v>696</v>
      </c>
      <c r="P82" s="2" t="s">
        <v>608</v>
      </c>
      <c r="Q82" s="2" t="s">
        <v>1828</v>
      </c>
      <c r="R82" s="2" t="s">
        <v>513</v>
      </c>
      <c r="S82" s="2" t="s">
        <v>513</v>
      </c>
      <c r="T82" s="2">
        <v>2018</v>
      </c>
      <c r="U82" s="2">
        <v>2019</v>
      </c>
      <c r="V82" s="2" t="s">
        <v>74</v>
      </c>
      <c r="W82" s="2" t="s">
        <v>74</v>
      </c>
      <c r="X82" s="2" t="s">
        <v>282</v>
      </c>
      <c r="Y82" s="2" t="s">
        <v>282</v>
      </c>
      <c r="Z82" s="2" t="s">
        <v>1829</v>
      </c>
      <c r="AA82" s="2" t="s">
        <v>1829</v>
      </c>
      <c r="AB82" s="2" t="s">
        <v>731</v>
      </c>
      <c r="AC82" s="2" t="s">
        <v>731</v>
      </c>
      <c r="AD82" s="2" t="s">
        <v>74</v>
      </c>
      <c r="AE82" s="38" t="s">
        <v>1830</v>
      </c>
      <c r="AF82" s="38" t="s">
        <v>2142</v>
      </c>
      <c r="AG82" s="2" t="s">
        <v>1831</v>
      </c>
      <c r="AH82" s="2" t="s">
        <v>1831</v>
      </c>
      <c r="AI82" s="2" t="s">
        <v>366</v>
      </c>
      <c r="AJ82" s="2" t="s">
        <v>366</v>
      </c>
      <c r="AK82" s="2" t="s">
        <v>83</v>
      </c>
      <c r="AL82" s="2" t="s">
        <v>83</v>
      </c>
      <c r="AM82" s="8"/>
      <c r="AN82" s="2" t="s">
        <v>125</v>
      </c>
      <c r="AO82" s="2" t="s">
        <v>90</v>
      </c>
      <c r="AP82" s="2" t="s">
        <v>90</v>
      </c>
      <c r="AQ82" s="2" t="s">
        <v>1832</v>
      </c>
      <c r="AR82" s="2" t="s">
        <v>1832</v>
      </c>
      <c r="AS82" s="2" t="s">
        <v>1833</v>
      </c>
      <c r="AT82" s="2" t="s">
        <v>2087</v>
      </c>
      <c r="AU82" s="2" t="s">
        <v>353</v>
      </c>
      <c r="AV82" s="2" t="s">
        <v>353</v>
      </c>
      <c r="AW82" s="2" t="s">
        <v>264</v>
      </c>
      <c r="AX82" s="2" t="s">
        <v>264</v>
      </c>
      <c r="AY82" s="2" t="s">
        <v>83</v>
      </c>
      <c r="AZ82" s="2" t="s">
        <v>83</v>
      </c>
      <c r="BA82" s="2" t="s">
        <v>284</v>
      </c>
      <c r="BB82" s="2" t="s">
        <v>284</v>
      </c>
      <c r="BC82" s="2" t="s">
        <v>83</v>
      </c>
      <c r="BD82" s="2" t="s">
        <v>74</v>
      </c>
      <c r="BE82" s="2" t="s">
        <v>74</v>
      </c>
      <c r="BF82" s="2" t="s">
        <v>74</v>
      </c>
      <c r="BG82" s="2" t="s">
        <v>74</v>
      </c>
      <c r="BH82" s="2" t="s">
        <v>97</v>
      </c>
      <c r="BI82" s="2" t="s">
        <v>97</v>
      </c>
      <c r="BJ82" s="2" t="s">
        <v>107</v>
      </c>
      <c r="BK82" s="2" t="s">
        <v>107</v>
      </c>
      <c r="BL82" s="2" t="s">
        <v>520</v>
      </c>
      <c r="BM82" s="2" t="s">
        <v>520</v>
      </c>
      <c r="BN82" s="2" t="s">
        <v>166</v>
      </c>
      <c r="BO82" s="39" t="s">
        <v>83</v>
      </c>
      <c r="BP82" s="39"/>
      <c r="BQ82" s="2" t="s">
        <v>74</v>
      </c>
      <c r="BR82" s="2" t="s">
        <v>101</v>
      </c>
      <c r="BS82" s="2" t="s">
        <v>101</v>
      </c>
      <c r="BT82" s="2" t="s">
        <v>107</v>
      </c>
      <c r="BU82" s="2" t="s">
        <v>107</v>
      </c>
      <c r="BV82" s="2" t="s">
        <v>83</v>
      </c>
      <c r="BW82" s="2" t="s">
        <v>83</v>
      </c>
      <c r="BX82" s="8"/>
      <c r="BY82" s="2" t="s">
        <v>107</v>
      </c>
      <c r="BZ82" s="2" t="s">
        <v>107</v>
      </c>
      <c r="CA82" s="2" t="s">
        <v>761</v>
      </c>
      <c r="CB82" s="2" t="s">
        <v>761</v>
      </c>
      <c r="CC82" s="2" t="s">
        <v>168</v>
      </c>
      <c r="CD82" s="2" t="s">
        <v>168</v>
      </c>
      <c r="CE82" s="2" t="s">
        <v>313</v>
      </c>
      <c r="CF82" s="2" t="s">
        <v>313</v>
      </c>
      <c r="CG82" s="2" t="s">
        <v>1834</v>
      </c>
      <c r="CH82" s="2">
        <v>0</v>
      </c>
      <c r="CI82" s="2" t="s">
        <v>171</v>
      </c>
      <c r="CJ82" s="2" t="s">
        <v>235</v>
      </c>
      <c r="CK82" s="2" t="s">
        <v>74</v>
      </c>
      <c r="CL82" s="2">
        <v>0</v>
      </c>
      <c r="CM82" s="8"/>
      <c r="CN82" s="2" t="s">
        <v>107</v>
      </c>
      <c r="CO82" s="2" t="s">
        <v>107</v>
      </c>
      <c r="CP82" s="2" t="s">
        <v>107</v>
      </c>
      <c r="CQ82" s="8"/>
      <c r="CR82" s="2" t="s">
        <v>74</v>
      </c>
      <c r="CS82" s="8"/>
      <c r="CT82" s="8"/>
      <c r="CU82" s="8"/>
      <c r="CV82" s="8"/>
      <c r="CW82" s="8"/>
      <c r="CX82" s="8"/>
      <c r="CY82" s="8"/>
      <c r="CZ82" s="8"/>
      <c r="DA82" s="8"/>
      <c r="DB82" s="8"/>
      <c r="DC82" s="8"/>
      <c r="DD82" s="8"/>
      <c r="DE82" s="8"/>
      <c r="DF82" s="8"/>
      <c r="DG82" s="8"/>
      <c r="DH82" s="8"/>
      <c r="DI82" s="8"/>
      <c r="DJ82" s="8"/>
      <c r="DK82" s="8"/>
      <c r="DL82" s="8"/>
      <c r="DM82" s="8"/>
      <c r="DN82" s="8"/>
    </row>
    <row r="83" spans="1:118" ht="15.75" customHeight="1">
      <c r="A83" s="8">
        <v>106</v>
      </c>
      <c r="B83" s="117"/>
      <c r="C83" s="120" t="s">
        <v>69</v>
      </c>
      <c r="D83" s="2" t="s">
        <v>70</v>
      </c>
      <c r="E83" s="121">
        <v>43871.687573854171</v>
      </c>
      <c r="F83" s="120" t="s">
        <v>1835</v>
      </c>
      <c r="G83" s="120" t="s">
        <v>1835</v>
      </c>
      <c r="H83" s="120" t="s">
        <v>1836</v>
      </c>
      <c r="I83" s="120" t="s">
        <v>83</v>
      </c>
      <c r="J83" s="120" t="s">
        <v>322</v>
      </c>
      <c r="K83" s="120" t="s">
        <v>1837</v>
      </c>
      <c r="L83" s="120" t="s">
        <v>1838</v>
      </c>
      <c r="M83" s="120" t="s">
        <v>328</v>
      </c>
      <c r="N83" s="120" t="s">
        <v>328</v>
      </c>
      <c r="O83" s="120" t="s">
        <v>1839</v>
      </c>
      <c r="P83" s="120" t="s">
        <v>1840</v>
      </c>
      <c r="Q83" s="120" t="s">
        <v>1841</v>
      </c>
      <c r="R83" s="120" t="s">
        <v>1842</v>
      </c>
      <c r="S83" s="2" t="s">
        <v>418</v>
      </c>
      <c r="T83" s="120">
        <v>2019</v>
      </c>
      <c r="U83" s="120" t="s">
        <v>82</v>
      </c>
      <c r="V83" s="120" t="s">
        <v>74</v>
      </c>
      <c r="W83" s="120" t="s">
        <v>74</v>
      </c>
      <c r="X83" s="120" t="s">
        <v>282</v>
      </c>
      <c r="Y83" s="120" t="s">
        <v>282</v>
      </c>
      <c r="Z83" s="120" t="s">
        <v>1843</v>
      </c>
      <c r="AA83" s="120" t="s">
        <v>1843</v>
      </c>
      <c r="AB83" s="120" t="s">
        <v>85</v>
      </c>
      <c r="AC83" s="120" t="s">
        <v>85</v>
      </c>
      <c r="AD83" s="120" t="s">
        <v>74</v>
      </c>
      <c r="AE83" s="120" t="s">
        <v>1844</v>
      </c>
      <c r="AF83" s="120" t="s">
        <v>1844</v>
      </c>
      <c r="AG83" s="120" t="s">
        <v>491</v>
      </c>
      <c r="AH83" s="120" t="s">
        <v>491</v>
      </c>
      <c r="AI83" s="120" t="s">
        <v>123</v>
      </c>
      <c r="AJ83" s="120" t="s">
        <v>123</v>
      </c>
      <c r="AK83" s="120" t="s">
        <v>83</v>
      </c>
      <c r="AL83" s="120" t="s">
        <v>83</v>
      </c>
      <c r="AM83" s="117"/>
      <c r="AN83" s="120" t="s">
        <v>125</v>
      </c>
      <c r="AO83" s="120" t="s">
        <v>126</v>
      </c>
      <c r="AP83" s="120" t="s">
        <v>126</v>
      </c>
      <c r="AQ83" s="120" t="s">
        <v>1845</v>
      </c>
      <c r="AR83" s="120" t="s">
        <v>1845</v>
      </c>
      <c r="AS83" s="120" t="s">
        <v>567</v>
      </c>
      <c r="AT83" s="120" t="s">
        <v>567</v>
      </c>
      <c r="AU83" s="120" t="s">
        <v>93</v>
      </c>
      <c r="AV83" s="120" t="s">
        <v>93</v>
      </c>
      <c r="AW83" s="120" t="s">
        <v>264</v>
      </c>
      <c r="AX83" s="120" t="s">
        <v>264</v>
      </c>
      <c r="AY83" s="120" t="s">
        <v>74</v>
      </c>
      <c r="AZ83" s="120" t="s">
        <v>74</v>
      </c>
      <c r="BA83" s="120" t="s">
        <v>265</v>
      </c>
      <c r="BB83" s="120" t="s">
        <v>265</v>
      </c>
      <c r="BC83" s="120" t="s">
        <v>233</v>
      </c>
      <c r="BD83" s="120" t="s">
        <v>74</v>
      </c>
      <c r="BE83" s="120" t="s">
        <v>74</v>
      </c>
      <c r="BF83" s="120" t="s">
        <v>74</v>
      </c>
      <c r="BG83" s="120" t="s">
        <v>74</v>
      </c>
      <c r="BH83" s="120" t="s">
        <v>97</v>
      </c>
      <c r="BI83" s="120" t="s">
        <v>97</v>
      </c>
      <c r="BJ83" s="120" t="s">
        <v>98</v>
      </c>
      <c r="BK83" s="120" t="s">
        <v>98</v>
      </c>
      <c r="BL83" s="120" t="s">
        <v>233</v>
      </c>
      <c r="BM83" s="120" t="s">
        <v>233</v>
      </c>
      <c r="BN83" s="120" t="s">
        <v>631</v>
      </c>
      <c r="BO83" s="2" t="s">
        <v>83</v>
      </c>
      <c r="BP83" s="2" t="s">
        <v>867</v>
      </c>
      <c r="BQ83" s="120" t="s">
        <v>74</v>
      </c>
      <c r="BR83" s="120" t="s">
        <v>107</v>
      </c>
      <c r="BS83" s="120" t="s">
        <v>107</v>
      </c>
      <c r="BT83" s="120" t="s">
        <v>107</v>
      </c>
      <c r="BU83" s="120" t="s">
        <v>107</v>
      </c>
      <c r="BV83" s="120" t="s">
        <v>107</v>
      </c>
      <c r="BW83" s="120" t="s">
        <v>107</v>
      </c>
      <c r="BX83" s="117"/>
      <c r="BY83" s="120" t="s">
        <v>107</v>
      </c>
      <c r="BZ83" s="120" t="s">
        <v>107</v>
      </c>
      <c r="CA83" s="120" t="s">
        <v>1847</v>
      </c>
      <c r="CB83" s="126" t="s">
        <v>2186</v>
      </c>
      <c r="CC83" s="120" t="s">
        <v>136</v>
      </c>
      <c r="CD83" s="120" t="s">
        <v>136</v>
      </c>
      <c r="CE83" s="120" t="s">
        <v>1068</v>
      </c>
      <c r="CF83" s="120" t="s">
        <v>1068</v>
      </c>
      <c r="CG83" s="117"/>
      <c r="CH83" s="120" t="s">
        <v>107</v>
      </c>
      <c r="CI83" s="120" t="s">
        <v>108</v>
      </c>
      <c r="CJ83" s="120" t="s">
        <v>108</v>
      </c>
      <c r="CK83" s="120" t="s">
        <v>107</v>
      </c>
      <c r="CL83" s="120" t="s">
        <v>107</v>
      </c>
      <c r="CM83" s="117"/>
      <c r="CN83" s="120" t="s">
        <v>107</v>
      </c>
      <c r="CO83" s="120" t="s">
        <v>107</v>
      </c>
      <c r="CP83" s="120" t="s">
        <v>107</v>
      </c>
      <c r="CQ83" s="117"/>
      <c r="CR83" s="120" t="s">
        <v>83</v>
      </c>
      <c r="CS83" s="120" t="s">
        <v>1848</v>
      </c>
      <c r="CU83" s="8"/>
      <c r="CV83" s="8"/>
      <c r="CW83" s="8"/>
      <c r="CX83" s="8"/>
      <c r="CY83" s="8"/>
      <c r="CZ83" s="8"/>
      <c r="DA83" s="8"/>
      <c r="DB83" s="8"/>
      <c r="DC83" s="8"/>
      <c r="DD83" s="8"/>
      <c r="DE83" s="8"/>
      <c r="DF83" s="8"/>
      <c r="DG83" s="8"/>
      <c r="DH83" s="8"/>
      <c r="DI83" s="8"/>
      <c r="DJ83" s="8"/>
      <c r="DK83" s="8"/>
      <c r="DL83" s="8"/>
      <c r="DM83" s="8"/>
      <c r="DN83" s="8"/>
    </row>
    <row r="84" spans="1:118" ht="15.75" customHeight="1">
      <c r="A84" s="8">
        <v>107</v>
      </c>
      <c r="B84" s="8" t="s">
        <v>1849</v>
      </c>
      <c r="C84" s="2" t="s">
        <v>69</v>
      </c>
      <c r="D84" s="2" t="s">
        <v>70</v>
      </c>
      <c r="E84" s="9">
        <v>43886.705631284727</v>
      </c>
      <c r="F84" s="2" t="s">
        <v>1851</v>
      </c>
      <c r="G84" s="2" t="s">
        <v>1852</v>
      </c>
      <c r="H84" s="2" t="s">
        <v>1853</v>
      </c>
      <c r="I84" s="2" t="s">
        <v>83</v>
      </c>
      <c r="J84" s="10" t="s">
        <v>1854</v>
      </c>
      <c r="K84" s="2" t="s">
        <v>1855</v>
      </c>
      <c r="L84" s="2" t="s">
        <v>1856</v>
      </c>
      <c r="M84" s="2" t="s">
        <v>152</v>
      </c>
      <c r="N84" s="2" t="s">
        <v>152</v>
      </c>
      <c r="O84" s="2" t="s">
        <v>680</v>
      </c>
      <c r="P84" s="2" t="s">
        <v>608</v>
      </c>
      <c r="Q84" s="2" t="s">
        <v>1857</v>
      </c>
      <c r="R84" s="2" t="s">
        <v>118</v>
      </c>
      <c r="S84" s="2" t="s">
        <v>118</v>
      </c>
      <c r="T84" s="2">
        <v>2007</v>
      </c>
      <c r="U84" s="2" t="s">
        <v>82</v>
      </c>
      <c r="V84" s="2" t="s">
        <v>83</v>
      </c>
      <c r="W84" s="2" t="s">
        <v>83</v>
      </c>
      <c r="X84" s="8"/>
      <c r="Y84" s="8"/>
      <c r="Z84" s="2" t="s">
        <v>84</v>
      </c>
      <c r="AA84" s="2" t="s">
        <v>84</v>
      </c>
      <c r="AB84" s="38" t="s">
        <v>1858</v>
      </c>
      <c r="AC84" s="38" t="s">
        <v>738</v>
      </c>
      <c r="AD84" s="2" t="s">
        <v>158</v>
      </c>
      <c r="AE84" s="2" t="s">
        <v>582</v>
      </c>
      <c r="AF84" s="2" t="s">
        <v>582</v>
      </c>
      <c r="AG84" s="2" t="s">
        <v>190</v>
      </c>
      <c r="AH84" s="2" t="s">
        <v>190</v>
      </c>
      <c r="AI84" s="2" t="s">
        <v>88</v>
      </c>
      <c r="AJ84" s="2" t="s">
        <v>88</v>
      </c>
      <c r="AK84" s="2" t="s">
        <v>83</v>
      </c>
      <c r="AL84" s="2" t="s">
        <v>83</v>
      </c>
      <c r="AM84" s="8"/>
      <c r="AN84" s="2" t="s">
        <v>125</v>
      </c>
      <c r="AO84" s="2" t="s">
        <v>126</v>
      </c>
      <c r="AP84" s="2" t="s">
        <v>126</v>
      </c>
      <c r="AQ84" s="2" t="s">
        <v>1859</v>
      </c>
      <c r="AR84" s="2" t="s">
        <v>1859</v>
      </c>
      <c r="AS84" s="2" t="s">
        <v>305</v>
      </c>
      <c r="AT84" s="2" t="s">
        <v>305</v>
      </c>
      <c r="AU84" s="2" t="s">
        <v>93</v>
      </c>
      <c r="AV84" s="2" t="s">
        <v>93</v>
      </c>
      <c r="AW84" s="2" t="s">
        <v>163</v>
      </c>
      <c r="AX84" s="2" t="s">
        <v>163</v>
      </c>
      <c r="AY84" s="2" t="s">
        <v>74</v>
      </c>
      <c r="AZ84" s="2" t="s">
        <v>74</v>
      </c>
      <c r="BA84" s="2" t="s">
        <v>96</v>
      </c>
      <c r="BB84" s="2" t="s">
        <v>96</v>
      </c>
      <c r="BC84" s="2" t="s">
        <v>83</v>
      </c>
      <c r="BD84" s="2" t="s">
        <v>95</v>
      </c>
      <c r="BE84" s="2" t="s">
        <v>74</v>
      </c>
      <c r="BF84" s="2" t="s">
        <v>74</v>
      </c>
      <c r="BG84" s="2" t="s">
        <v>74</v>
      </c>
      <c r="BH84" s="2" t="s">
        <v>97</v>
      </c>
      <c r="BI84" s="2" t="s">
        <v>97</v>
      </c>
      <c r="BJ84" s="2" t="s">
        <v>130</v>
      </c>
      <c r="BK84" s="2" t="s">
        <v>130</v>
      </c>
      <c r="BL84" s="2" t="s">
        <v>1378</v>
      </c>
      <c r="BM84" s="2" t="s">
        <v>1378</v>
      </c>
      <c r="BN84" s="2" t="s">
        <v>1096</v>
      </c>
      <c r="BO84" s="2" t="s">
        <v>74</v>
      </c>
      <c r="BP84" s="2" t="s">
        <v>2211</v>
      </c>
      <c r="BQ84" s="2" t="s">
        <v>83</v>
      </c>
      <c r="BR84" s="2" t="s">
        <v>1860</v>
      </c>
      <c r="BS84" s="38" t="s">
        <v>738</v>
      </c>
      <c r="BT84" s="2" t="s">
        <v>107</v>
      </c>
      <c r="BU84" s="2" t="s">
        <v>107</v>
      </c>
      <c r="BV84" s="2" t="s">
        <v>233</v>
      </c>
      <c r="BW84" s="2" t="s">
        <v>233</v>
      </c>
      <c r="BX84" s="8"/>
      <c r="BY84" s="2" t="s">
        <v>1861</v>
      </c>
      <c r="BZ84" s="38" t="s">
        <v>738</v>
      </c>
      <c r="CA84" s="2" t="s">
        <v>167</v>
      </c>
      <c r="CB84" s="2" t="s">
        <v>167</v>
      </c>
      <c r="CC84" s="2" t="s">
        <v>339</v>
      </c>
      <c r="CD84" s="2" t="s">
        <v>339</v>
      </c>
      <c r="CE84" s="2" t="s">
        <v>233</v>
      </c>
      <c r="CF84" s="2" t="s">
        <v>233</v>
      </c>
      <c r="CG84" s="8"/>
      <c r="CH84" s="2" t="s">
        <v>233</v>
      </c>
      <c r="CI84" s="2" t="s">
        <v>172</v>
      </c>
      <c r="CJ84" s="2" t="s">
        <v>108</v>
      </c>
      <c r="CK84" s="2" t="s">
        <v>83</v>
      </c>
      <c r="CL84" s="2" t="s">
        <v>107</v>
      </c>
      <c r="CM84" s="8"/>
      <c r="CN84" s="2" t="s">
        <v>107</v>
      </c>
      <c r="CO84" s="2" t="s">
        <v>107</v>
      </c>
      <c r="CP84" s="2" t="s">
        <v>107</v>
      </c>
      <c r="CQ84" s="8"/>
      <c r="CR84" s="2" t="s">
        <v>83</v>
      </c>
      <c r="CS84" s="2" t="s">
        <v>1862</v>
      </c>
      <c r="CT84" s="8"/>
      <c r="CU84" s="8"/>
      <c r="CV84" s="8"/>
      <c r="CW84" s="8"/>
      <c r="CX84" s="8"/>
      <c r="CY84" s="8"/>
      <c r="CZ84" s="8"/>
      <c r="DA84" s="8"/>
      <c r="DB84" s="8"/>
      <c r="DC84" s="8"/>
      <c r="DD84" s="8"/>
      <c r="DE84" s="8"/>
      <c r="DF84" s="8"/>
      <c r="DG84" s="8"/>
      <c r="DH84" s="8"/>
      <c r="DI84" s="8"/>
      <c r="DJ84" s="8"/>
      <c r="DK84" s="8"/>
      <c r="DL84" s="8"/>
      <c r="DM84" s="8"/>
      <c r="DN84" s="8"/>
    </row>
    <row r="85" spans="1:118" ht="15.75" customHeight="1">
      <c r="A85" s="8">
        <v>108</v>
      </c>
      <c r="B85" s="8"/>
      <c r="C85" s="2" t="s">
        <v>69</v>
      </c>
      <c r="D85" s="2" t="s">
        <v>70</v>
      </c>
      <c r="E85" s="9">
        <v>43889.550806817133</v>
      </c>
      <c r="F85" s="2" t="s">
        <v>1863</v>
      </c>
      <c r="G85" s="2" t="s">
        <v>1864</v>
      </c>
      <c r="H85" s="2" t="s">
        <v>1865</v>
      </c>
      <c r="I85" s="2" t="s">
        <v>74</v>
      </c>
      <c r="J85" s="10" t="s">
        <v>1866</v>
      </c>
      <c r="K85" s="2" t="s">
        <v>1863</v>
      </c>
      <c r="L85" s="2" t="s">
        <v>1867</v>
      </c>
      <c r="M85" s="2" t="s">
        <v>77</v>
      </c>
      <c r="N85" s="2" t="s">
        <v>77</v>
      </c>
      <c r="O85" s="2" t="s">
        <v>680</v>
      </c>
      <c r="P85" s="2" t="s">
        <v>608</v>
      </c>
      <c r="Q85" s="2" t="s">
        <v>1868</v>
      </c>
      <c r="R85" s="2" t="s">
        <v>1869</v>
      </c>
      <c r="S85" s="38" t="s">
        <v>418</v>
      </c>
      <c r="T85" s="2">
        <v>2008</v>
      </c>
      <c r="U85" s="2" t="s">
        <v>82</v>
      </c>
      <c r="V85" s="2" t="s">
        <v>83</v>
      </c>
      <c r="W85" s="2" t="s">
        <v>83</v>
      </c>
      <c r="X85" s="8"/>
      <c r="Y85" s="8"/>
      <c r="Z85" s="2" t="s">
        <v>84</v>
      </c>
      <c r="AA85" s="2" t="s">
        <v>84</v>
      </c>
      <c r="AB85" s="2" t="s">
        <v>729</v>
      </c>
      <c r="AC85" s="2" t="s">
        <v>729</v>
      </c>
      <c r="AD85" s="2" t="s">
        <v>74</v>
      </c>
      <c r="AE85" s="2" t="s">
        <v>614</v>
      </c>
      <c r="AF85" s="2" t="s">
        <v>614</v>
      </c>
      <c r="AG85" s="2" t="s">
        <v>829</v>
      </c>
      <c r="AH85" s="2" t="s">
        <v>829</v>
      </c>
      <c r="AI85" s="2" t="s">
        <v>499</v>
      </c>
      <c r="AJ85" s="2" t="s">
        <v>499</v>
      </c>
      <c r="AK85" s="2" t="s">
        <v>74</v>
      </c>
      <c r="AL85" s="2" t="s">
        <v>74</v>
      </c>
      <c r="AM85" s="2" t="s">
        <v>1870</v>
      </c>
      <c r="AN85" s="2" t="s">
        <v>303</v>
      </c>
      <c r="AO85" s="2" t="s">
        <v>126</v>
      </c>
      <c r="AP85" s="2" t="s">
        <v>126</v>
      </c>
      <c r="AQ85" s="2" t="s">
        <v>566</v>
      </c>
      <c r="AR85" s="2" t="s">
        <v>566</v>
      </c>
      <c r="AS85" s="2" t="s">
        <v>305</v>
      </c>
      <c r="AT85" s="2" t="s">
        <v>305</v>
      </c>
      <c r="AU85" s="2" t="s">
        <v>353</v>
      </c>
      <c r="AV85" s="2" t="s">
        <v>353</v>
      </c>
      <c r="AW85" s="2" t="s">
        <v>1871</v>
      </c>
      <c r="AX85" s="2" t="s">
        <v>264</v>
      </c>
      <c r="AY85" s="2" t="s">
        <v>74</v>
      </c>
      <c r="AZ85" s="2" t="s">
        <v>74</v>
      </c>
      <c r="BA85" s="2" t="s">
        <v>96</v>
      </c>
      <c r="BB85" s="2" t="s">
        <v>96</v>
      </c>
      <c r="BC85" s="2" t="s">
        <v>208</v>
      </c>
      <c r="BD85" s="2" t="s">
        <v>83</v>
      </c>
      <c r="BE85" s="2" t="s">
        <v>74</v>
      </c>
      <c r="BF85" s="2" t="s">
        <v>74</v>
      </c>
      <c r="BG85" s="2" t="s">
        <v>74</v>
      </c>
      <c r="BH85" s="2" t="s">
        <v>358</v>
      </c>
      <c r="BI85" s="2" t="s">
        <v>358</v>
      </c>
      <c r="BJ85" s="2" t="s">
        <v>130</v>
      </c>
      <c r="BK85" s="2" t="s">
        <v>130</v>
      </c>
      <c r="BL85" s="2" t="s">
        <v>725</v>
      </c>
      <c r="BM85" s="2" t="s">
        <v>725</v>
      </c>
      <c r="BN85" s="2" t="s">
        <v>166</v>
      </c>
      <c r="BO85" s="39" t="s">
        <v>83</v>
      </c>
      <c r="BP85" s="39"/>
      <c r="BQ85" s="2" t="s">
        <v>83</v>
      </c>
      <c r="BR85" s="2" t="s">
        <v>101</v>
      </c>
      <c r="BS85" s="2" t="s">
        <v>101</v>
      </c>
      <c r="BT85" s="2" t="s">
        <v>107</v>
      </c>
      <c r="BU85" s="2" t="s">
        <v>107</v>
      </c>
      <c r="BV85" s="2" t="s">
        <v>233</v>
      </c>
      <c r="BW85" s="2" t="s">
        <v>233</v>
      </c>
      <c r="BX85" s="8"/>
      <c r="BY85" s="2" t="s">
        <v>233</v>
      </c>
      <c r="BZ85" s="2" t="s">
        <v>233</v>
      </c>
      <c r="CA85" s="2" t="s">
        <v>104</v>
      </c>
      <c r="CB85" s="2" t="s">
        <v>104</v>
      </c>
      <c r="CC85" s="2" t="s">
        <v>288</v>
      </c>
      <c r="CD85" s="2" t="s">
        <v>288</v>
      </c>
      <c r="CE85" s="2" t="s">
        <v>861</v>
      </c>
      <c r="CF85" s="2" t="s">
        <v>861</v>
      </c>
      <c r="CG85" s="8"/>
      <c r="CH85" s="2" t="s">
        <v>233</v>
      </c>
      <c r="CI85" s="2" t="s">
        <v>140</v>
      </c>
      <c r="CJ85" s="2" t="s">
        <v>806</v>
      </c>
      <c r="CK85" s="2" t="s">
        <v>233</v>
      </c>
      <c r="CL85" s="2" t="s">
        <v>816</v>
      </c>
      <c r="CM85" s="8"/>
      <c r="CN85" s="2" t="s">
        <v>925</v>
      </c>
      <c r="CO85" s="2" t="s">
        <v>925</v>
      </c>
      <c r="CP85" s="2" t="s">
        <v>282</v>
      </c>
      <c r="CQ85" s="8"/>
      <c r="CR85" s="2" t="s">
        <v>83</v>
      </c>
      <c r="CS85" s="8"/>
      <c r="CU85" s="8"/>
      <c r="CV85" s="8"/>
      <c r="CW85" s="8"/>
      <c r="CX85" s="8"/>
      <c r="CY85" s="8"/>
      <c r="CZ85" s="8"/>
      <c r="DA85" s="8"/>
      <c r="DB85" s="8"/>
      <c r="DC85" s="8"/>
      <c r="DD85" s="8"/>
      <c r="DE85" s="8"/>
      <c r="DF85" s="8"/>
      <c r="DG85" s="8"/>
      <c r="DH85" s="8"/>
      <c r="DI85" s="8"/>
      <c r="DJ85" s="8"/>
      <c r="DK85" s="8"/>
      <c r="DL85" s="8"/>
      <c r="DM85" s="8"/>
      <c r="DN85" s="8"/>
    </row>
    <row r="86" spans="1:118" ht="15.75" customHeight="1">
      <c r="A86" s="8">
        <v>109</v>
      </c>
      <c r="B86" s="8"/>
      <c r="C86" s="2" t="s">
        <v>69</v>
      </c>
      <c r="D86" s="2" t="s">
        <v>70</v>
      </c>
      <c r="E86" s="9">
        <v>43889.617511574077</v>
      </c>
      <c r="F86" s="2" t="s">
        <v>1872</v>
      </c>
      <c r="G86" s="2" t="s">
        <v>1873</v>
      </c>
      <c r="H86" s="2" t="s">
        <v>1874</v>
      </c>
      <c r="I86" s="2" t="s">
        <v>74</v>
      </c>
      <c r="J86" s="10" t="s">
        <v>1875</v>
      </c>
      <c r="K86" s="2" t="s">
        <v>1876</v>
      </c>
      <c r="L86" s="2" t="s">
        <v>1877</v>
      </c>
      <c r="M86" s="2" t="s">
        <v>328</v>
      </c>
      <c r="N86" s="2" t="s">
        <v>328</v>
      </c>
      <c r="O86" s="2" t="s">
        <v>1878</v>
      </c>
      <c r="P86" s="2" t="s">
        <v>1879</v>
      </c>
      <c r="Q86" s="2" t="s">
        <v>1880</v>
      </c>
      <c r="R86" s="2" t="s">
        <v>1881</v>
      </c>
      <c r="S86" s="37" t="s">
        <v>2116</v>
      </c>
      <c r="T86" s="2">
        <v>2013</v>
      </c>
      <c r="U86" s="2" t="s">
        <v>82</v>
      </c>
      <c r="V86" s="2" t="s">
        <v>74</v>
      </c>
      <c r="W86" s="2" t="s">
        <v>74</v>
      </c>
      <c r="X86" s="2" t="s">
        <v>119</v>
      </c>
      <c r="Y86" s="2" t="s">
        <v>119</v>
      </c>
      <c r="Z86" s="2" t="s">
        <v>1882</v>
      </c>
      <c r="AA86" s="2" t="s">
        <v>1882</v>
      </c>
      <c r="AB86" s="2" t="s">
        <v>120</v>
      </c>
      <c r="AC86" s="2" t="s">
        <v>120</v>
      </c>
      <c r="AD86" s="2" t="s">
        <v>74</v>
      </c>
      <c r="AE86" s="2" t="s">
        <v>1883</v>
      </c>
      <c r="AF86" s="2" t="s">
        <v>1883</v>
      </c>
      <c r="AG86" s="2" t="s">
        <v>1884</v>
      </c>
      <c r="AH86" s="2" t="s">
        <v>1884</v>
      </c>
      <c r="AI86" s="2" t="s">
        <v>261</v>
      </c>
      <c r="AJ86" s="2" t="s">
        <v>261</v>
      </c>
      <c r="AK86" s="2" t="s">
        <v>74</v>
      </c>
      <c r="AL86" s="2" t="s">
        <v>74</v>
      </c>
      <c r="AM86" s="2" t="s">
        <v>1885</v>
      </c>
      <c r="AN86" s="2" t="s">
        <v>89</v>
      </c>
      <c r="AO86" s="2" t="s">
        <v>90</v>
      </c>
      <c r="AP86" s="2" t="s">
        <v>90</v>
      </c>
      <c r="AQ86" s="2" t="s">
        <v>1886</v>
      </c>
      <c r="AR86" s="2" t="s">
        <v>1886</v>
      </c>
      <c r="AS86" s="2" t="s">
        <v>284</v>
      </c>
      <c r="AT86" s="2" t="s">
        <v>284</v>
      </c>
      <c r="AU86" s="2" t="s">
        <v>93</v>
      </c>
      <c r="AV86" s="2" t="s">
        <v>93</v>
      </c>
      <c r="AW86" s="2" t="s">
        <v>163</v>
      </c>
      <c r="AX86" s="2" t="s">
        <v>163</v>
      </c>
      <c r="AY86" s="2" t="s">
        <v>95</v>
      </c>
      <c r="AZ86" s="2" t="s">
        <v>74</v>
      </c>
      <c r="BA86" s="2" t="s">
        <v>96</v>
      </c>
      <c r="BB86" s="2" t="s">
        <v>96</v>
      </c>
      <c r="BC86" s="2" t="s">
        <v>74</v>
      </c>
      <c r="BD86" s="2" t="s">
        <v>95</v>
      </c>
      <c r="BE86" s="2" t="s">
        <v>74</v>
      </c>
      <c r="BF86" s="2" t="s">
        <v>74</v>
      </c>
      <c r="BG86" s="2" t="s">
        <v>74</v>
      </c>
      <c r="BH86" s="2" t="s">
        <v>1340</v>
      </c>
      <c r="BI86" s="2" t="s">
        <v>1340</v>
      </c>
      <c r="BJ86" s="2" t="s">
        <v>130</v>
      </c>
      <c r="BK86" s="2" t="s">
        <v>130</v>
      </c>
      <c r="BL86" s="2" t="s">
        <v>229</v>
      </c>
      <c r="BM86" s="2" t="s">
        <v>229</v>
      </c>
      <c r="BN86" s="2" t="s">
        <v>365</v>
      </c>
      <c r="BO86" s="39" t="s">
        <v>74</v>
      </c>
      <c r="BP86" s="40" t="s">
        <v>2218</v>
      </c>
      <c r="BQ86" s="2" t="s">
        <v>74</v>
      </c>
      <c r="BR86" s="2" t="s">
        <v>1887</v>
      </c>
      <c r="BS86" s="2" t="s">
        <v>980</v>
      </c>
      <c r="BT86" s="2" t="s">
        <v>107</v>
      </c>
      <c r="BU86" s="2" t="s">
        <v>107</v>
      </c>
      <c r="BV86" s="2" t="s">
        <v>1888</v>
      </c>
      <c r="BW86" s="2" t="s">
        <v>74</v>
      </c>
      <c r="BX86" s="10" t="s">
        <v>1889</v>
      </c>
      <c r="BY86" s="2" t="s">
        <v>107</v>
      </c>
      <c r="BZ86" s="2" t="s">
        <v>107</v>
      </c>
      <c r="CA86" s="2" t="s">
        <v>1890</v>
      </c>
      <c r="CB86" s="38" t="s">
        <v>2185</v>
      </c>
      <c r="CC86" s="2" t="s">
        <v>1891</v>
      </c>
      <c r="CD86" s="38" t="s">
        <v>2188</v>
      </c>
      <c r="CE86" s="2" t="s">
        <v>1892</v>
      </c>
      <c r="CF86" s="38" t="s">
        <v>2192</v>
      </c>
      <c r="CG86" s="8"/>
      <c r="CH86" s="2" t="s">
        <v>212</v>
      </c>
      <c r="CI86" s="2" t="s">
        <v>234</v>
      </c>
      <c r="CJ86" s="2" t="s">
        <v>803</v>
      </c>
      <c r="CK86" s="2" t="s">
        <v>233</v>
      </c>
      <c r="CL86" s="2" t="s">
        <v>107</v>
      </c>
      <c r="CM86" s="8"/>
      <c r="CN86" s="2" t="s">
        <v>233</v>
      </c>
      <c r="CO86" s="2" t="s">
        <v>233</v>
      </c>
      <c r="CP86" s="2" t="s">
        <v>233</v>
      </c>
      <c r="CQ86" s="8"/>
      <c r="CR86" s="2" t="s">
        <v>74</v>
      </c>
      <c r="CS86" s="8"/>
      <c r="CU86" s="8"/>
      <c r="CV86" s="8"/>
      <c r="CW86" s="8"/>
      <c r="CX86" s="8"/>
      <c r="CY86" s="8"/>
      <c r="CZ86" s="8"/>
      <c r="DA86" s="8"/>
      <c r="DB86" s="8"/>
      <c r="DC86" s="8"/>
      <c r="DD86" s="8"/>
      <c r="DE86" s="8"/>
      <c r="DF86" s="8"/>
      <c r="DG86" s="8"/>
      <c r="DH86" s="8"/>
      <c r="DI86" s="8"/>
      <c r="DJ86" s="8"/>
      <c r="DK86" s="8"/>
      <c r="DL86" s="8"/>
      <c r="DM86" s="8"/>
      <c r="DN86" s="8"/>
    </row>
    <row r="87" spans="1:118" ht="15.75" customHeight="1">
      <c r="A87" s="8">
        <v>110</v>
      </c>
      <c r="B87" s="8"/>
      <c r="C87" s="2" t="s">
        <v>69</v>
      </c>
      <c r="D87" s="2" t="s">
        <v>70</v>
      </c>
      <c r="E87" s="9">
        <v>43892.46154981482</v>
      </c>
      <c r="F87" s="2" t="s">
        <v>1893</v>
      </c>
      <c r="G87" s="2" t="s">
        <v>1894</v>
      </c>
      <c r="H87" s="2" t="s">
        <v>1895</v>
      </c>
      <c r="I87" s="2" t="s">
        <v>83</v>
      </c>
      <c r="J87" s="2" t="s">
        <v>1896</v>
      </c>
      <c r="K87" s="2" t="s">
        <v>1896</v>
      </c>
      <c r="L87" s="2" t="s">
        <v>1897</v>
      </c>
      <c r="M87" s="2" t="s">
        <v>152</v>
      </c>
      <c r="N87" s="2" t="s">
        <v>152</v>
      </c>
      <c r="O87" s="2" t="s">
        <v>680</v>
      </c>
      <c r="P87" s="2" t="s">
        <v>608</v>
      </c>
      <c r="Q87" s="2" t="s">
        <v>1898</v>
      </c>
      <c r="R87" s="2" t="s">
        <v>1899</v>
      </c>
      <c r="S87" s="38" t="s">
        <v>2116</v>
      </c>
      <c r="T87" s="2">
        <v>2015</v>
      </c>
      <c r="U87" s="2">
        <v>2018</v>
      </c>
      <c r="V87" s="2" t="s">
        <v>83</v>
      </c>
      <c r="W87" s="2" t="s">
        <v>83</v>
      </c>
      <c r="X87" s="8"/>
      <c r="Y87" s="8"/>
      <c r="Z87" s="2" t="s">
        <v>1900</v>
      </c>
      <c r="AA87" s="2" t="s">
        <v>1900</v>
      </c>
      <c r="AB87" s="2" t="s">
        <v>85</v>
      </c>
      <c r="AC87" s="2" t="s">
        <v>85</v>
      </c>
      <c r="AD87" s="2" t="s">
        <v>95</v>
      </c>
      <c r="AE87" s="2" t="s">
        <v>715</v>
      </c>
      <c r="AF87" s="2" t="s">
        <v>715</v>
      </c>
      <c r="AG87" s="2" t="s">
        <v>451</v>
      </c>
      <c r="AH87" s="2" t="s">
        <v>451</v>
      </c>
      <c r="AI87" s="2" t="s">
        <v>161</v>
      </c>
      <c r="AJ87" s="2" t="s">
        <v>161</v>
      </c>
      <c r="AK87" s="2" t="s">
        <v>107</v>
      </c>
      <c r="AL87" s="2" t="s">
        <v>107</v>
      </c>
      <c r="AM87" s="8"/>
      <c r="AN87" s="2" t="s">
        <v>89</v>
      </c>
      <c r="AO87" s="2" t="s">
        <v>90</v>
      </c>
      <c r="AP87" s="2" t="s">
        <v>90</v>
      </c>
      <c r="AQ87" s="2" t="s">
        <v>999</v>
      </c>
      <c r="AR87" s="2" t="s">
        <v>999</v>
      </c>
      <c r="AS87" s="2" t="s">
        <v>284</v>
      </c>
      <c r="AT87" s="2" t="s">
        <v>284</v>
      </c>
      <c r="AU87" s="2" t="s">
        <v>93</v>
      </c>
      <c r="AV87" s="2" t="s">
        <v>93</v>
      </c>
      <c r="AW87" s="2" t="s">
        <v>94</v>
      </c>
      <c r="AX87" s="2" t="s">
        <v>94</v>
      </c>
      <c r="AY87" s="2" t="s">
        <v>74</v>
      </c>
      <c r="AZ87" s="2" t="s">
        <v>83</v>
      </c>
      <c r="BA87" s="2" t="s">
        <v>284</v>
      </c>
      <c r="BB87" s="2" t="s">
        <v>284</v>
      </c>
      <c r="BC87" s="2" t="s">
        <v>74</v>
      </c>
      <c r="BD87" s="2" t="s">
        <v>74</v>
      </c>
      <c r="BE87" s="2" t="s">
        <v>233</v>
      </c>
      <c r="BF87" s="2" t="s">
        <v>74</v>
      </c>
      <c r="BG87" s="2" t="s">
        <v>74</v>
      </c>
      <c r="BH87" s="2" t="s">
        <v>97</v>
      </c>
      <c r="BI87" s="2" t="s">
        <v>97</v>
      </c>
      <c r="BJ87" s="2" t="s">
        <v>130</v>
      </c>
      <c r="BK87" s="2" t="s">
        <v>130</v>
      </c>
      <c r="BL87" s="2" t="s">
        <v>308</v>
      </c>
      <c r="BM87" s="2" t="s">
        <v>308</v>
      </c>
      <c r="BN87" s="2" t="s">
        <v>100</v>
      </c>
      <c r="BO87" s="2" t="s">
        <v>74</v>
      </c>
      <c r="BP87" s="39"/>
      <c r="BQ87" s="2" t="s">
        <v>74</v>
      </c>
      <c r="BR87" s="2" t="s">
        <v>1901</v>
      </c>
      <c r="BS87" s="2" t="s">
        <v>1901</v>
      </c>
      <c r="BT87" s="2" t="s">
        <v>102</v>
      </c>
      <c r="BU87" s="2" t="s">
        <v>102</v>
      </c>
      <c r="BV87" s="2" t="s">
        <v>83</v>
      </c>
      <c r="BW87" s="2" t="s">
        <v>83</v>
      </c>
      <c r="BX87" s="8"/>
      <c r="BY87" s="2" t="s">
        <v>1902</v>
      </c>
      <c r="BZ87" s="38" t="s">
        <v>738</v>
      </c>
      <c r="CA87" s="2" t="s">
        <v>1903</v>
      </c>
      <c r="CB87" s="2" t="s">
        <v>1903</v>
      </c>
      <c r="CC87" s="2" t="s">
        <v>339</v>
      </c>
      <c r="CD87" s="2" t="s">
        <v>339</v>
      </c>
      <c r="CE87" s="2" t="s">
        <v>168</v>
      </c>
      <c r="CF87" s="2" t="s">
        <v>168</v>
      </c>
      <c r="CG87" s="8"/>
      <c r="CH87" s="2" t="s">
        <v>107</v>
      </c>
      <c r="CI87" s="2" t="s">
        <v>108</v>
      </c>
      <c r="CJ87" s="2" t="s">
        <v>139</v>
      </c>
      <c r="CK87" s="2" t="s">
        <v>83</v>
      </c>
      <c r="CL87" s="2" t="s">
        <v>107</v>
      </c>
      <c r="CM87" s="8"/>
      <c r="CN87" s="2" t="s">
        <v>233</v>
      </c>
      <c r="CO87" s="2" t="s">
        <v>233</v>
      </c>
      <c r="CP87" s="2" t="s">
        <v>233</v>
      </c>
      <c r="CQ87" s="8"/>
      <c r="CR87" s="2" t="s">
        <v>74</v>
      </c>
      <c r="CS87" s="8"/>
      <c r="CT87" s="21"/>
      <c r="CU87" s="8"/>
      <c r="CV87" s="8"/>
      <c r="CW87" s="8"/>
      <c r="CX87" s="8"/>
      <c r="CY87" s="8"/>
      <c r="CZ87" s="8"/>
      <c r="DA87" s="8"/>
      <c r="DB87" s="8"/>
      <c r="DC87" s="8"/>
      <c r="DD87" s="8"/>
      <c r="DE87" s="8"/>
      <c r="DF87" s="8"/>
      <c r="DG87" s="8"/>
      <c r="DH87" s="8"/>
      <c r="DI87" s="8"/>
      <c r="DJ87" s="8"/>
      <c r="DK87" s="8"/>
      <c r="DL87" s="8"/>
      <c r="DM87" s="8"/>
      <c r="DN87" s="8"/>
    </row>
    <row r="88" spans="1:118" ht="12" customHeight="1">
      <c r="A88" s="8">
        <v>111</v>
      </c>
      <c r="B88" s="8"/>
      <c r="C88" s="2" t="s">
        <v>69</v>
      </c>
      <c r="D88" s="2" t="s">
        <v>70</v>
      </c>
      <c r="E88" s="9">
        <v>43892.467398310182</v>
      </c>
      <c r="F88" s="2" t="s">
        <v>1893</v>
      </c>
      <c r="G88" s="2" t="s">
        <v>1894</v>
      </c>
      <c r="H88" s="2" t="s">
        <v>1904</v>
      </c>
      <c r="I88" s="2" t="s">
        <v>74</v>
      </c>
      <c r="J88" s="10" t="s">
        <v>1905</v>
      </c>
      <c r="K88" s="2" t="s">
        <v>1894</v>
      </c>
      <c r="L88" s="2" t="s">
        <v>1906</v>
      </c>
      <c r="M88" s="2" t="s">
        <v>152</v>
      </c>
      <c r="N88" s="2" t="s">
        <v>152</v>
      </c>
      <c r="O88" s="2" t="s">
        <v>680</v>
      </c>
      <c r="P88" s="2" t="s">
        <v>608</v>
      </c>
      <c r="Q88" s="2" t="s">
        <v>1898</v>
      </c>
      <c r="R88" s="2" t="s">
        <v>1907</v>
      </c>
      <c r="S88" s="38" t="s">
        <v>2116</v>
      </c>
      <c r="T88" s="2">
        <v>2013</v>
      </c>
      <c r="U88" s="2" t="s">
        <v>82</v>
      </c>
      <c r="V88" s="2" t="s">
        <v>83</v>
      </c>
      <c r="W88" s="2" t="s">
        <v>83</v>
      </c>
      <c r="X88" s="8"/>
      <c r="Y88" s="8"/>
      <c r="Z88" s="2" t="s">
        <v>84</v>
      </c>
      <c r="AA88" s="2" t="s">
        <v>84</v>
      </c>
      <c r="AB88" s="2" t="s">
        <v>120</v>
      </c>
      <c r="AC88" s="2" t="s">
        <v>120</v>
      </c>
      <c r="AD88" s="2" t="s">
        <v>74</v>
      </c>
      <c r="AE88" s="2" t="s">
        <v>674</v>
      </c>
      <c r="AF88" s="2" t="s">
        <v>674</v>
      </c>
      <c r="AG88" s="2" t="s">
        <v>190</v>
      </c>
      <c r="AH88" s="2" t="s">
        <v>190</v>
      </c>
      <c r="AI88" s="2" t="s">
        <v>123</v>
      </c>
      <c r="AJ88" s="2" t="s">
        <v>123</v>
      </c>
      <c r="AK88" s="2" t="s">
        <v>107</v>
      </c>
      <c r="AL88" s="2" t="s">
        <v>107</v>
      </c>
      <c r="AM88" s="8"/>
      <c r="AN88" s="2" t="s">
        <v>303</v>
      </c>
      <c r="AO88" s="2" t="s">
        <v>126</v>
      </c>
      <c r="AP88" s="2" t="s">
        <v>126</v>
      </c>
      <c r="AQ88" s="2" t="s">
        <v>409</v>
      </c>
      <c r="AR88" s="2" t="s">
        <v>409</v>
      </c>
      <c r="AS88" s="2" t="s">
        <v>305</v>
      </c>
      <c r="AT88" s="2" t="s">
        <v>305</v>
      </c>
      <c r="AU88" s="2" t="s">
        <v>93</v>
      </c>
      <c r="AV88" s="2" t="s">
        <v>93</v>
      </c>
      <c r="AW88" s="2" t="s">
        <v>163</v>
      </c>
      <c r="AX88" s="2" t="s">
        <v>163</v>
      </c>
      <c r="AY88" s="2" t="s">
        <v>74</v>
      </c>
      <c r="AZ88" s="2" t="s">
        <v>74</v>
      </c>
      <c r="BA88" s="2" t="s">
        <v>284</v>
      </c>
      <c r="BB88" s="2" t="s">
        <v>284</v>
      </c>
      <c r="BC88" s="2" t="s">
        <v>74</v>
      </c>
      <c r="BD88" s="2" t="s">
        <v>74</v>
      </c>
      <c r="BE88" s="2" t="s">
        <v>83</v>
      </c>
      <c r="BF88" s="2" t="s">
        <v>74</v>
      </c>
      <c r="BG88" s="2" t="s">
        <v>95</v>
      </c>
      <c r="BH88" s="2" t="s">
        <v>97</v>
      </c>
      <c r="BI88" s="2" t="s">
        <v>97</v>
      </c>
      <c r="BJ88" s="2" t="s">
        <v>130</v>
      </c>
      <c r="BK88" s="2" t="s">
        <v>130</v>
      </c>
      <c r="BL88" s="2" t="s">
        <v>229</v>
      </c>
      <c r="BM88" s="2" t="s">
        <v>229</v>
      </c>
      <c r="BN88" s="2" t="s">
        <v>777</v>
      </c>
      <c r="BO88" s="39" t="s">
        <v>74</v>
      </c>
      <c r="BP88" s="39"/>
      <c r="BQ88" s="2" t="s">
        <v>74</v>
      </c>
      <c r="BR88" s="2" t="s">
        <v>1908</v>
      </c>
      <c r="BS88" s="2" t="s">
        <v>1901</v>
      </c>
      <c r="BT88" s="2" t="s">
        <v>102</v>
      </c>
      <c r="BU88" s="2" t="s">
        <v>102</v>
      </c>
      <c r="BV88" s="2" t="s">
        <v>83</v>
      </c>
      <c r="BW88" s="2" t="s">
        <v>83</v>
      </c>
      <c r="BX88" s="8"/>
      <c r="BY88" s="2" t="s">
        <v>1909</v>
      </c>
      <c r="BZ88" s="38" t="s">
        <v>738</v>
      </c>
      <c r="CA88" s="2" t="s">
        <v>761</v>
      </c>
      <c r="CB88" s="2" t="s">
        <v>761</v>
      </c>
      <c r="CC88" s="2" t="s">
        <v>370</v>
      </c>
      <c r="CD88" s="2" t="s">
        <v>370</v>
      </c>
      <c r="CE88" s="2" t="s">
        <v>168</v>
      </c>
      <c r="CF88" s="2" t="s">
        <v>168</v>
      </c>
      <c r="CG88" s="8"/>
      <c r="CH88" s="2" t="s">
        <v>107</v>
      </c>
      <c r="CI88" s="2" t="s">
        <v>315</v>
      </c>
      <c r="CJ88" s="2" t="s">
        <v>235</v>
      </c>
      <c r="CK88" s="2" t="s">
        <v>83</v>
      </c>
      <c r="CL88" s="2" t="s">
        <v>107</v>
      </c>
      <c r="CM88" s="8"/>
      <c r="CN88" s="2" t="s">
        <v>233</v>
      </c>
      <c r="CO88" s="2" t="s">
        <v>233</v>
      </c>
      <c r="CP88" s="2" t="s">
        <v>233</v>
      </c>
      <c r="CQ88" s="8"/>
      <c r="CR88" s="2" t="s">
        <v>74</v>
      </c>
      <c r="CS88" s="8"/>
      <c r="CU88" s="8"/>
      <c r="CV88" s="8"/>
      <c r="CW88" s="8"/>
      <c r="CX88" s="8"/>
      <c r="CY88" s="8"/>
      <c r="CZ88" s="8"/>
      <c r="DA88" s="8"/>
      <c r="DB88" s="8"/>
      <c r="DC88" s="8"/>
      <c r="DD88" s="8"/>
      <c r="DE88" s="8"/>
      <c r="DF88" s="8"/>
      <c r="DG88" s="8"/>
      <c r="DH88" s="8"/>
      <c r="DI88" s="8"/>
      <c r="DJ88" s="8"/>
      <c r="DK88" s="8"/>
      <c r="DL88" s="8"/>
      <c r="DM88" s="8"/>
      <c r="DN88" s="8"/>
    </row>
    <row r="89" spans="1:118" ht="15.75" customHeight="1">
      <c r="A89" s="8">
        <v>112</v>
      </c>
      <c r="B89" s="8"/>
      <c r="C89" s="2" t="s">
        <v>69</v>
      </c>
      <c r="D89" s="2" t="s">
        <v>246</v>
      </c>
      <c r="E89" s="9">
        <v>43892.513783773145</v>
      </c>
      <c r="F89" s="2" t="s">
        <v>1910</v>
      </c>
      <c r="G89" s="2" t="s">
        <v>1911</v>
      </c>
      <c r="H89" s="2" t="s">
        <v>1912</v>
      </c>
      <c r="I89" s="2" t="s">
        <v>83</v>
      </c>
      <c r="J89" s="10" t="s">
        <v>1913</v>
      </c>
      <c r="K89" s="2" t="s">
        <v>1914</v>
      </c>
      <c r="L89" s="2" t="s">
        <v>1915</v>
      </c>
      <c r="M89" s="2" t="s">
        <v>152</v>
      </c>
      <c r="N89" s="2" t="s">
        <v>152</v>
      </c>
      <c r="O89" s="2" t="s">
        <v>539</v>
      </c>
      <c r="P89" s="2" t="s">
        <v>1916</v>
      </c>
      <c r="Q89" s="2" t="s">
        <v>1917</v>
      </c>
      <c r="R89" s="2" t="s">
        <v>298</v>
      </c>
      <c r="S89" s="2" t="s">
        <v>298</v>
      </c>
      <c r="T89" s="2">
        <v>2019</v>
      </c>
      <c r="U89" s="2" t="s">
        <v>82</v>
      </c>
      <c r="V89" s="2" t="s">
        <v>74</v>
      </c>
      <c r="W89" s="2" t="s">
        <v>74</v>
      </c>
      <c r="X89" s="2" t="s">
        <v>119</v>
      </c>
      <c r="Y89" s="2" t="s">
        <v>119</v>
      </c>
      <c r="Z89" s="2" t="s">
        <v>84</v>
      </c>
      <c r="AA89" s="2" t="s">
        <v>84</v>
      </c>
      <c r="AB89" s="38" t="s">
        <v>1918</v>
      </c>
      <c r="AC89" s="38" t="s">
        <v>2128</v>
      </c>
      <c r="AD89" s="2" t="s">
        <v>74</v>
      </c>
      <c r="AE89" s="2" t="s">
        <v>1919</v>
      </c>
      <c r="AF89" s="2" t="s">
        <v>1919</v>
      </c>
      <c r="AG89" s="2" t="s">
        <v>451</v>
      </c>
      <c r="AH89" s="2" t="s">
        <v>451</v>
      </c>
      <c r="AI89" s="2" t="s">
        <v>1920</v>
      </c>
      <c r="AJ89" s="38" t="s">
        <v>2147</v>
      </c>
      <c r="AK89" s="2" t="s">
        <v>107</v>
      </c>
      <c r="AL89" s="2" t="s">
        <v>107</v>
      </c>
      <c r="AM89" s="8"/>
      <c r="AN89" s="2" t="s">
        <v>303</v>
      </c>
      <c r="AO89" s="2" t="s">
        <v>90</v>
      </c>
      <c r="AP89" s="2" t="s">
        <v>90</v>
      </c>
      <c r="AQ89" s="2" t="s">
        <v>1921</v>
      </c>
      <c r="AR89" s="2" t="s">
        <v>1921</v>
      </c>
      <c r="AS89" s="2" t="s">
        <v>284</v>
      </c>
      <c r="AT89" s="2" t="s">
        <v>284</v>
      </c>
      <c r="AU89" s="2" t="s">
        <v>284</v>
      </c>
      <c r="AV89" s="2" t="s">
        <v>284</v>
      </c>
      <c r="AW89" s="2" t="s">
        <v>163</v>
      </c>
      <c r="AX89" s="2" t="s">
        <v>163</v>
      </c>
      <c r="AY89" s="2" t="s">
        <v>74</v>
      </c>
      <c r="AZ89" s="2" t="s">
        <v>74</v>
      </c>
      <c r="BA89" s="2" t="s">
        <v>164</v>
      </c>
      <c r="BB89" s="2" t="s">
        <v>164</v>
      </c>
      <c r="BC89" s="2" t="s">
        <v>233</v>
      </c>
      <c r="BD89" s="2" t="s">
        <v>74</v>
      </c>
      <c r="BE89" s="2" t="s">
        <v>233</v>
      </c>
      <c r="BF89" s="2" t="s">
        <v>74</v>
      </c>
      <c r="BG89" s="2" t="s">
        <v>74</v>
      </c>
      <c r="BH89" s="2" t="s">
        <v>97</v>
      </c>
      <c r="BI89" s="2" t="s">
        <v>97</v>
      </c>
      <c r="BJ89" s="2" t="s">
        <v>130</v>
      </c>
      <c r="BK89" s="2" t="s">
        <v>130</v>
      </c>
      <c r="BL89" s="2" t="s">
        <v>229</v>
      </c>
      <c r="BM89" s="2" t="s">
        <v>229</v>
      </c>
      <c r="BN89" s="2" t="s">
        <v>1922</v>
      </c>
      <c r="BO89" s="39" t="s">
        <v>83</v>
      </c>
      <c r="BP89" s="39"/>
      <c r="BQ89" s="2" t="s">
        <v>107</v>
      </c>
      <c r="BR89" s="2" t="s">
        <v>1923</v>
      </c>
      <c r="BS89" s="38" t="s">
        <v>738</v>
      </c>
      <c r="BT89" s="2" t="s">
        <v>1924</v>
      </c>
      <c r="BU89" s="2" t="s">
        <v>2182</v>
      </c>
      <c r="BV89" s="2" t="s">
        <v>107</v>
      </c>
      <c r="BW89" s="2" t="s">
        <v>107</v>
      </c>
      <c r="BX89" s="8"/>
      <c r="BY89" s="2" t="s">
        <v>107</v>
      </c>
      <c r="BZ89" s="2" t="s">
        <v>107</v>
      </c>
      <c r="CA89" s="2" t="s">
        <v>368</v>
      </c>
      <c r="CB89" s="2" t="s">
        <v>368</v>
      </c>
      <c r="CC89" s="2" t="s">
        <v>288</v>
      </c>
      <c r="CD89" s="2" t="s">
        <v>288</v>
      </c>
      <c r="CE89" s="8"/>
      <c r="CF89" s="8"/>
      <c r="CG89" s="8"/>
      <c r="CH89" s="2" t="s">
        <v>107</v>
      </c>
      <c r="CI89" s="2" t="s">
        <v>108</v>
      </c>
      <c r="CJ89" s="2" t="s">
        <v>108</v>
      </c>
      <c r="CK89" s="2" t="s">
        <v>107</v>
      </c>
      <c r="CL89" s="2" t="s">
        <v>107</v>
      </c>
      <c r="CM89" s="8"/>
      <c r="CN89" s="2" t="s">
        <v>1925</v>
      </c>
      <c r="CO89" s="2" t="s">
        <v>107</v>
      </c>
      <c r="CP89" s="2" t="s">
        <v>107</v>
      </c>
      <c r="CQ89" s="8"/>
      <c r="CR89" s="2" t="s">
        <v>74</v>
      </c>
      <c r="CS89" s="8"/>
      <c r="CT89" s="21"/>
      <c r="CU89" s="8"/>
      <c r="CV89" s="8"/>
      <c r="CW89" s="8"/>
      <c r="CX89" s="8"/>
      <c r="CY89" s="8"/>
      <c r="CZ89" s="8"/>
      <c r="DA89" s="8"/>
      <c r="DB89" s="8"/>
      <c r="DC89" s="8"/>
      <c r="DD89" s="8"/>
      <c r="DE89" s="8"/>
      <c r="DF89" s="8"/>
      <c r="DG89" s="8"/>
      <c r="DH89" s="8"/>
      <c r="DI89" s="8"/>
      <c r="DJ89" s="8"/>
      <c r="DK89" s="8"/>
      <c r="DL89" s="8"/>
      <c r="DM89" s="8"/>
      <c r="DN89" s="8"/>
    </row>
    <row r="90" spans="1:118" ht="15.75" customHeight="1">
      <c r="A90" s="8">
        <v>114</v>
      </c>
      <c r="B90" s="8"/>
      <c r="C90" s="2" t="s">
        <v>69</v>
      </c>
      <c r="D90" s="2" t="s">
        <v>70</v>
      </c>
      <c r="E90" s="9">
        <v>43900.751824895837</v>
      </c>
      <c r="F90" s="2" t="s">
        <v>1684</v>
      </c>
      <c r="G90" s="2" t="s">
        <v>1695</v>
      </c>
      <c r="H90" s="2" t="s">
        <v>1926</v>
      </c>
      <c r="I90" s="2" t="s">
        <v>83</v>
      </c>
      <c r="J90" s="10" t="s">
        <v>1927</v>
      </c>
      <c r="K90" s="2" t="s">
        <v>1893</v>
      </c>
      <c r="L90" s="2" t="s">
        <v>1928</v>
      </c>
      <c r="M90" s="2" t="s">
        <v>152</v>
      </c>
      <c r="N90" s="2" t="s">
        <v>152</v>
      </c>
      <c r="O90" s="2" t="s">
        <v>680</v>
      </c>
      <c r="P90" s="2" t="s">
        <v>608</v>
      </c>
      <c r="Q90" s="2" t="s">
        <v>1929</v>
      </c>
      <c r="R90" s="2" t="s">
        <v>418</v>
      </c>
      <c r="S90" s="2" t="s">
        <v>418</v>
      </c>
      <c r="T90" s="2">
        <v>2012</v>
      </c>
      <c r="U90" s="2">
        <v>2019</v>
      </c>
      <c r="V90" s="2" t="s">
        <v>74</v>
      </c>
      <c r="W90" s="2" t="s">
        <v>74</v>
      </c>
      <c r="X90" s="2" t="s">
        <v>119</v>
      </c>
      <c r="Y90" s="2" t="s">
        <v>119</v>
      </c>
      <c r="Z90" s="2" t="s">
        <v>84</v>
      </c>
      <c r="AA90" s="2" t="s">
        <v>84</v>
      </c>
      <c r="AB90" s="2" t="s">
        <v>1930</v>
      </c>
      <c r="AC90" s="38" t="s">
        <v>2133</v>
      </c>
      <c r="AD90" s="2" t="s">
        <v>74</v>
      </c>
      <c r="AE90" s="2" t="s">
        <v>849</v>
      </c>
      <c r="AF90" s="2" t="s">
        <v>849</v>
      </c>
      <c r="AG90" s="2" t="s">
        <v>260</v>
      </c>
      <c r="AH90" s="2" t="s">
        <v>260</v>
      </c>
      <c r="AI90" s="2" t="s">
        <v>366</v>
      </c>
      <c r="AJ90" s="2" t="s">
        <v>366</v>
      </c>
      <c r="AK90" s="2" t="s">
        <v>74</v>
      </c>
      <c r="AL90" s="2" t="s">
        <v>74</v>
      </c>
      <c r="AM90" s="2" t="s">
        <v>241</v>
      </c>
      <c r="AN90" s="2" t="s">
        <v>89</v>
      </c>
      <c r="AO90" s="2" t="s">
        <v>90</v>
      </c>
      <c r="AP90" s="2" t="s">
        <v>90</v>
      </c>
      <c r="AQ90" s="2" t="s">
        <v>931</v>
      </c>
      <c r="AR90" s="2" t="s">
        <v>931</v>
      </c>
      <c r="AS90" s="2" t="s">
        <v>107</v>
      </c>
      <c r="AT90" s="2" t="s">
        <v>107</v>
      </c>
      <c r="AU90" s="2" t="s">
        <v>284</v>
      </c>
      <c r="AV90" s="2" t="s">
        <v>284</v>
      </c>
      <c r="AW90" s="2" t="s">
        <v>94</v>
      </c>
      <c r="AX90" s="2" t="s">
        <v>94</v>
      </c>
      <c r="AY90" s="2" t="s">
        <v>74</v>
      </c>
      <c r="AZ90" s="2" t="s">
        <v>74</v>
      </c>
      <c r="BA90" s="2" t="s">
        <v>284</v>
      </c>
      <c r="BB90" s="2" t="s">
        <v>284</v>
      </c>
      <c r="BC90" s="2" t="s">
        <v>74</v>
      </c>
      <c r="BD90" s="2" t="s">
        <v>74</v>
      </c>
      <c r="BE90" s="2" t="s">
        <v>74</v>
      </c>
      <c r="BF90" s="2" t="s">
        <v>74</v>
      </c>
      <c r="BG90" s="2" t="s">
        <v>74</v>
      </c>
      <c r="BH90" s="2" t="s">
        <v>97</v>
      </c>
      <c r="BI90" s="2" t="s">
        <v>97</v>
      </c>
      <c r="BJ90" s="2" t="s">
        <v>107</v>
      </c>
      <c r="BK90" s="2" t="s">
        <v>107</v>
      </c>
      <c r="BL90" s="2" t="s">
        <v>308</v>
      </c>
      <c r="BM90" s="2" t="s">
        <v>308</v>
      </c>
      <c r="BN90" s="2" t="s">
        <v>777</v>
      </c>
      <c r="BO90" s="39" t="s">
        <v>74</v>
      </c>
      <c r="BP90" s="39"/>
      <c r="BQ90" s="2" t="s">
        <v>107</v>
      </c>
      <c r="BR90" s="2" t="s">
        <v>107</v>
      </c>
      <c r="BS90" s="2" t="s">
        <v>107</v>
      </c>
      <c r="BT90" s="2" t="s">
        <v>102</v>
      </c>
      <c r="BU90" s="2" t="s">
        <v>102</v>
      </c>
      <c r="BV90" s="2" t="s">
        <v>107</v>
      </c>
      <c r="BW90" s="2" t="s">
        <v>107</v>
      </c>
      <c r="BX90" s="8"/>
      <c r="BY90" s="2" t="s">
        <v>103</v>
      </c>
      <c r="BZ90" s="2" t="s">
        <v>103</v>
      </c>
      <c r="CA90" s="2" t="s">
        <v>1903</v>
      </c>
      <c r="CB90" s="2" t="s">
        <v>1903</v>
      </c>
      <c r="CC90" s="2" t="s">
        <v>339</v>
      </c>
      <c r="CD90" s="2" t="s">
        <v>339</v>
      </c>
      <c r="CE90" s="2" t="s">
        <v>107</v>
      </c>
      <c r="CF90" s="2" t="s">
        <v>107</v>
      </c>
      <c r="CG90" s="8"/>
      <c r="CH90" s="2" t="s">
        <v>107</v>
      </c>
      <c r="CI90" s="2" t="s">
        <v>172</v>
      </c>
      <c r="CJ90" s="2" t="s">
        <v>139</v>
      </c>
      <c r="CK90" s="2" t="s">
        <v>83</v>
      </c>
      <c r="CL90" s="2" t="s">
        <v>316</v>
      </c>
      <c r="CM90" s="10" t="s">
        <v>1931</v>
      </c>
      <c r="CN90" s="2" t="s">
        <v>107</v>
      </c>
      <c r="CO90" s="2" t="s">
        <v>107</v>
      </c>
      <c r="CP90" s="2" t="s">
        <v>107</v>
      </c>
      <c r="CQ90" s="8"/>
      <c r="CR90" s="2" t="s">
        <v>74</v>
      </c>
      <c r="CS90" s="8"/>
      <c r="CT90" s="21"/>
      <c r="CU90" s="8"/>
      <c r="CV90" s="8"/>
      <c r="CW90" s="8"/>
      <c r="CX90" s="8"/>
      <c r="CY90" s="8"/>
      <c r="CZ90" s="8"/>
      <c r="DA90" s="8"/>
      <c r="DB90" s="8"/>
      <c r="DC90" s="8"/>
      <c r="DD90" s="8"/>
      <c r="DE90" s="8"/>
      <c r="DF90" s="8"/>
      <c r="DG90" s="8"/>
      <c r="DH90" s="8"/>
      <c r="DI90" s="8"/>
      <c r="DJ90" s="8"/>
      <c r="DK90" s="8"/>
      <c r="DL90" s="8"/>
      <c r="DM90" s="8"/>
      <c r="DN90" s="8"/>
    </row>
    <row r="91" spans="1:118" ht="15.75" customHeight="1">
      <c r="A91" s="8">
        <v>115</v>
      </c>
      <c r="B91" s="8"/>
      <c r="C91" s="2" t="s">
        <v>69</v>
      </c>
      <c r="D91" s="2" t="s">
        <v>70</v>
      </c>
      <c r="E91" s="9">
        <v>43900.743199421297</v>
      </c>
      <c r="F91" s="2" t="s">
        <v>1684</v>
      </c>
      <c r="G91" s="2" t="s">
        <v>1695</v>
      </c>
      <c r="H91" s="2" t="s">
        <v>1932</v>
      </c>
      <c r="I91" s="2" t="s">
        <v>83</v>
      </c>
      <c r="J91" s="10" t="s">
        <v>1933</v>
      </c>
      <c r="K91" s="2" t="s">
        <v>1934</v>
      </c>
      <c r="L91" s="2" t="s">
        <v>1935</v>
      </c>
      <c r="M91" s="2" t="s">
        <v>152</v>
      </c>
      <c r="N91" s="2" t="s">
        <v>152</v>
      </c>
      <c r="O91" s="2" t="s">
        <v>1709</v>
      </c>
      <c r="P91" s="2" t="s">
        <v>608</v>
      </c>
      <c r="Q91" s="2" t="s">
        <v>1936</v>
      </c>
      <c r="R91" s="2" t="s">
        <v>81</v>
      </c>
      <c r="S91" s="2" t="s">
        <v>81</v>
      </c>
      <c r="T91" s="2">
        <v>2015</v>
      </c>
      <c r="U91" s="2">
        <v>2017</v>
      </c>
      <c r="V91" s="2" t="s">
        <v>74</v>
      </c>
      <c r="W91" s="2" t="s">
        <v>74</v>
      </c>
      <c r="X91" s="2" t="s">
        <v>1937</v>
      </c>
      <c r="Y91" s="38" t="s">
        <v>119</v>
      </c>
      <c r="Z91" s="2" t="s">
        <v>84</v>
      </c>
      <c r="AA91" s="2" t="s">
        <v>84</v>
      </c>
      <c r="AB91" s="38" t="s">
        <v>1938</v>
      </c>
      <c r="AC91" s="38" t="s">
        <v>738</v>
      </c>
      <c r="AD91" s="2" t="s">
        <v>74</v>
      </c>
      <c r="AE91" s="2" t="s">
        <v>674</v>
      </c>
      <c r="AF91" s="2" t="s">
        <v>674</v>
      </c>
      <c r="AG91" s="2" t="s">
        <v>190</v>
      </c>
      <c r="AH91" s="2" t="s">
        <v>190</v>
      </c>
      <c r="AI91" s="2" t="s">
        <v>499</v>
      </c>
      <c r="AJ91" s="2" t="s">
        <v>499</v>
      </c>
      <c r="AK91" s="2" t="s">
        <v>74</v>
      </c>
      <c r="AL91" s="2" t="s">
        <v>74</v>
      </c>
      <c r="AM91" s="2" t="s">
        <v>1939</v>
      </c>
      <c r="AN91" s="2" t="s">
        <v>205</v>
      </c>
      <c r="AO91" s="2" t="s">
        <v>90</v>
      </c>
      <c r="AP91" s="2" t="s">
        <v>90</v>
      </c>
      <c r="AQ91" s="2" t="s">
        <v>409</v>
      </c>
      <c r="AR91" s="2" t="s">
        <v>409</v>
      </c>
      <c r="AS91" s="2" t="s">
        <v>107</v>
      </c>
      <c r="AT91" s="2" t="s">
        <v>107</v>
      </c>
      <c r="AU91" s="2" t="s">
        <v>284</v>
      </c>
      <c r="AV91" s="2" t="s">
        <v>284</v>
      </c>
      <c r="AW91" s="2" t="s">
        <v>94</v>
      </c>
      <c r="AX91" s="2" t="s">
        <v>94</v>
      </c>
      <c r="AY91" s="2" t="s">
        <v>74</v>
      </c>
      <c r="AZ91" s="2" t="s">
        <v>74</v>
      </c>
      <c r="BA91" s="2" t="s">
        <v>164</v>
      </c>
      <c r="BB91" s="2" t="s">
        <v>164</v>
      </c>
      <c r="BC91" s="2" t="s">
        <v>74</v>
      </c>
      <c r="BD91" s="2" t="s">
        <v>74</v>
      </c>
      <c r="BE91" s="2" t="s">
        <v>74</v>
      </c>
      <c r="BF91" s="2" t="s">
        <v>74</v>
      </c>
      <c r="BG91" s="2" t="s">
        <v>74</v>
      </c>
      <c r="BH91" s="2" t="s">
        <v>97</v>
      </c>
      <c r="BI91" s="2" t="s">
        <v>97</v>
      </c>
      <c r="BJ91" s="2" t="s">
        <v>130</v>
      </c>
      <c r="BK91" s="2" t="s">
        <v>130</v>
      </c>
      <c r="BL91" s="2" t="s">
        <v>725</v>
      </c>
      <c r="BM91" s="2" t="s">
        <v>725</v>
      </c>
      <c r="BN91" s="2" t="s">
        <v>777</v>
      </c>
      <c r="BO91" s="39" t="s">
        <v>74</v>
      </c>
      <c r="BP91" s="39"/>
      <c r="BQ91" s="2" t="s">
        <v>107</v>
      </c>
      <c r="BR91" s="2" t="s">
        <v>107</v>
      </c>
      <c r="BS91" s="2" t="s">
        <v>107</v>
      </c>
      <c r="BT91" s="2" t="s">
        <v>102</v>
      </c>
      <c r="BU91" s="2" t="s">
        <v>102</v>
      </c>
      <c r="BV91" s="2" t="s">
        <v>107</v>
      </c>
      <c r="BW91" s="2" t="s">
        <v>107</v>
      </c>
      <c r="BX91" s="8"/>
      <c r="BY91" s="2" t="s">
        <v>103</v>
      </c>
      <c r="BZ91" s="2" t="s">
        <v>103</v>
      </c>
      <c r="CA91" s="2" t="s">
        <v>398</v>
      </c>
      <c r="CB91" s="2" t="s">
        <v>398</v>
      </c>
      <c r="CC91" s="2" t="s">
        <v>339</v>
      </c>
      <c r="CD91" s="2" t="s">
        <v>339</v>
      </c>
      <c r="CE91" s="2" t="s">
        <v>107</v>
      </c>
      <c r="CF91" s="2" t="s">
        <v>107</v>
      </c>
      <c r="CG91" s="8"/>
      <c r="CH91" s="2" t="s">
        <v>233</v>
      </c>
      <c r="CI91" s="2" t="s">
        <v>108</v>
      </c>
      <c r="CJ91" s="2" t="s">
        <v>234</v>
      </c>
      <c r="CK91" s="2" t="s">
        <v>83</v>
      </c>
      <c r="CL91" s="2" t="s">
        <v>107</v>
      </c>
      <c r="CM91" s="8"/>
      <c r="CN91" s="2" t="s">
        <v>107</v>
      </c>
      <c r="CO91" s="2" t="s">
        <v>107</v>
      </c>
      <c r="CP91" s="2" t="s">
        <v>107</v>
      </c>
      <c r="CQ91" s="8"/>
      <c r="CR91" s="2" t="s">
        <v>74</v>
      </c>
      <c r="CS91" s="8"/>
      <c r="CT91" s="21"/>
      <c r="CU91" s="8"/>
      <c r="CV91" s="8"/>
      <c r="CW91" s="8"/>
      <c r="CX91" s="8"/>
      <c r="CY91" s="8"/>
      <c r="CZ91" s="8"/>
      <c r="DA91" s="8"/>
      <c r="DB91" s="8"/>
      <c r="DC91" s="8"/>
      <c r="DD91" s="8"/>
      <c r="DE91" s="8"/>
      <c r="DF91" s="8"/>
      <c r="DG91" s="8"/>
      <c r="DH91" s="8"/>
      <c r="DI91" s="8"/>
      <c r="DJ91" s="8"/>
      <c r="DK91" s="8"/>
      <c r="DL91" s="8"/>
      <c r="DM91" s="8"/>
      <c r="DN91" s="8"/>
    </row>
    <row r="92" spans="1:118" ht="12" customHeight="1">
      <c r="A92" s="8">
        <v>116</v>
      </c>
      <c r="B92" s="8"/>
      <c r="C92" s="2" t="s">
        <v>69</v>
      </c>
      <c r="D92" s="2" t="s">
        <v>70</v>
      </c>
      <c r="E92" s="9">
        <v>43901.446358148147</v>
      </c>
      <c r="F92" s="2" t="s">
        <v>1684</v>
      </c>
      <c r="G92" s="2" t="s">
        <v>1695</v>
      </c>
      <c r="H92" s="2" t="s">
        <v>1940</v>
      </c>
      <c r="I92" s="2" t="s">
        <v>83</v>
      </c>
      <c r="J92" s="10" t="s">
        <v>1941</v>
      </c>
      <c r="K92" s="2" t="s">
        <v>1320</v>
      </c>
      <c r="L92" s="2" t="s">
        <v>1942</v>
      </c>
      <c r="M92" s="2" t="s">
        <v>152</v>
      </c>
      <c r="N92" s="2" t="s">
        <v>152</v>
      </c>
      <c r="O92" s="2" t="s">
        <v>680</v>
      </c>
      <c r="P92" s="2" t="s">
        <v>608</v>
      </c>
      <c r="Q92" s="2" t="s">
        <v>1322</v>
      </c>
      <c r="R92" s="2" t="s">
        <v>118</v>
      </c>
      <c r="S92" s="2" t="s">
        <v>118</v>
      </c>
      <c r="T92" s="2">
        <v>2011</v>
      </c>
      <c r="U92" s="2" t="s">
        <v>82</v>
      </c>
      <c r="V92" s="2" t="s">
        <v>74</v>
      </c>
      <c r="W92" s="2" t="s">
        <v>74</v>
      </c>
      <c r="X92" s="2" t="s">
        <v>1943</v>
      </c>
      <c r="Y92" s="38" t="s">
        <v>282</v>
      </c>
      <c r="Z92" s="2" t="s">
        <v>1900</v>
      </c>
      <c r="AA92" s="2" t="s">
        <v>1900</v>
      </c>
      <c r="AB92" s="38" t="s">
        <v>1944</v>
      </c>
      <c r="AC92" s="38" t="s">
        <v>735</v>
      </c>
      <c r="AD92" s="2" t="s">
        <v>74</v>
      </c>
      <c r="AE92" s="2" t="s">
        <v>421</v>
      </c>
      <c r="AF92" s="2" t="s">
        <v>421</v>
      </c>
      <c r="AG92" s="2" t="s">
        <v>190</v>
      </c>
      <c r="AH92" s="2" t="s">
        <v>190</v>
      </c>
      <c r="AI92" s="2" t="s">
        <v>366</v>
      </c>
      <c r="AJ92" s="2" t="s">
        <v>366</v>
      </c>
      <c r="AK92" s="2" t="s">
        <v>74</v>
      </c>
      <c r="AL92" s="2" t="s">
        <v>74</v>
      </c>
      <c r="AM92" s="2" t="s">
        <v>1945</v>
      </c>
      <c r="AN92" s="2" t="s">
        <v>303</v>
      </c>
      <c r="AO92" s="2" t="s">
        <v>90</v>
      </c>
      <c r="AP92" s="2" t="s">
        <v>90</v>
      </c>
      <c r="AQ92" s="2" t="s">
        <v>999</v>
      </c>
      <c r="AR92" s="2" t="s">
        <v>999</v>
      </c>
      <c r="AS92" s="2" t="s">
        <v>107</v>
      </c>
      <c r="AT92" s="2" t="s">
        <v>107</v>
      </c>
      <c r="AU92" s="2" t="s">
        <v>93</v>
      </c>
      <c r="AV92" s="2" t="s">
        <v>93</v>
      </c>
      <c r="AW92" s="2" t="s">
        <v>94</v>
      </c>
      <c r="AX92" s="2" t="s">
        <v>94</v>
      </c>
      <c r="AY92" s="2" t="s">
        <v>74</v>
      </c>
      <c r="AZ92" s="2" t="s">
        <v>74</v>
      </c>
      <c r="BA92" s="2" t="s">
        <v>164</v>
      </c>
      <c r="BB92" s="2" t="s">
        <v>164</v>
      </c>
      <c r="BC92" s="2" t="s">
        <v>74</v>
      </c>
      <c r="BD92" s="2" t="s">
        <v>95</v>
      </c>
      <c r="BE92" s="2" t="s">
        <v>107</v>
      </c>
      <c r="BF92" s="2" t="s">
        <v>74</v>
      </c>
      <c r="BG92" s="2" t="s">
        <v>74</v>
      </c>
      <c r="BH92" s="2" t="s">
        <v>97</v>
      </c>
      <c r="BI92" s="2" t="s">
        <v>97</v>
      </c>
      <c r="BJ92" s="2" t="s">
        <v>130</v>
      </c>
      <c r="BK92" s="2" t="s">
        <v>130</v>
      </c>
      <c r="BL92" s="2" t="s">
        <v>1946</v>
      </c>
      <c r="BM92" s="2" t="s">
        <v>2179</v>
      </c>
      <c r="BN92" s="2" t="s">
        <v>365</v>
      </c>
      <c r="BO92" s="2" t="s">
        <v>74</v>
      </c>
      <c r="BP92" s="2" t="s">
        <v>2212</v>
      </c>
      <c r="BQ92" s="2" t="s">
        <v>107</v>
      </c>
      <c r="BR92" s="2" t="s">
        <v>107</v>
      </c>
      <c r="BS92" s="2" t="s">
        <v>107</v>
      </c>
      <c r="BT92" s="2" t="s">
        <v>102</v>
      </c>
      <c r="BU92" s="2" t="s">
        <v>102</v>
      </c>
      <c r="BV92" s="2" t="s">
        <v>107</v>
      </c>
      <c r="BW92" s="2" t="s">
        <v>107</v>
      </c>
      <c r="BX92" s="8"/>
      <c r="BY92" s="2" t="s">
        <v>103</v>
      </c>
      <c r="BZ92" s="2" t="s">
        <v>103</v>
      </c>
      <c r="CA92" s="2" t="s">
        <v>1947</v>
      </c>
      <c r="CB92" s="38" t="s">
        <v>2191</v>
      </c>
      <c r="CC92" s="2" t="s">
        <v>339</v>
      </c>
      <c r="CD92" s="2" t="s">
        <v>339</v>
      </c>
      <c r="CE92" s="2" t="s">
        <v>107</v>
      </c>
      <c r="CF92" s="2" t="s">
        <v>107</v>
      </c>
      <c r="CG92" s="8"/>
      <c r="CH92" s="2" t="s">
        <v>233</v>
      </c>
      <c r="CI92" s="2" t="s">
        <v>139</v>
      </c>
      <c r="CJ92" s="2" t="s">
        <v>139</v>
      </c>
      <c r="CK92" s="2" t="s">
        <v>83</v>
      </c>
      <c r="CL92" s="2" t="s">
        <v>316</v>
      </c>
      <c r="CM92" s="10" t="s">
        <v>1948</v>
      </c>
      <c r="CN92" s="2" t="s">
        <v>213</v>
      </c>
      <c r="CO92" s="2" t="s">
        <v>213</v>
      </c>
      <c r="CP92" s="2" t="s">
        <v>173</v>
      </c>
      <c r="CQ92" s="8"/>
      <c r="CR92" s="2" t="s">
        <v>74</v>
      </c>
      <c r="CS92" s="2" t="s">
        <v>1949</v>
      </c>
      <c r="CT92" s="8"/>
      <c r="CU92" s="2"/>
      <c r="CV92" s="2"/>
      <c r="CW92" s="2"/>
      <c r="CX92" s="2"/>
      <c r="CY92" s="8"/>
      <c r="CZ92" s="8"/>
      <c r="DA92" s="8"/>
      <c r="DB92" s="8"/>
      <c r="DC92" s="8"/>
      <c r="DD92" s="8"/>
      <c r="DE92" s="8"/>
      <c r="DF92" s="8"/>
      <c r="DG92" s="8"/>
      <c r="DH92" s="8"/>
      <c r="DI92" s="8"/>
      <c r="DJ92" s="8"/>
      <c r="DK92" s="8"/>
      <c r="DL92" s="8"/>
      <c r="DM92" s="8"/>
      <c r="DN92" s="8"/>
    </row>
    <row r="93" spans="1:118" ht="15.75" customHeight="1">
      <c r="A93" s="8">
        <v>117</v>
      </c>
      <c r="B93" s="8"/>
      <c r="C93" s="2" t="s">
        <v>69</v>
      </c>
      <c r="D93" s="2" t="s">
        <v>70</v>
      </c>
      <c r="E93" s="9">
        <v>43901.659812187499</v>
      </c>
      <c r="F93" s="2" t="s">
        <v>1684</v>
      </c>
      <c r="G93" s="2" t="s">
        <v>1695</v>
      </c>
      <c r="H93" s="2" t="s">
        <v>1950</v>
      </c>
      <c r="I93" s="2" t="s">
        <v>83</v>
      </c>
      <c r="J93" s="10" t="s">
        <v>1951</v>
      </c>
      <c r="K93" s="2" t="s">
        <v>1952</v>
      </c>
      <c r="L93" s="2" t="s">
        <v>1953</v>
      </c>
      <c r="M93" s="2" t="s">
        <v>152</v>
      </c>
      <c r="N93" s="2" t="s">
        <v>152</v>
      </c>
      <c r="O93" s="2" t="s">
        <v>680</v>
      </c>
      <c r="P93" s="2" t="s">
        <v>608</v>
      </c>
      <c r="Q93" s="2" t="s">
        <v>1954</v>
      </c>
      <c r="R93" s="2" t="s">
        <v>418</v>
      </c>
      <c r="S93" s="2" t="s">
        <v>418</v>
      </c>
      <c r="T93" s="2">
        <v>2008</v>
      </c>
      <c r="U93" s="2">
        <v>2014</v>
      </c>
      <c r="V93" s="2" t="s">
        <v>74</v>
      </c>
      <c r="W93" s="2" t="s">
        <v>74</v>
      </c>
      <c r="X93" s="2" t="s">
        <v>119</v>
      </c>
      <c r="Y93" s="2" t="s">
        <v>119</v>
      </c>
      <c r="Z93" s="2" t="s">
        <v>84</v>
      </c>
      <c r="AA93" s="2" t="s">
        <v>84</v>
      </c>
      <c r="AB93" s="2" t="s">
        <v>1938</v>
      </c>
      <c r="AC93" s="38" t="s">
        <v>738</v>
      </c>
      <c r="AD93" s="2" t="s">
        <v>74</v>
      </c>
      <c r="AE93" s="2" t="s">
        <v>1453</v>
      </c>
      <c r="AF93" s="2" t="s">
        <v>1453</v>
      </c>
      <c r="AG93" s="2" t="s">
        <v>190</v>
      </c>
      <c r="AH93" s="2" t="s">
        <v>190</v>
      </c>
      <c r="AI93" s="2" t="s">
        <v>499</v>
      </c>
      <c r="AJ93" s="2" t="s">
        <v>499</v>
      </c>
      <c r="AK93" s="2" t="s">
        <v>74</v>
      </c>
      <c r="AL93" s="2" t="s">
        <v>74</v>
      </c>
      <c r="AM93" s="2" t="s">
        <v>1939</v>
      </c>
      <c r="AN93" s="2" t="s">
        <v>303</v>
      </c>
      <c r="AO93" s="2" t="s">
        <v>90</v>
      </c>
      <c r="AP93" s="2" t="s">
        <v>90</v>
      </c>
      <c r="AQ93" s="2" t="s">
        <v>999</v>
      </c>
      <c r="AR93" s="2" t="s">
        <v>999</v>
      </c>
      <c r="AS93" s="2" t="s">
        <v>284</v>
      </c>
      <c r="AT93" s="2" t="s">
        <v>284</v>
      </c>
      <c r="AU93" s="2" t="s">
        <v>93</v>
      </c>
      <c r="AV93" s="2" t="s">
        <v>93</v>
      </c>
      <c r="AW93" s="2" t="s">
        <v>94</v>
      </c>
      <c r="AX93" s="2" t="s">
        <v>94</v>
      </c>
      <c r="AY93" s="2" t="s">
        <v>74</v>
      </c>
      <c r="AZ93" s="2" t="s">
        <v>74</v>
      </c>
      <c r="BA93" s="2" t="s">
        <v>284</v>
      </c>
      <c r="BB93" s="2" t="s">
        <v>284</v>
      </c>
      <c r="BC93" s="2" t="s">
        <v>83</v>
      </c>
      <c r="BD93" s="2" t="s">
        <v>107</v>
      </c>
      <c r="BE93" s="2" t="s">
        <v>107</v>
      </c>
      <c r="BF93" s="2" t="s">
        <v>107</v>
      </c>
      <c r="BG93" s="2" t="s">
        <v>74</v>
      </c>
      <c r="BH93" s="2" t="s">
        <v>97</v>
      </c>
      <c r="BI93" s="2" t="s">
        <v>97</v>
      </c>
      <c r="BJ93" s="2" t="s">
        <v>130</v>
      </c>
      <c r="BK93" s="2" t="s">
        <v>130</v>
      </c>
      <c r="BL93" s="2" t="s">
        <v>725</v>
      </c>
      <c r="BM93" s="2" t="s">
        <v>725</v>
      </c>
      <c r="BN93" s="2" t="s">
        <v>365</v>
      </c>
      <c r="BO93" s="2" t="s">
        <v>74</v>
      </c>
      <c r="BP93" s="2" t="s">
        <v>2212</v>
      </c>
      <c r="BQ93" s="2" t="s">
        <v>107</v>
      </c>
      <c r="BR93" s="2" t="s">
        <v>107</v>
      </c>
      <c r="BS93" s="2" t="s">
        <v>107</v>
      </c>
      <c r="BT93" s="2" t="s">
        <v>102</v>
      </c>
      <c r="BU93" s="2" t="s">
        <v>102</v>
      </c>
      <c r="BV93" s="2" t="s">
        <v>107</v>
      </c>
      <c r="BW93" s="2" t="s">
        <v>107</v>
      </c>
      <c r="BX93" s="8"/>
      <c r="BY93" s="2" t="s">
        <v>1955</v>
      </c>
      <c r="BZ93" s="38" t="s">
        <v>738</v>
      </c>
      <c r="CA93" s="2" t="s">
        <v>1903</v>
      </c>
      <c r="CB93" s="2" t="s">
        <v>1903</v>
      </c>
      <c r="CC93" s="2" t="s">
        <v>339</v>
      </c>
      <c r="CD93" s="2" t="s">
        <v>339</v>
      </c>
      <c r="CE93" s="2" t="s">
        <v>107</v>
      </c>
      <c r="CF93" s="2" t="s">
        <v>107</v>
      </c>
      <c r="CG93" s="8"/>
      <c r="CH93" s="2" t="s">
        <v>233</v>
      </c>
      <c r="CI93" s="2" t="s">
        <v>234</v>
      </c>
      <c r="CJ93" s="2" t="s">
        <v>234</v>
      </c>
      <c r="CK93" s="2" t="s">
        <v>83</v>
      </c>
      <c r="CL93" s="2" t="s">
        <v>141</v>
      </c>
      <c r="CM93" s="10" t="s">
        <v>1956</v>
      </c>
      <c r="CN93" s="2" t="s">
        <v>213</v>
      </c>
      <c r="CO93" s="2" t="s">
        <v>213</v>
      </c>
      <c r="CP93" s="2" t="s">
        <v>173</v>
      </c>
      <c r="CQ93" s="8"/>
      <c r="CR93" s="2" t="s">
        <v>74</v>
      </c>
      <c r="CS93" s="2" t="s">
        <v>1957</v>
      </c>
      <c r="CT93" s="21"/>
      <c r="CU93" s="8"/>
      <c r="CV93" s="8"/>
      <c r="CW93" s="8"/>
      <c r="CX93" s="8"/>
      <c r="CY93" s="8"/>
      <c r="CZ93" s="8"/>
      <c r="DA93" s="8"/>
      <c r="DB93" s="8"/>
      <c r="DC93" s="8"/>
      <c r="DD93" s="8"/>
      <c r="DE93" s="8"/>
      <c r="DF93" s="8"/>
      <c r="DG93" s="8"/>
      <c r="DH93" s="8"/>
      <c r="DI93" s="8"/>
      <c r="DJ93" s="8"/>
      <c r="DK93" s="8"/>
      <c r="DL93" s="8"/>
      <c r="DM93" s="8"/>
      <c r="DN93" s="8"/>
    </row>
    <row r="94" spans="1:118" ht="15.75" customHeight="1">
      <c r="A94" s="8">
        <v>118</v>
      </c>
      <c r="B94" s="8"/>
      <c r="C94" s="2" t="s">
        <v>69</v>
      </c>
      <c r="D94" s="2" t="s">
        <v>70</v>
      </c>
      <c r="E94" s="9">
        <v>43902.826662233798</v>
      </c>
      <c r="F94" s="2" t="s">
        <v>1684</v>
      </c>
      <c r="G94" s="2" t="s">
        <v>1695</v>
      </c>
      <c r="H94" s="2" t="s">
        <v>1958</v>
      </c>
      <c r="I94" s="2" t="s">
        <v>83</v>
      </c>
      <c r="J94" s="10" t="s">
        <v>1959</v>
      </c>
      <c r="K94" s="2" t="s">
        <v>1960</v>
      </c>
      <c r="L94" s="2" t="s">
        <v>1961</v>
      </c>
      <c r="M94" s="2" t="s">
        <v>114</v>
      </c>
      <c r="N94" s="2" t="s">
        <v>114</v>
      </c>
      <c r="O94" s="2" t="s">
        <v>680</v>
      </c>
      <c r="P94" s="2" t="s">
        <v>1962</v>
      </c>
      <c r="Q94" s="2" t="s">
        <v>1954</v>
      </c>
      <c r="R94" s="2" t="s">
        <v>418</v>
      </c>
      <c r="S94" s="2" t="s">
        <v>418</v>
      </c>
      <c r="T94" s="2">
        <v>2017</v>
      </c>
      <c r="U94" s="2" t="s">
        <v>82</v>
      </c>
      <c r="V94" s="2" t="s">
        <v>74</v>
      </c>
      <c r="W94" s="2" t="s">
        <v>74</v>
      </c>
      <c r="X94" s="2" t="s">
        <v>1963</v>
      </c>
      <c r="Y94" s="38" t="s">
        <v>119</v>
      </c>
      <c r="Z94" s="2" t="s">
        <v>1964</v>
      </c>
      <c r="AA94" s="2" t="s">
        <v>1964</v>
      </c>
      <c r="AB94" s="38" t="s">
        <v>1965</v>
      </c>
      <c r="AC94" s="2" t="s">
        <v>1965</v>
      </c>
      <c r="AD94" s="2" t="s">
        <v>74</v>
      </c>
      <c r="AE94" s="2" t="s">
        <v>1966</v>
      </c>
      <c r="AF94" s="2" t="s">
        <v>1966</v>
      </c>
      <c r="AG94" s="2" t="s">
        <v>260</v>
      </c>
      <c r="AH94" s="2" t="s">
        <v>260</v>
      </c>
      <c r="AI94" s="2" t="s">
        <v>88</v>
      </c>
      <c r="AJ94" s="2" t="s">
        <v>88</v>
      </c>
      <c r="AK94" s="2" t="s">
        <v>1967</v>
      </c>
      <c r="AL94" s="38" t="s">
        <v>74</v>
      </c>
      <c r="AM94" s="8"/>
      <c r="AN94" s="2" t="s">
        <v>89</v>
      </c>
      <c r="AO94" s="2" t="s">
        <v>107</v>
      </c>
      <c r="AP94" s="2" t="s">
        <v>107</v>
      </c>
      <c r="AQ94" s="2" t="s">
        <v>1181</v>
      </c>
      <c r="AR94" s="2" t="s">
        <v>1181</v>
      </c>
      <c r="AS94" s="2" t="s">
        <v>162</v>
      </c>
      <c r="AT94" s="2" t="s">
        <v>162</v>
      </c>
      <c r="AU94" s="2" t="s">
        <v>284</v>
      </c>
      <c r="AV94" s="2" t="s">
        <v>284</v>
      </c>
      <c r="AW94" s="2" t="s">
        <v>163</v>
      </c>
      <c r="AX94" s="2" t="s">
        <v>163</v>
      </c>
      <c r="AY94" s="2" t="s">
        <v>74</v>
      </c>
      <c r="AZ94" s="2" t="s">
        <v>74</v>
      </c>
      <c r="BA94" s="2" t="s">
        <v>265</v>
      </c>
      <c r="BB94" s="2" t="s">
        <v>265</v>
      </c>
      <c r="BC94" s="2" t="s">
        <v>107</v>
      </c>
      <c r="BD94" s="2" t="s">
        <v>95</v>
      </c>
      <c r="BE94" s="2" t="s">
        <v>107</v>
      </c>
      <c r="BF94" s="2" t="s">
        <v>107</v>
      </c>
      <c r="BG94" s="2" t="s">
        <v>74</v>
      </c>
      <c r="BH94" s="2" t="s">
        <v>97</v>
      </c>
      <c r="BI94" s="2" t="s">
        <v>97</v>
      </c>
      <c r="BJ94" s="2" t="s">
        <v>233</v>
      </c>
      <c r="BK94" s="2" t="s">
        <v>233</v>
      </c>
      <c r="BL94" s="2" t="s">
        <v>520</v>
      </c>
      <c r="BM94" s="2" t="s">
        <v>520</v>
      </c>
      <c r="BN94" s="2" t="s">
        <v>107</v>
      </c>
      <c r="BO94" s="2" t="s">
        <v>83</v>
      </c>
      <c r="BP94" s="2" t="s">
        <v>2201</v>
      </c>
      <c r="BQ94" s="2" t="s">
        <v>107</v>
      </c>
      <c r="BR94" s="2" t="s">
        <v>107</v>
      </c>
      <c r="BS94" s="2" t="s">
        <v>107</v>
      </c>
      <c r="BT94" s="2" t="s">
        <v>107</v>
      </c>
      <c r="BU94" s="2" t="s">
        <v>107</v>
      </c>
      <c r="BV94" s="2" t="s">
        <v>107</v>
      </c>
      <c r="BW94" s="2" t="s">
        <v>107</v>
      </c>
      <c r="BX94" s="8"/>
      <c r="BY94" s="2" t="s">
        <v>107</v>
      </c>
      <c r="BZ94" s="2" t="s">
        <v>107</v>
      </c>
      <c r="CA94" s="2" t="s">
        <v>1903</v>
      </c>
      <c r="CB94" s="2" t="s">
        <v>1903</v>
      </c>
      <c r="CC94" s="2" t="s">
        <v>168</v>
      </c>
      <c r="CD94" s="2" t="s">
        <v>168</v>
      </c>
      <c r="CE94" s="2" t="s">
        <v>107</v>
      </c>
      <c r="CF94" s="2" t="s">
        <v>107</v>
      </c>
      <c r="CG94" s="8"/>
      <c r="CH94" s="2" t="s">
        <v>233</v>
      </c>
      <c r="CI94" s="2" t="s">
        <v>108</v>
      </c>
      <c r="CJ94" s="2" t="s">
        <v>108</v>
      </c>
      <c r="CK94" s="2" t="s">
        <v>107</v>
      </c>
      <c r="CL94" s="2" t="s">
        <v>107</v>
      </c>
      <c r="CM94" s="8"/>
      <c r="CN94" s="2" t="s">
        <v>107</v>
      </c>
      <c r="CO94" s="2" t="s">
        <v>107</v>
      </c>
      <c r="CP94" s="2" t="s">
        <v>107</v>
      </c>
      <c r="CQ94" s="8"/>
      <c r="CR94" s="2" t="s">
        <v>74</v>
      </c>
      <c r="CS94" s="8"/>
      <c r="CT94" s="21"/>
      <c r="CU94" s="8"/>
      <c r="CV94" s="8"/>
      <c r="CW94" s="8"/>
      <c r="CX94" s="8"/>
      <c r="CY94" s="8"/>
      <c r="CZ94" s="8"/>
      <c r="DA94" s="8"/>
      <c r="DB94" s="8"/>
      <c r="DC94" s="8"/>
      <c r="DD94" s="8"/>
      <c r="DE94" s="8"/>
      <c r="DF94" s="8"/>
      <c r="DG94" s="8"/>
      <c r="DH94" s="8"/>
      <c r="DI94" s="8"/>
      <c r="DJ94" s="8"/>
      <c r="DK94" s="8"/>
      <c r="DL94" s="8"/>
      <c r="DM94" s="8"/>
      <c r="DN94" s="8"/>
    </row>
    <row r="95" spans="1:118" ht="15.75" customHeight="1">
      <c r="A95" s="8">
        <v>119</v>
      </c>
      <c r="B95" s="8" t="s">
        <v>1969</v>
      </c>
      <c r="C95" s="2" t="s">
        <v>69</v>
      </c>
      <c r="D95" s="2" t="s">
        <v>70</v>
      </c>
      <c r="E95" s="9">
        <v>43923.49413806713</v>
      </c>
      <c r="F95" s="2" t="s">
        <v>1970</v>
      </c>
      <c r="G95" s="2" t="s">
        <v>1971</v>
      </c>
      <c r="H95" s="2" t="s">
        <v>1972</v>
      </c>
      <c r="I95" s="2" t="s">
        <v>74</v>
      </c>
      <c r="J95" s="10" t="s">
        <v>1973</v>
      </c>
      <c r="K95" s="2" t="s">
        <v>1974</v>
      </c>
      <c r="L95" s="2" t="s">
        <v>1975</v>
      </c>
      <c r="M95" s="2" t="s">
        <v>616</v>
      </c>
      <c r="N95" s="2" t="s">
        <v>616</v>
      </c>
      <c r="O95" s="2" t="s">
        <v>115</v>
      </c>
      <c r="P95" s="2" t="s">
        <v>1976</v>
      </c>
      <c r="Q95" s="2" t="s">
        <v>1977</v>
      </c>
      <c r="R95" s="2" t="s">
        <v>118</v>
      </c>
      <c r="S95" s="2" t="s">
        <v>118</v>
      </c>
      <c r="T95" s="2">
        <v>2014</v>
      </c>
      <c r="U95" s="2">
        <v>2016</v>
      </c>
      <c r="V95" s="2" t="s">
        <v>74</v>
      </c>
      <c r="W95" s="2" t="s">
        <v>74</v>
      </c>
      <c r="X95" s="2" t="s">
        <v>720</v>
      </c>
      <c r="Y95" s="2" t="s">
        <v>720</v>
      </c>
      <c r="Z95" s="2" t="s">
        <v>1978</v>
      </c>
      <c r="AA95" s="2" t="s">
        <v>1978</v>
      </c>
      <c r="AB95" s="2" t="s">
        <v>120</v>
      </c>
      <c r="AC95" s="2" t="s">
        <v>120</v>
      </c>
      <c r="AD95" s="2" t="s">
        <v>158</v>
      </c>
      <c r="AE95" s="2" t="s">
        <v>1621</v>
      </c>
      <c r="AF95" s="2" t="s">
        <v>1621</v>
      </c>
      <c r="AG95" s="2" t="s">
        <v>190</v>
      </c>
      <c r="AH95" s="2" t="s">
        <v>190</v>
      </c>
      <c r="AI95" s="2" t="s">
        <v>261</v>
      </c>
      <c r="AJ95" s="2" t="s">
        <v>261</v>
      </c>
      <c r="AK95" s="2" t="s">
        <v>107</v>
      </c>
      <c r="AL95" s="2" t="s">
        <v>107</v>
      </c>
      <c r="AM95" s="8"/>
      <c r="AN95" s="2" t="s">
        <v>89</v>
      </c>
      <c r="AO95" s="2" t="s">
        <v>1979</v>
      </c>
      <c r="AP95" s="2" t="s">
        <v>126</v>
      </c>
      <c r="AQ95" s="2" t="s">
        <v>1980</v>
      </c>
      <c r="AR95" s="2" t="s">
        <v>2154</v>
      </c>
      <c r="AS95" s="2" t="s">
        <v>305</v>
      </c>
      <c r="AT95" s="2" t="s">
        <v>305</v>
      </c>
      <c r="AU95" s="2" t="s">
        <v>93</v>
      </c>
      <c r="AV95" s="2" t="s">
        <v>93</v>
      </c>
      <c r="AW95" s="2" t="s">
        <v>163</v>
      </c>
      <c r="AX95" s="2" t="s">
        <v>163</v>
      </c>
      <c r="AY95" s="2" t="s">
        <v>83</v>
      </c>
      <c r="AZ95" s="2" t="s">
        <v>74</v>
      </c>
      <c r="BA95" s="2" t="s">
        <v>1981</v>
      </c>
      <c r="BB95" s="2" t="s">
        <v>2163</v>
      </c>
      <c r="BC95" s="2" t="s">
        <v>208</v>
      </c>
      <c r="BD95" s="2" t="s">
        <v>74</v>
      </c>
      <c r="BE95" s="2" t="s">
        <v>74</v>
      </c>
      <c r="BF95" s="2" t="s">
        <v>74</v>
      </c>
      <c r="BG95" s="2" t="s">
        <v>74</v>
      </c>
      <c r="BH95" s="2" t="s">
        <v>97</v>
      </c>
      <c r="BI95" s="2" t="s">
        <v>97</v>
      </c>
      <c r="BJ95" s="2" t="s">
        <v>1982</v>
      </c>
      <c r="BK95" s="2" t="s">
        <v>738</v>
      </c>
      <c r="BL95" s="2" t="s">
        <v>1983</v>
      </c>
      <c r="BM95" s="2" t="s">
        <v>2172</v>
      </c>
      <c r="BN95" s="2" t="s">
        <v>1984</v>
      </c>
      <c r="BO95" s="39" t="s">
        <v>74</v>
      </c>
      <c r="BP95" s="39"/>
      <c r="BQ95" s="2" t="s">
        <v>74</v>
      </c>
      <c r="BR95" s="2" t="s">
        <v>1985</v>
      </c>
      <c r="BS95" s="2" t="s">
        <v>738</v>
      </c>
      <c r="BT95" s="2" t="s">
        <v>107</v>
      </c>
      <c r="BU95" s="2" t="s">
        <v>107</v>
      </c>
      <c r="BV95" s="2" t="s">
        <v>83</v>
      </c>
      <c r="BW95" s="2" t="s">
        <v>83</v>
      </c>
      <c r="BX95" s="8"/>
      <c r="BY95" s="2" t="s">
        <v>103</v>
      </c>
      <c r="BZ95" s="2" t="s">
        <v>103</v>
      </c>
      <c r="CA95" s="2" t="s">
        <v>104</v>
      </c>
      <c r="CB95" s="2" t="s">
        <v>104</v>
      </c>
      <c r="CC95" s="2" t="s">
        <v>339</v>
      </c>
      <c r="CD95" s="2" t="s">
        <v>339</v>
      </c>
      <c r="CE95" s="2" t="s">
        <v>593</v>
      </c>
      <c r="CF95" s="2" t="s">
        <v>593</v>
      </c>
      <c r="CG95" s="8"/>
      <c r="CH95" s="2" t="s">
        <v>107</v>
      </c>
      <c r="CI95" s="2" t="s">
        <v>171</v>
      </c>
      <c r="CJ95" s="2" t="s">
        <v>341</v>
      </c>
      <c r="CK95" s="2" t="s">
        <v>74</v>
      </c>
      <c r="CL95" s="2" t="s">
        <v>141</v>
      </c>
      <c r="CM95" s="8"/>
      <c r="CN95" s="2" t="s">
        <v>271</v>
      </c>
      <c r="CO95" s="2" t="s">
        <v>271</v>
      </c>
      <c r="CP95" s="2" t="s">
        <v>471</v>
      </c>
      <c r="CQ95" s="8"/>
      <c r="CR95" s="2" t="s">
        <v>74</v>
      </c>
      <c r="CS95" s="8"/>
      <c r="CT95" s="8"/>
      <c r="CU95" s="8"/>
      <c r="CV95" s="8"/>
      <c r="CW95" s="8"/>
      <c r="CX95" s="8"/>
      <c r="CY95" s="8"/>
      <c r="CZ95" s="8"/>
      <c r="DA95" s="8"/>
      <c r="DB95" s="8"/>
      <c r="DC95" s="8"/>
      <c r="DD95" s="8"/>
      <c r="DE95" s="8"/>
      <c r="DF95" s="8"/>
      <c r="DG95" s="8"/>
      <c r="DH95" s="8"/>
      <c r="DI95" s="8"/>
      <c r="DJ95" s="8"/>
      <c r="DK95" s="8"/>
      <c r="DL95" s="8"/>
      <c r="DM95" s="8"/>
      <c r="DN95" s="8"/>
    </row>
    <row r="96" spans="1:118" ht="15.75" customHeight="1">
      <c r="A96" s="8">
        <v>120</v>
      </c>
      <c r="B96" s="8"/>
      <c r="C96" s="2" t="s">
        <v>69</v>
      </c>
      <c r="D96" s="2" t="s">
        <v>70</v>
      </c>
      <c r="E96" s="9">
        <v>43924.66843503472</v>
      </c>
      <c r="F96" s="2" t="s">
        <v>1986</v>
      </c>
      <c r="G96" s="2" t="s">
        <v>1987</v>
      </c>
      <c r="H96" s="2" t="s">
        <v>1988</v>
      </c>
      <c r="I96" s="2" t="s">
        <v>74</v>
      </c>
      <c r="J96" s="2" t="s">
        <v>1989</v>
      </c>
      <c r="K96" s="2" t="s">
        <v>1986</v>
      </c>
      <c r="L96" s="2" t="s">
        <v>1990</v>
      </c>
      <c r="M96" s="2" t="s">
        <v>152</v>
      </c>
      <c r="N96" s="2" t="s">
        <v>152</v>
      </c>
      <c r="O96" s="2" t="s">
        <v>690</v>
      </c>
      <c r="P96" s="2" t="s">
        <v>608</v>
      </c>
      <c r="Q96" s="2" t="s">
        <v>1991</v>
      </c>
      <c r="R96" s="2" t="s">
        <v>418</v>
      </c>
      <c r="S96" s="2" t="s">
        <v>418</v>
      </c>
      <c r="T96" s="2">
        <v>2016</v>
      </c>
      <c r="U96" s="2" t="s">
        <v>82</v>
      </c>
      <c r="V96" s="2" t="s">
        <v>74</v>
      </c>
      <c r="W96" s="2" t="s">
        <v>74</v>
      </c>
      <c r="X96" s="2" t="s">
        <v>119</v>
      </c>
      <c r="Y96" s="2" t="s">
        <v>119</v>
      </c>
      <c r="Z96" s="2" t="s">
        <v>84</v>
      </c>
      <c r="AA96" s="2" t="s">
        <v>84</v>
      </c>
      <c r="AB96" s="2" t="s">
        <v>120</v>
      </c>
      <c r="AC96" s="2" t="s">
        <v>120</v>
      </c>
      <c r="AD96" s="2" t="s">
        <v>74</v>
      </c>
      <c r="AE96" s="2" t="s">
        <v>1453</v>
      </c>
      <c r="AF96" s="2" t="s">
        <v>1453</v>
      </c>
      <c r="AG96" s="2" t="s">
        <v>190</v>
      </c>
      <c r="AH96" s="2" t="s">
        <v>190</v>
      </c>
      <c r="AI96" s="2" t="s">
        <v>499</v>
      </c>
      <c r="AJ96" s="2" t="s">
        <v>499</v>
      </c>
      <c r="AK96" s="2" t="s">
        <v>74</v>
      </c>
      <c r="AL96" s="2" t="s">
        <v>74</v>
      </c>
      <c r="AM96" s="2" t="s">
        <v>1992</v>
      </c>
      <c r="AN96" s="2" t="s">
        <v>89</v>
      </c>
      <c r="AO96" s="2" t="s">
        <v>126</v>
      </c>
      <c r="AP96" s="2" t="s">
        <v>126</v>
      </c>
      <c r="AQ96" s="2" t="s">
        <v>1993</v>
      </c>
      <c r="AR96" s="2" t="s">
        <v>2155</v>
      </c>
      <c r="AS96" s="2" t="s">
        <v>305</v>
      </c>
      <c r="AT96" s="2" t="s">
        <v>305</v>
      </c>
      <c r="AU96" s="2" t="s">
        <v>93</v>
      </c>
      <c r="AV96" s="2" t="s">
        <v>93</v>
      </c>
      <c r="AW96" s="2" t="s">
        <v>1994</v>
      </c>
      <c r="AX96" s="2" t="s">
        <v>1733</v>
      </c>
      <c r="AY96" s="2" t="s">
        <v>74</v>
      </c>
      <c r="AZ96" s="2" t="s">
        <v>74</v>
      </c>
      <c r="BA96" s="2" t="s">
        <v>96</v>
      </c>
      <c r="BB96" s="2" t="s">
        <v>96</v>
      </c>
      <c r="BC96" s="2" t="s">
        <v>74</v>
      </c>
      <c r="BD96" s="2" t="s">
        <v>74</v>
      </c>
      <c r="BE96" s="2" t="s">
        <v>74</v>
      </c>
      <c r="BF96" s="2" t="s">
        <v>74</v>
      </c>
      <c r="BG96" s="2" t="s">
        <v>74</v>
      </c>
      <c r="BH96" s="2" t="s">
        <v>97</v>
      </c>
      <c r="BI96" s="2" t="s">
        <v>97</v>
      </c>
      <c r="BJ96" s="2" t="s">
        <v>1995</v>
      </c>
      <c r="BK96" s="2" t="s">
        <v>2165</v>
      </c>
      <c r="BL96" s="2" t="s">
        <v>308</v>
      </c>
      <c r="BM96" s="2" t="s">
        <v>308</v>
      </c>
      <c r="BN96" s="2" t="s">
        <v>365</v>
      </c>
      <c r="BO96" s="2" t="s">
        <v>74</v>
      </c>
      <c r="BP96" s="2" t="s">
        <v>2223</v>
      </c>
      <c r="BQ96" s="2" t="s">
        <v>74</v>
      </c>
      <c r="BR96" s="2" t="s">
        <v>1996</v>
      </c>
      <c r="BS96" s="38" t="s">
        <v>2349</v>
      </c>
      <c r="BT96" s="2" t="s">
        <v>107</v>
      </c>
      <c r="BU96" s="2" t="s">
        <v>107</v>
      </c>
      <c r="BV96" s="2" t="s">
        <v>83</v>
      </c>
      <c r="BW96" s="2" t="s">
        <v>83</v>
      </c>
      <c r="BX96" s="8"/>
      <c r="BY96" s="2" t="s">
        <v>233</v>
      </c>
      <c r="BZ96" s="2" t="s">
        <v>233</v>
      </c>
      <c r="CA96" s="2" t="s">
        <v>398</v>
      </c>
      <c r="CB96" s="2" t="s">
        <v>398</v>
      </c>
      <c r="CC96" s="2" t="s">
        <v>168</v>
      </c>
      <c r="CD96" s="2" t="s">
        <v>168</v>
      </c>
      <c r="CE96" s="2" t="s">
        <v>168</v>
      </c>
      <c r="CF96" s="2" t="s">
        <v>168</v>
      </c>
      <c r="CG96" s="2" t="s">
        <v>1997</v>
      </c>
      <c r="CH96" s="2" t="s">
        <v>107</v>
      </c>
      <c r="CI96" s="2" t="s">
        <v>139</v>
      </c>
      <c r="CJ96" s="2" t="s">
        <v>341</v>
      </c>
      <c r="CK96" s="2" t="s">
        <v>83</v>
      </c>
      <c r="CL96" s="2" t="s">
        <v>233</v>
      </c>
      <c r="CM96" s="8"/>
      <c r="CN96" s="2" t="s">
        <v>233</v>
      </c>
      <c r="CO96" s="2" t="s">
        <v>233</v>
      </c>
      <c r="CP96" s="2" t="s">
        <v>233</v>
      </c>
      <c r="CQ96" s="8"/>
      <c r="CR96" s="2" t="s">
        <v>74</v>
      </c>
      <c r="CS96" s="8"/>
      <c r="CT96" s="21"/>
      <c r="CU96" s="8"/>
      <c r="CV96" s="8"/>
      <c r="CW96" s="8"/>
      <c r="CX96" s="8"/>
      <c r="CY96" s="8"/>
      <c r="CZ96" s="8"/>
      <c r="DA96" s="8"/>
      <c r="DB96" s="8"/>
      <c r="DC96" s="8"/>
      <c r="DD96" s="8"/>
      <c r="DE96" s="8"/>
      <c r="DF96" s="8"/>
      <c r="DG96" s="8"/>
      <c r="DH96" s="8"/>
      <c r="DI96" s="8"/>
      <c r="DJ96" s="8"/>
      <c r="DK96" s="8"/>
      <c r="DL96" s="8"/>
      <c r="DM96" s="8"/>
      <c r="DN96" s="8"/>
    </row>
    <row r="97" spans="1:118" ht="15.75" customHeight="1">
      <c r="A97" s="8">
        <v>121</v>
      </c>
      <c r="B97" s="8"/>
      <c r="C97" s="8" t="s">
        <v>69</v>
      </c>
      <c r="D97" s="2" t="s">
        <v>70</v>
      </c>
      <c r="E97" s="8"/>
      <c r="F97" s="2" t="s">
        <v>1998</v>
      </c>
      <c r="G97" s="2" t="s">
        <v>1999</v>
      </c>
      <c r="H97" s="2" t="s">
        <v>2000</v>
      </c>
      <c r="I97" s="2" t="s">
        <v>83</v>
      </c>
      <c r="J97" s="10" t="s">
        <v>2001</v>
      </c>
      <c r="K97" s="2" t="s">
        <v>2002</v>
      </c>
      <c r="L97" s="2" t="s">
        <v>2003</v>
      </c>
      <c r="M97" s="2" t="s">
        <v>152</v>
      </c>
      <c r="N97" s="2" t="s">
        <v>152</v>
      </c>
      <c r="O97" s="2" t="s">
        <v>278</v>
      </c>
      <c r="P97" s="2" t="s">
        <v>936</v>
      </c>
      <c r="Q97" s="2" t="s">
        <v>2004</v>
      </c>
      <c r="R97" s="2" t="s">
        <v>81</v>
      </c>
      <c r="S97" s="2" t="s">
        <v>81</v>
      </c>
      <c r="T97" s="2">
        <v>2014</v>
      </c>
      <c r="U97" s="2">
        <v>2017</v>
      </c>
      <c r="V97" s="2" t="s">
        <v>74</v>
      </c>
      <c r="W97" s="2" t="s">
        <v>74</v>
      </c>
      <c r="X97" s="2" t="s">
        <v>719</v>
      </c>
      <c r="Y97" s="38" t="s">
        <v>611</v>
      </c>
      <c r="Z97" s="2" t="s">
        <v>2005</v>
      </c>
      <c r="AA97" s="2" t="s">
        <v>84</v>
      </c>
      <c r="AB97" s="2" t="s">
        <v>85</v>
      </c>
      <c r="AC97" s="2" t="s">
        <v>85</v>
      </c>
      <c r="AD97" s="2" t="s">
        <v>95</v>
      </c>
      <c r="AE97" s="38" t="s">
        <v>2006</v>
      </c>
      <c r="AF97" s="38" t="s">
        <v>2138</v>
      </c>
      <c r="AG97" s="2" t="s">
        <v>2007</v>
      </c>
      <c r="AH97" s="2" t="s">
        <v>190</v>
      </c>
      <c r="AI97" s="2" t="s">
        <v>85</v>
      </c>
      <c r="AJ97" s="2" t="s">
        <v>85</v>
      </c>
      <c r="AK97" s="2" t="s">
        <v>107</v>
      </c>
      <c r="AL97" s="2" t="s">
        <v>107</v>
      </c>
      <c r="AM97" s="8"/>
      <c r="AN97" s="2" t="s">
        <v>89</v>
      </c>
      <c r="AO97" s="2" t="s">
        <v>90</v>
      </c>
      <c r="AP97" s="2" t="s">
        <v>90</v>
      </c>
      <c r="AQ97" s="2" t="s">
        <v>1328</v>
      </c>
      <c r="AR97" s="2" t="s">
        <v>1328</v>
      </c>
      <c r="AS97" s="2" t="s">
        <v>92</v>
      </c>
      <c r="AT97" s="2" t="s">
        <v>92</v>
      </c>
      <c r="AU97" s="2" t="s">
        <v>284</v>
      </c>
      <c r="AV97" s="2" t="s">
        <v>284</v>
      </c>
      <c r="AW97" s="2" t="s">
        <v>1204</v>
      </c>
      <c r="AX97" s="2" t="s">
        <v>1733</v>
      </c>
      <c r="AY97" s="2" t="s">
        <v>74</v>
      </c>
      <c r="AZ97" s="2" t="s">
        <v>74</v>
      </c>
      <c r="BA97" s="2" t="s">
        <v>96</v>
      </c>
      <c r="BB97" s="2" t="s">
        <v>96</v>
      </c>
      <c r="BC97" s="2" t="s">
        <v>74</v>
      </c>
      <c r="BD97" s="2" t="s">
        <v>74</v>
      </c>
      <c r="BE97" s="2" t="s">
        <v>107</v>
      </c>
      <c r="BF97" s="2" t="s">
        <v>74</v>
      </c>
      <c r="BG97" s="2" t="s">
        <v>74</v>
      </c>
      <c r="BH97" s="2" t="s">
        <v>97</v>
      </c>
      <c r="BI97" s="2" t="s">
        <v>97</v>
      </c>
      <c r="BJ97" s="2" t="s">
        <v>2008</v>
      </c>
      <c r="BK97" s="2" t="s">
        <v>2167</v>
      </c>
      <c r="BL97" s="2" t="s">
        <v>229</v>
      </c>
      <c r="BM97" s="2" t="s">
        <v>229</v>
      </c>
      <c r="BN97" s="2" t="s">
        <v>2010</v>
      </c>
      <c r="BO97" s="2" t="s">
        <v>74</v>
      </c>
      <c r="BP97" s="2" t="s">
        <v>2203</v>
      </c>
      <c r="BQ97" s="2" t="s">
        <v>107</v>
      </c>
      <c r="BR97" s="2" t="s">
        <v>107</v>
      </c>
      <c r="BS97" s="2" t="s">
        <v>107</v>
      </c>
      <c r="BT97" s="2" t="s">
        <v>107</v>
      </c>
      <c r="BU97" s="2" t="s">
        <v>107</v>
      </c>
      <c r="BV97" s="2" t="s">
        <v>107</v>
      </c>
      <c r="BW97" s="2" t="s">
        <v>107</v>
      </c>
      <c r="BX97" s="8"/>
      <c r="BY97" s="2" t="s">
        <v>107</v>
      </c>
      <c r="BZ97" s="2" t="s">
        <v>107</v>
      </c>
      <c r="CA97" s="2" t="s">
        <v>85</v>
      </c>
      <c r="CB97" s="2" t="s">
        <v>85</v>
      </c>
      <c r="CC97" s="2" t="s">
        <v>339</v>
      </c>
      <c r="CD97" s="2" t="s">
        <v>339</v>
      </c>
      <c r="CE97" s="8"/>
      <c r="CF97" s="8"/>
      <c r="CG97" s="8"/>
      <c r="CH97" s="2" t="s">
        <v>107</v>
      </c>
      <c r="CI97" s="2" t="s">
        <v>140</v>
      </c>
      <c r="CJ97" s="2" t="s">
        <v>140</v>
      </c>
      <c r="CK97" s="8"/>
      <c r="CL97" s="2" t="s">
        <v>107</v>
      </c>
      <c r="CM97" s="8"/>
      <c r="CN97" s="8"/>
      <c r="CO97" s="8"/>
      <c r="CP97" s="8"/>
      <c r="CQ97" s="8"/>
      <c r="CR97" s="2" t="s">
        <v>74</v>
      </c>
      <c r="CS97" s="8"/>
      <c r="CU97" s="8"/>
      <c r="CV97" s="8"/>
      <c r="CW97" s="8"/>
      <c r="CX97" s="8"/>
      <c r="CY97" s="8"/>
      <c r="CZ97" s="8"/>
      <c r="DA97" s="8"/>
      <c r="DB97" s="8"/>
      <c r="DC97" s="8"/>
      <c r="DD97" s="8"/>
      <c r="DE97" s="8"/>
      <c r="DF97" s="8"/>
      <c r="DG97" s="8"/>
      <c r="DH97" s="8"/>
      <c r="DI97" s="8"/>
      <c r="DJ97" s="8"/>
      <c r="DK97" s="8"/>
      <c r="DL97" s="8"/>
      <c r="DM97" s="8"/>
      <c r="DN97" s="8"/>
    </row>
    <row r="98" spans="1:118" ht="15" customHeight="1">
      <c r="A98" s="8">
        <v>122</v>
      </c>
      <c r="B98" s="8"/>
      <c r="C98" s="8" t="s">
        <v>69</v>
      </c>
      <c r="D98" s="2" t="s">
        <v>70</v>
      </c>
      <c r="E98" s="8"/>
      <c r="F98" s="2" t="s">
        <v>1998</v>
      </c>
      <c r="G98" s="2" t="s">
        <v>1999</v>
      </c>
      <c r="H98" s="2" t="s">
        <v>2011</v>
      </c>
      <c r="I98" s="2" t="s">
        <v>83</v>
      </c>
      <c r="J98" s="10" t="s">
        <v>2012</v>
      </c>
      <c r="K98" s="2" t="s">
        <v>2013</v>
      </c>
      <c r="L98" s="2" t="s">
        <v>2014</v>
      </c>
      <c r="M98" s="2" t="s">
        <v>152</v>
      </c>
      <c r="N98" s="2" t="s">
        <v>152</v>
      </c>
      <c r="O98" s="2" t="s">
        <v>278</v>
      </c>
      <c r="P98" s="2" t="s">
        <v>936</v>
      </c>
      <c r="Q98" s="2" t="s">
        <v>2015</v>
      </c>
      <c r="R98" s="2" t="s">
        <v>2016</v>
      </c>
      <c r="S98" s="2" t="s">
        <v>2016</v>
      </c>
      <c r="T98" s="2">
        <v>2016</v>
      </c>
      <c r="U98" s="2" t="s">
        <v>82</v>
      </c>
      <c r="V98" s="2" t="s">
        <v>74</v>
      </c>
      <c r="W98" s="2" t="s">
        <v>74</v>
      </c>
      <c r="X98" s="2" t="s">
        <v>719</v>
      </c>
      <c r="Y98" s="38" t="s">
        <v>611</v>
      </c>
      <c r="Z98" s="2" t="s">
        <v>2005</v>
      </c>
      <c r="AA98" s="2" t="s">
        <v>84</v>
      </c>
      <c r="AB98" s="2" t="s">
        <v>85</v>
      </c>
      <c r="AC98" s="2" t="s">
        <v>85</v>
      </c>
      <c r="AD98" s="2" t="s">
        <v>74</v>
      </c>
      <c r="AE98" s="2" t="s">
        <v>1453</v>
      </c>
      <c r="AF98" s="2" t="s">
        <v>1453</v>
      </c>
      <c r="AG98" s="2" t="s">
        <v>2007</v>
      </c>
      <c r="AH98" s="2" t="s">
        <v>190</v>
      </c>
      <c r="AI98" s="2" t="s">
        <v>85</v>
      </c>
      <c r="AJ98" s="2" t="s">
        <v>85</v>
      </c>
      <c r="AK98" s="2" t="s">
        <v>74</v>
      </c>
      <c r="AL98" s="2" t="s">
        <v>74</v>
      </c>
      <c r="AM98" s="2" t="s">
        <v>2018</v>
      </c>
      <c r="AN98" s="2" t="s">
        <v>89</v>
      </c>
      <c r="AO98" s="2" t="s">
        <v>90</v>
      </c>
      <c r="AP98" s="2" t="s">
        <v>90</v>
      </c>
      <c r="AQ98" s="2" t="s">
        <v>1328</v>
      </c>
      <c r="AR98" s="2" t="s">
        <v>1328</v>
      </c>
      <c r="AS98" s="2" t="s">
        <v>162</v>
      </c>
      <c r="AT98" s="2" t="s">
        <v>162</v>
      </c>
      <c r="AU98" s="2" t="s">
        <v>284</v>
      </c>
      <c r="AV98" s="2" t="s">
        <v>284</v>
      </c>
      <c r="AW98" s="2" t="s">
        <v>1994</v>
      </c>
      <c r="AX98" s="2" t="s">
        <v>1733</v>
      </c>
      <c r="AY98" s="2" t="s">
        <v>74</v>
      </c>
      <c r="AZ98" s="2" t="s">
        <v>74</v>
      </c>
      <c r="BA98" s="2" t="s">
        <v>96</v>
      </c>
      <c r="BB98" s="2" t="s">
        <v>96</v>
      </c>
      <c r="BC98" s="8"/>
      <c r="BD98" s="2" t="s">
        <v>74</v>
      </c>
      <c r="BE98" s="8"/>
      <c r="BF98" s="8"/>
      <c r="BG98" s="2" t="s">
        <v>74</v>
      </c>
      <c r="BH98" s="2" t="s">
        <v>97</v>
      </c>
      <c r="BI98" s="2" t="s">
        <v>97</v>
      </c>
      <c r="BJ98" s="2" t="s">
        <v>2019</v>
      </c>
      <c r="BK98" s="2" t="s">
        <v>2165</v>
      </c>
      <c r="BL98" s="2" t="s">
        <v>308</v>
      </c>
      <c r="BM98" s="2" t="s">
        <v>308</v>
      </c>
      <c r="BN98" s="2" t="s">
        <v>2020</v>
      </c>
      <c r="BO98" s="2" t="s">
        <v>74</v>
      </c>
      <c r="BP98" s="39" t="s">
        <v>2204</v>
      </c>
      <c r="BQ98" s="8"/>
      <c r="BR98" s="8"/>
      <c r="BS98" s="8"/>
      <c r="BT98" s="8"/>
      <c r="BU98" s="8"/>
      <c r="BV98" s="8"/>
      <c r="BW98" s="8"/>
      <c r="BX98" s="8"/>
      <c r="BY98" s="8"/>
      <c r="BZ98" s="8"/>
      <c r="CA98" s="2" t="s">
        <v>85</v>
      </c>
      <c r="CB98" s="2" t="s">
        <v>85</v>
      </c>
      <c r="CC98" s="2" t="s">
        <v>339</v>
      </c>
      <c r="CD98" s="2" t="s">
        <v>339</v>
      </c>
      <c r="CE98" s="8"/>
      <c r="CF98" s="8"/>
      <c r="CG98" s="8"/>
      <c r="CH98" s="8"/>
      <c r="CI98" s="8"/>
      <c r="CJ98" s="8"/>
      <c r="CK98" s="8"/>
      <c r="CL98" s="2" t="s">
        <v>233</v>
      </c>
      <c r="CM98" s="8"/>
      <c r="CN98" s="8"/>
      <c r="CO98" s="8"/>
      <c r="CP98" s="8"/>
      <c r="CQ98" s="8"/>
      <c r="CR98" s="2" t="s">
        <v>74</v>
      </c>
      <c r="CS98" s="8"/>
      <c r="CU98" s="8"/>
      <c r="CV98" s="8"/>
      <c r="CW98" s="8"/>
      <c r="CX98" s="8"/>
      <c r="CY98" s="8"/>
      <c r="CZ98" s="8"/>
      <c r="DA98" s="8"/>
      <c r="DB98" s="8"/>
      <c r="DC98" s="8"/>
      <c r="DD98" s="8"/>
      <c r="DE98" s="8"/>
      <c r="DF98" s="8"/>
      <c r="DG98" s="8"/>
      <c r="DH98" s="8"/>
      <c r="DI98" s="8"/>
      <c r="DJ98" s="8"/>
      <c r="DK98" s="8"/>
      <c r="DL98" s="8"/>
      <c r="DM98" s="8"/>
      <c r="DN98" s="8"/>
    </row>
    <row r="99" spans="1:118" ht="12" customHeight="1">
      <c r="A99" s="8">
        <v>123</v>
      </c>
      <c r="B99" s="8"/>
      <c r="C99" s="8" t="s">
        <v>69</v>
      </c>
      <c r="D99" s="2" t="s">
        <v>70</v>
      </c>
      <c r="E99" s="8"/>
      <c r="F99" s="2" t="s">
        <v>1998</v>
      </c>
      <c r="G99" s="2" t="s">
        <v>1999</v>
      </c>
      <c r="H99" s="2" t="s">
        <v>2021</v>
      </c>
      <c r="I99" s="2" t="s">
        <v>83</v>
      </c>
      <c r="J99" s="10" t="s">
        <v>2023</v>
      </c>
      <c r="K99" s="2" t="s">
        <v>2025</v>
      </c>
      <c r="L99" s="2" t="s">
        <v>2026</v>
      </c>
      <c r="M99" s="2" t="s">
        <v>152</v>
      </c>
      <c r="N99" s="2" t="s">
        <v>152</v>
      </c>
      <c r="O99" s="2" t="s">
        <v>278</v>
      </c>
      <c r="P99" s="2" t="s">
        <v>936</v>
      </c>
      <c r="Q99" s="2" t="s">
        <v>2027</v>
      </c>
      <c r="R99" s="2" t="s">
        <v>81</v>
      </c>
      <c r="S99" s="2" t="s">
        <v>81</v>
      </c>
      <c r="T99" s="2">
        <v>2014</v>
      </c>
      <c r="U99" s="2" t="s">
        <v>82</v>
      </c>
      <c r="V99" s="2" t="s">
        <v>74</v>
      </c>
      <c r="W99" s="2" t="s">
        <v>74</v>
      </c>
      <c r="X99" s="2" t="s">
        <v>282</v>
      </c>
      <c r="Y99" s="2" t="s">
        <v>282</v>
      </c>
      <c r="Z99" s="2" t="s">
        <v>2005</v>
      </c>
      <c r="AA99" s="2" t="s">
        <v>84</v>
      </c>
      <c r="AB99" s="2" t="s">
        <v>735</v>
      </c>
      <c r="AC99" s="2" t="s">
        <v>735</v>
      </c>
      <c r="AD99" s="2" t="s">
        <v>74</v>
      </c>
      <c r="AE99" s="2" t="s">
        <v>1453</v>
      </c>
      <c r="AF99" s="2" t="s">
        <v>1453</v>
      </c>
      <c r="AG99" s="2" t="s">
        <v>2028</v>
      </c>
      <c r="AH99" s="2" t="s">
        <v>190</v>
      </c>
      <c r="AI99" s="2" t="s">
        <v>366</v>
      </c>
      <c r="AJ99" s="2" t="s">
        <v>366</v>
      </c>
      <c r="AK99" s="2" t="s">
        <v>74</v>
      </c>
      <c r="AL99" s="2" t="s">
        <v>74</v>
      </c>
      <c r="AM99" s="2" t="s">
        <v>2018</v>
      </c>
      <c r="AN99" s="2" t="s">
        <v>89</v>
      </c>
      <c r="AO99" s="2" t="s">
        <v>90</v>
      </c>
      <c r="AP99" s="2" t="s">
        <v>90</v>
      </c>
      <c r="AQ99" s="2" t="s">
        <v>999</v>
      </c>
      <c r="AR99" s="2" t="s">
        <v>999</v>
      </c>
      <c r="AS99" s="2" t="s">
        <v>92</v>
      </c>
      <c r="AT99" s="2" t="s">
        <v>92</v>
      </c>
      <c r="AU99" s="2" t="s">
        <v>284</v>
      </c>
      <c r="AV99" s="2" t="s">
        <v>284</v>
      </c>
      <c r="AW99" s="2" t="s">
        <v>1994</v>
      </c>
      <c r="AX99" s="2" t="s">
        <v>1733</v>
      </c>
      <c r="AY99" s="2" t="s">
        <v>74</v>
      </c>
      <c r="AZ99" s="2" t="s">
        <v>74</v>
      </c>
      <c r="BA99" s="2" t="s">
        <v>284</v>
      </c>
      <c r="BB99" s="2" t="s">
        <v>284</v>
      </c>
      <c r="BC99" s="2" t="s">
        <v>74</v>
      </c>
      <c r="BD99" s="2" t="s">
        <v>74</v>
      </c>
      <c r="BE99" s="2" t="s">
        <v>74</v>
      </c>
      <c r="BF99" s="2" t="s">
        <v>74</v>
      </c>
      <c r="BG99" s="2" t="s">
        <v>74</v>
      </c>
      <c r="BH99" s="2" t="s">
        <v>97</v>
      </c>
      <c r="BI99" s="2" t="s">
        <v>97</v>
      </c>
      <c r="BJ99" s="31" t="s">
        <v>130</v>
      </c>
      <c r="BK99" s="31" t="s">
        <v>130</v>
      </c>
      <c r="BL99" s="2" t="s">
        <v>725</v>
      </c>
      <c r="BM99" s="2" t="s">
        <v>725</v>
      </c>
      <c r="BN99" s="2" t="s">
        <v>365</v>
      </c>
      <c r="BO99" s="2" t="s">
        <v>74</v>
      </c>
      <c r="BP99" s="2" t="s">
        <v>2224</v>
      </c>
      <c r="BQ99" s="2" t="s">
        <v>107</v>
      </c>
      <c r="BR99" s="2" t="s">
        <v>107</v>
      </c>
      <c r="BS99" s="2" t="s">
        <v>107</v>
      </c>
      <c r="BT99" s="2" t="s">
        <v>107</v>
      </c>
      <c r="BU99" s="2" t="s">
        <v>107</v>
      </c>
      <c r="BV99" s="2" t="s">
        <v>107</v>
      </c>
      <c r="BW99" s="2" t="s">
        <v>107</v>
      </c>
      <c r="BX99" s="8"/>
      <c r="BY99" s="2" t="s">
        <v>107</v>
      </c>
      <c r="BZ99" s="2" t="s">
        <v>107</v>
      </c>
      <c r="CA99" s="2" t="s">
        <v>85</v>
      </c>
      <c r="CB99" s="2" t="s">
        <v>85</v>
      </c>
      <c r="CC99" s="2" t="s">
        <v>339</v>
      </c>
      <c r="CD99" s="2" t="s">
        <v>339</v>
      </c>
      <c r="CE99" s="8"/>
      <c r="CF99" s="8"/>
      <c r="CG99" s="8"/>
      <c r="CH99" s="2" t="s">
        <v>233</v>
      </c>
      <c r="CI99" s="2" t="s">
        <v>172</v>
      </c>
      <c r="CJ99" s="2" t="s">
        <v>2030</v>
      </c>
      <c r="CK99" s="8"/>
      <c r="CL99" s="2" t="s">
        <v>233</v>
      </c>
      <c r="CM99" s="8"/>
      <c r="CN99" s="8"/>
      <c r="CO99" s="8"/>
      <c r="CP99" s="8"/>
      <c r="CQ99" s="8"/>
      <c r="CR99" s="2" t="s">
        <v>74</v>
      </c>
      <c r="CS99" s="8"/>
      <c r="CU99" s="8"/>
      <c r="CV99" s="8"/>
      <c r="CW99" s="8"/>
      <c r="CX99" s="8"/>
      <c r="CY99" s="8"/>
      <c r="CZ99" s="8"/>
      <c r="DA99" s="8"/>
      <c r="DB99" s="8"/>
      <c r="DC99" s="8"/>
      <c r="DD99" s="8"/>
      <c r="DE99" s="8"/>
      <c r="DF99" s="8"/>
      <c r="DG99" s="8"/>
      <c r="DH99" s="8"/>
      <c r="DI99" s="8"/>
      <c r="DJ99" s="8"/>
      <c r="DK99" s="8"/>
      <c r="DL99" s="8"/>
      <c r="DM99" s="8"/>
      <c r="DN99" s="8"/>
    </row>
    <row r="100" spans="1:118" ht="15.75" customHeight="1">
      <c r="A100" s="8">
        <v>124</v>
      </c>
      <c r="B100" s="8"/>
      <c r="C100" s="8" t="s">
        <v>69</v>
      </c>
      <c r="D100" s="2" t="s">
        <v>70</v>
      </c>
      <c r="E100" s="8"/>
      <c r="F100" s="2" t="s">
        <v>1998</v>
      </c>
      <c r="G100" s="2" t="s">
        <v>1999</v>
      </c>
      <c r="H100" s="2" t="s">
        <v>2031</v>
      </c>
      <c r="I100" s="2" t="s">
        <v>83</v>
      </c>
      <c r="J100" s="10" t="s">
        <v>2032</v>
      </c>
      <c r="K100" s="2" t="s">
        <v>2033</v>
      </c>
      <c r="L100" s="2" t="s">
        <v>2034</v>
      </c>
      <c r="M100" s="2" t="s">
        <v>152</v>
      </c>
      <c r="N100" s="2" t="s">
        <v>152</v>
      </c>
      <c r="O100" s="2" t="s">
        <v>278</v>
      </c>
      <c r="P100" s="2" t="s">
        <v>936</v>
      </c>
      <c r="Q100" s="32" t="s">
        <v>2035</v>
      </c>
      <c r="R100" s="31" t="s">
        <v>298</v>
      </c>
      <c r="S100" s="31" t="s">
        <v>298</v>
      </c>
      <c r="T100" s="2">
        <v>2017</v>
      </c>
      <c r="U100" s="2" t="s">
        <v>82</v>
      </c>
      <c r="V100" s="2" t="s">
        <v>74</v>
      </c>
      <c r="W100" s="2" t="s">
        <v>74</v>
      </c>
      <c r="X100" s="2" t="s">
        <v>2036</v>
      </c>
      <c r="Y100" s="2" t="s">
        <v>2036</v>
      </c>
      <c r="Z100" s="2" t="s">
        <v>2005</v>
      </c>
      <c r="AA100" s="2" t="s">
        <v>84</v>
      </c>
      <c r="AB100" s="2" t="s">
        <v>258</v>
      </c>
      <c r="AC100" s="2" t="s">
        <v>258</v>
      </c>
      <c r="AD100" s="2" t="s">
        <v>74</v>
      </c>
      <c r="AE100" s="2" t="s">
        <v>1966</v>
      </c>
      <c r="AF100" s="2" t="s">
        <v>1966</v>
      </c>
      <c r="AG100" s="2" t="s">
        <v>2037</v>
      </c>
      <c r="AH100" s="2" t="s">
        <v>190</v>
      </c>
      <c r="AI100" s="2" t="s">
        <v>499</v>
      </c>
      <c r="AJ100" s="2" t="s">
        <v>499</v>
      </c>
      <c r="AK100" s="2" t="s">
        <v>74</v>
      </c>
      <c r="AL100" s="2" t="s">
        <v>74</v>
      </c>
      <c r="AM100" s="2" t="s">
        <v>2038</v>
      </c>
      <c r="AN100" s="2" t="s">
        <v>89</v>
      </c>
      <c r="AO100" s="2" t="s">
        <v>90</v>
      </c>
      <c r="AP100" s="2" t="s">
        <v>90</v>
      </c>
      <c r="AQ100" s="2" t="s">
        <v>999</v>
      </c>
      <c r="AR100" s="2" t="s">
        <v>999</v>
      </c>
      <c r="AS100" s="2" t="s">
        <v>92</v>
      </c>
      <c r="AT100" s="2" t="s">
        <v>92</v>
      </c>
      <c r="AU100" s="2" t="s">
        <v>284</v>
      </c>
      <c r="AV100" s="2" t="s">
        <v>284</v>
      </c>
      <c r="AW100" s="2" t="s">
        <v>1994</v>
      </c>
      <c r="AX100" s="2" t="s">
        <v>1733</v>
      </c>
      <c r="AY100" s="2" t="s">
        <v>74</v>
      </c>
      <c r="AZ100" s="2" t="s">
        <v>74</v>
      </c>
      <c r="BA100" s="2" t="s">
        <v>96</v>
      </c>
      <c r="BB100" s="2" t="s">
        <v>96</v>
      </c>
      <c r="BC100" s="2" t="s">
        <v>74</v>
      </c>
      <c r="BD100" s="2" t="s">
        <v>74</v>
      </c>
      <c r="BE100" s="2" t="s">
        <v>74</v>
      </c>
      <c r="BF100" s="2" t="s">
        <v>74</v>
      </c>
      <c r="BG100" s="2" t="s">
        <v>74</v>
      </c>
      <c r="BH100" s="2" t="s">
        <v>97</v>
      </c>
      <c r="BI100" s="2" t="s">
        <v>97</v>
      </c>
      <c r="BJ100" s="31" t="s">
        <v>130</v>
      </c>
      <c r="BK100" s="31" t="s">
        <v>130</v>
      </c>
      <c r="BL100" s="2" t="s">
        <v>725</v>
      </c>
      <c r="BM100" s="2" t="s">
        <v>725</v>
      </c>
      <c r="BN100" s="2" t="s">
        <v>365</v>
      </c>
      <c r="BO100" s="2" t="s">
        <v>83</v>
      </c>
      <c r="BP100" s="2" t="s">
        <v>2201</v>
      </c>
      <c r="BQ100" s="2" t="s">
        <v>74</v>
      </c>
      <c r="BR100" s="2" t="s">
        <v>107</v>
      </c>
      <c r="BS100" s="2" t="s">
        <v>107</v>
      </c>
      <c r="BT100" s="2" t="s">
        <v>107</v>
      </c>
      <c r="BU100" s="2" t="s">
        <v>107</v>
      </c>
      <c r="BV100" s="2" t="s">
        <v>107</v>
      </c>
      <c r="BW100" s="2" t="s">
        <v>107</v>
      </c>
      <c r="BX100" s="8"/>
      <c r="BY100" s="2" t="s">
        <v>107</v>
      </c>
      <c r="BZ100" s="2" t="s">
        <v>107</v>
      </c>
      <c r="CA100" s="2" t="s">
        <v>85</v>
      </c>
      <c r="CB100" s="2" t="s">
        <v>85</v>
      </c>
      <c r="CC100" s="2" t="s">
        <v>339</v>
      </c>
      <c r="CD100" s="2" t="s">
        <v>339</v>
      </c>
      <c r="CE100" s="8"/>
      <c r="CF100" s="8"/>
      <c r="CG100" s="8"/>
      <c r="CH100" s="2" t="s">
        <v>233</v>
      </c>
      <c r="CI100" s="8"/>
      <c r="CJ100" s="8"/>
      <c r="CK100" s="8"/>
      <c r="CL100" s="2" t="s">
        <v>107</v>
      </c>
      <c r="CM100" s="8"/>
      <c r="CN100" s="8"/>
      <c r="CO100" s="8"/>
      <c r="CP100" s="8"/>
      <c r="CQ100" s="8"/>
      <c r="CR100" s="2" t="s">
        <v>74</v>
      </c>
      <c r="CS100" s="8"/>
      <c r="CT100" s="8"/>
      <c r="CU100" s="8"/>
      <c r="CV100" s="8"/>
      <c r="CW100" s="8"/>
      <c r="CX100" s="8"/>
      <c r="CY100" s="8"/>
      <c r="CZ100" s="8"/>
      <c r="DA100" s="8"/>
      <c r="DB100" s="8"/>
      <c r="DC100" s="8"/>
      <c r="DD100" s="8"/>
      <c r="DE100" s="8"/>
      <c r="DF100" s="8"/>
      <c r="DG100" s="8"/>
      <c r="DH100" s="8"/>
      <c r="DI100" s="8"/>
      <c r="DJ100" s="8"/>
      <c r="DK100" s="8"/>
      <c r="DL100" s="8"/>
      <c r="DM100" s="8"/>
      <c r="DN100" s="8"/>
    </row>
    <row r="101" spans="1:118" ht="15.75" customHeight="1">
      <c r="A101" s="8">
        <v>125</v>
      </c>
      <c r="B101" s="8"/>
      <c r="C101" s="8" t="s">
        <v>69</v>
      </c>
      <c r="D101" s="2" t="s">
        <v>70</v>
      </c>
      <c r="E101" s="8"/>
      <c r="F101" s="2" t="s">
        <v>1998</v>
      </c>
      <c r="G101" s="2" t="s">
        <v>1999</v>
      </c>
      <c r="H101" s="2" t="s">
        <v>2039</v>
      </c>
      <c r="I101" s="2" t="s">
        <v>83</v>
      </c>
      <c r="J101" s="10" t="s">
        <v>2040</v>
      </c>
      <c r="K101" s="2" t="s">
        <v>2041</v>
      </c>
      <c r="L101" s="2" t="s">
        <v>2042</v>
      </c>
      <c r="M101" s="2" t="s">
        <v>152</v>
      </c>
      <c r="N101" s="2" t="s">
        <v>152</v>
      </c>
      <c r="O101" s="2" t="s">
        <v>278</v>
      </c>
      <c r="P101" s="2" t="s">
        <v>936</v>
      </c>
      <c r="Q101" s="2" t="s">
        <v>2015</v>
      </c>
      <c r="R101" s="2" t="s">
        <v>2016</v>
      </c>
      <c r="S101" s="2" t="s">
        <v>2016</v>
      </c>
      <c r="T101" s="2">
        <v>2014</v>
      </c>
      <c r="U101" s="2">
        <v>2018</v>
      </c>
      <c r="V101" s="2" t="s">
        <v>74</v>
      </c>
      <c r="W101" s="2" t="s">
        <v>74</v>
      </c>
      <c r="X101" s="2" t="s">
        <v>719</v>
      </c>
      <c r="Y101" s="38" t="s">
        <v>611</v>
      </c>
      <c r="Z101" s="2" t="s">
        <v>2005</v>
      </c>
      <c r="AA101" s="2" t="s">
        <v>84</v>
      </c>
      <c r="AB101" s="2" t="s">
        <v>729</v>
      </c>
      <c r="AC101" s="2" t="s">
        <v>729</v>
      </c>
      <c r="AD101" s="2" t="s">
        <v>95</v>
      </c>
      <c r="AE101" s="38" t="s">
        <v>2043</v>
      </c>
      <c r="AF101" s="42" t="s">
        <v>2139</v>
      </c>
      <c r="AG101" s="2" t="s">
        <v>2007</v>
      </c>
      <c r="AH101" s="2" t="s">
        <v>190</v>
      </c>
      <c r="AI101" s="2" t="s">
        <v>499</v>
      </c>
      <c r="AJ101" s="2" t="s">
        <v>499</v>
      </c>
      <c r="AK101" s="2" t="s">
        <v>74</v>
      </c>
      <c r="AL101" s="2" t="s">
        <v>74</v>
      </c>
      <c r="AM101" s="2" t="s">
        <v>2038</v>
      </c>
      <c r="AN101" s="2" t="s">
        <v>89</v>
      </c>
      <c r="AO101" s="2" t="s">
        <v>90</v>
      </c>
      <c r="AP101" s="2" t="s">
        <v>90</v>
      </c>
      <c r="AQ101" s="2" t="s">
        <v>2044</v>
      </c>
      <c r="AR101" s="2" t="s">
        <v>2044</v>
      </c>
      <c r="AS101" s="2" t="s">
        <v>92</v>
      </c>
      <c r="AT101" s="2" t="s">
        <v>92</v>
      </c>
      <c r="AU101" s="2" t="s">
        <v>284</v>
      </c>
      <c r="AV101" s="2" t="s">
        <v>284</v>
      </c>
      <c r="AW101" s="2" t="s">
        <v>1994</v>
      </c>
      <c r="AX101" s="2" t="s">
        <v>1733</v>
      </c>
      <c r="AY101" s="2" t="s">
        <v>74</v>
      </c>
      <c r="AZ101" s="2" t="s">
        <v>74</v>
      </c>
      <c r="BA101" s="2" t="s">
        <v>107</v>
      </c>
      <c r="BB101" s="2" t="s">
        <v>107</v>
      </c>
      <c r="BC101" s="2" t="s">
        <v>74</v>
      </c>
      <c r="BD101" s="2" t="s">
        <v>74</v>
      </c>
      <c r="BE101" s="2" t="s">
        <v>74</v>
      </c>
      <c r="BF101" s="2" t="s">
        <v>74</v>
      </c>
      <c r="BG101" s="2" t="s">
        <v>74</v>
      </c>
      <c r="BH101" s="2" t="s">
        <v>97</v>
      </c>
      <c r="BI101" s="2" t="s">
        <v>97</v>
      </c>
      <c r="BJ101" s="2" t="s">
        <v>2045</v>
      </c>
      <c r="BK101" s="2" t="s">
        <v>2165</v>
      </c>
      <c r="BL101" s="31" t="s">
        <v>229</v>
      </c>
      <c r="BM101" s="31" t="s">
        <v>229</v>
      </c>
      <c r="BN101" s="2" t="s">
        <v>365</v>
      </c>
      <c r="BO101" s="2" t="s">
        <v>74</v>
      </c>
      <c r="BP101" s="2" t="s">
        <v>2205</v>
      </c>
      <c r="BQ101" s="2" t="s">
        <v>107</v>
      </c>
      <c r="BR101" s="2" t="s">
        <v>107</v>
      </c>
      <c r="BS101" s="2" t="s">
        <v>107</v>
      </c>
      <c r="BT101" s="2" t="s">
        <v>107</v>
      </c>
      <c r="BU101" s="2" t="s">
        <v>107</v>
      </c>
      <c r="BV101" s="2" t="s">
        <v>107</v>
      </c>
      <c r="BW101" s="2" t="s">
        <v>107</v>
      </c>
      <c r="BX101" s="8"/>
      <c r="BY101" s="2" t="s">
        <v>107</v>
      </c>
      <c r="BZ101" s="2" t="s">
        <v>107</v>
      </c>
      <c r="CA101" s="2" t="s">
        <v>2046</v>
      </c>
      <c r="CB101" s="38" t="s">
        <v>761</v>
      </c>
      <c r="CC101" s="2" t="s">
        <v>339</v>
      </c>
      <c r="CD101" s="2" t="s">
        <v>339</v>
      </c>
      <c r="CE101" s="8"/>
      <c r="CF101" s="8"/>
      <c r="CG101" s="8"/>
      <c r="CH101" s="2" t="s">
        <v>233</v>
      </c>
      <c r="CI101" s="8"/>
      <c r="CJ101" s="8"/>
      <c r="CK101" s="8"/>
      <c r="CL101" s="2" t="s">
        <v>107</v>
      </c>
      <c r="CM101" s="8"/>
      <c r="CN101" s="8"/>
      <c r="CO101" s="8"/>
      <c r="CP101" s="8"/>
      <c r="CQ101" s="8"/>
      <c r="CR101" s="2" t="s">
        <v>74</v>
      </c>
      <c r="CS101" s="8"/>
      <c r="CT101" s="21"/>
      <c r="CU101" s="8"/>
      <c r="CV101" s="8"/>
      <c r="CW101" s="8"/>
      <c r="CX101" s="8"/>
      <c r="CY101" s="8"/>
      <c r="CZ101" s="8"/>
      <c r="DA101" s="8"/>
      <c r="DB101" s="8"/>
      <c r="DC101" s="8"/>
      <c r="DD101" s="8"/>
      <c r="DE101" s="8"/>
      <c r="DF101" s="8"/>
      <c r="DG101" s="8"/>
      <c r="DH101" s="8"/>
      <c r="DI101" s="8"/>
      <c r="DJ101" s="8"/>
      <c r="DK101" s="8"/>
      <c r="DL101" s="8"/>
      <c r="DM101" s="8"/>
      <c r="DN101" s="8"/>
    </row>
    <row r="102" spans="1:118" ht="15.75" customHeight="1">
      <c r="A102" s="8">
        <v>126</v>
      </c>
      <c r="B102" s="117"/>
      <c r="C102" s="8" t="s">
        <v>69</v>
      </c>
      <c r="D102" s="2" t="s">
        <v>70</v>
      </c>
      <c r="E102" s="8"/>
      <c r="F102" s="2" t="s">
        <v>1998</v>
      </c>
      <c r="G102" s="2" t="s">
        <v>1999</v>
      </c>
      <c r="H102" s="2" t="s">
        <v>2047</v>
      </c>
      <c r="I102" s="2" t="s">
        <v>83</v>
      </c>
      <c r="J102" s="10" t="s">
        <v>2048</v>
      </c>
      <c r="K102" s="10" t="s">
        <v>2049</v>
      </c>
      <c r="L102" s="2" t="s">
        <v>2050</v>
      </c>
      <c r="M102" s="2" t="s">
        <v>152</v>
      </c>
      <c r="N102" s="2" t="s">
        <v>152</v>
      </c>
      <c r="O102" s="2" t="s">
        <v>278</v>
      </c>
      <c r="P102" s="2" t="s">
        <v>936</v>
      </c>
      <c r="Q102" s="2" t="s">
        <v>2051</v>
      </c>
      <c r="R102" s="2" t="s">
        <v>1775</v>
      </c>
      <c r="S102" s="37" t="s">
        <v>2116</v>
      </c>
      <c r="T102" s="2">
        <v>2010</v>
      </c>
      <c r="U102" s="2">
        <v>2015</v>
      </c>
      <c r="V102" s="2" t="s">
        <v>74</v>
      </c>
      <c r="W102" s="2" t="s">
        <v>74</v>
      </c>
      <c r="X102" s="2" t="s">
        <v>719</v>
      </c>
      <c r="Y102" s="38" t="s">
        <v>611</v>
      </c>
      <c r="Z102" s="2" t="s">
        <v>2005</v>
      </c>
      <c r="AA102" s="2" t="s">
        <v>84</v>
      </c>
      <c r="AB102" s="2" t="s">
        <v>729</v>
      </c>
      <c r="AC102" s="2" t="s">
        <v>729</v>
      </c>
      <c r="AD102" s="2" t="s">
        <v>74</v>
      </c>
      <c r="AE102" s="38" t="s">
        <v>2052</v>
      </c>
      <c r="AF102" s="38" t="s">
        <v>2140</v>
      </c>
      <c r="AG102" s="2" t="s">
        <v>2007</v>
      </c>
      <c r="AH102" s="2" t="s">
        <v>190</v>
      </c>
      <c r="AI102" s="2" t="s">
        <v>499</v>
      </c>
      <c r="AJ102" s="2" t="s">
        <v>499</v>
      </c>
      <c r="AK102" s="2" t="s">
        <v>74</v>
      </c>
      <c r="AL102" s="2" t="s">
        <v>74</v>
      </c>
      <c r="AM102" s="2" t="s">
        <v>2038</v>
      </c>
      <c r="AN102" s="2" t="s">
        <v>89</v>
      </c>
      <c r="AO102" s="2" t="s">
        <v>90</v>
      </c>
      <c r="AP102" s="2" t="s">
        <v>90</v>
      </c>
      <c r="AQ102" s="2" t="s">
        <v>999</v>
      </c>
      <c r="AR102" s="2" t="s">
        <v>999</v>
      </c>
      <c r="AS102" s="2" t="s">
        <v>284</v>
      </c>
      <c r="AT102" s="2" t="s">
        <v>284</v>
      </c>
      <c r="AU102" s="2" t="s">
        <v>284</v>
      </c>
      <c r="AV102" s="2" t="s">
        <v>284</v>
      </c>
      <c r="AW102" s="2" t="s">
        <v>1994</v>
      </c>
      <c r="AX102" s="2" t="s">
        <v>1733</v>
      </c>
      <c r="AY102" s="2" t="s">
        <v>74</v>
      </c>
      <c r="AZ102" s="2" t="s">
        <v>74</v>
      </c>
      <c r="BA102" s="2" t="s">
        <v>107</v>
      </c>
      <c r="BB102" s="2" t="s">
        <v>107</v>
      </c>
      <c r="BC102" s="2" t="s">
        <v>83</v>
      </c>
      <c r="BD102" s="2" t="s">
        <v>74</v>
      </c>
      <c r="BE102" s="2" t="s">
        <v>74</v>
      </c>
      <c r="BF102" s="2" t="s">
        <v>74</v>
      </c>
      <c r="BG102" s="2" t="s">
        <v>74</v>
      </c>
      <c r="BH102" s="2" t="s">
        <v>97</v>
      </c>
      <c r="BI102" s="2" t="s">
        <v>97</v>
      </c>
      <c r="BJ102" s="2" t="s">
        <v>130</v>
      </c>
      <c r="BK102" s="2" t="s">
        <v>130</v>
      </c>
      <c r="BL102" s="2" t="s">
        <v>725</v>
      </c>
      <c r="BM102" s="2" t="s">
        <v>725</v>
      </c>
      <c r="BN102" s="2" t="s">
        <v>365</v>
      </c>
      <c r="BO102" s="2" t="s">
        <v>83</v>
      </c>
      <c r="BP102" s="2" t="s">
        <v>2201</v>
      </c>
      <c r="BQ102" s="2" t="s">
        <v>107</v>
      </c>
      <c r="BR102" s="2" t="s">
        <v>107</v>
      </c>
      <c r="BS102" s="2" t="s">
        <v>107</v>
      </c>
      <c r="BT102" s="2" t="s">
        <v>107</v>
      </c>
      <c r="BU102" s="2" t="s">
        <v>107</v>
      </c>
      <c r="BV102" s="2" t="s">
        <v>107</v>
      </c>
      <c r="BW102" s="2" t="s">
        <v>107</v>
      </c>
      <c r="BX102" s="8"/>
      <c r="BY102" s="2" t="s">
        <v>107</v>
      </c>
      <c r="BZ102" s="2" t="s">
        <v>107</v>
      </c>
      <c r="CA102" s="2" t="s">
        <v>167</v>
      </c>
      <c r="CB102" s="2" t="s">
        <v>167</v>
      </c>
      <c r="CC102" s="2" t="s">
        <v>339</v>
      </c>
      <c r="CD102" s="2" t="s">
        <v>339</v>
      </c>
      <c r="CE102" s="8"/>
      <c r="CF102" s="8"/>
      <c r="CG102" s="8"/>
      <c r="CH102" s="2" t="s">
        <v>233</v>
      </c>
      <c r="CI102" s="8"/>
      <c r="CJ102" s="8"/>
      <c r="CK102" s="8"/>
      <c r="CL102" s="2" t="s">
        <v>107</v>
      </c>
      <c r="CM102" s="8"/>
      <c r="CN102" s="8"/>
      <c r="CO102" s="8"/>
      <c r="CP102" s="8"/>
      <c r="CQ102" s="8"/>
      <c r="CR102" s="2" t="s">
        <v>74</v>
      </c>
      <c r="CS102" s="8"/>
      <c r="CT102" s="8"/>
      <c r="CV102" s="8"/>
      <c r="CW102" s="8"/>
      <c r="CX102" s="8"/>
      <c r="CY102" s="8"/>
      <c r="CZ102" s="8"/>
      <c r="DA102" s="8"/>
      <c r="DB102" s="8"/>
      <c r="DC102" s="8"/>
      <c r="DD102" s="8"/>
      <c r="DE102" s="8"/>
      <c r="DF102" s="8"/>
      <c r="DG102" s="8"/>
      <c r="DH102" s="8"/>
      <c r="DI102" s="8"/>
      <c r="DJ102" s="8"/>
      <c r="DK102" s="8"/>
      <c r="DL102" s="8"/>
      <c r="DM102" s="8"/>
      <c r="DN102" s="8"/>
    </row>
    <row r="103" spans="1:118" ht="15.75" customHeight="1">
      <c r="A103" s="8">
        <v>127</v>
      </c>
      <c r="B103" s="8"/>
      <c r="C103" s="8" t="s">
        <v>69</v>
      </c>
      <c r="D103" s="2" t="s">
        <v>70</v>
      </c>
      <c r="E103" s="8"/>
      <c r="F103" s="2" t="s">
        <v>1998</v>
      </c>
      <c r="G103" s="2" t="s">
        <v>1999</v>
      </c>
      <c r="H103" s="2" t="s">
        <v>2053</v>
      </c>
      <c r="I103" s="2" t="s">
        <v>83</v>
      </c>
      <c r="J103" s="10" t="s">
        <v>2054</v>
      </c>
      <c r="K103" s="2" t="s">
        <v>2055</v>
      </c>
      <c r="L103" s="2" t="s">
        <v>2034</v>
      </c>
      <c r="M103" s="2" t="s">
        <v>152</v>
      </c>
      <c r="N103" s="2" t="s">
        <v>152</v>
      </c>
      <c r="O103" s="2" t="s">
        <v>278</v>
      </c>
      <c r="P103" s="2" t="s">
        <v>936</v>
      </c>
      <c r="Q103" s="2" t="s">
        <v>2056</v>
      </c>
      <c r="R103" s="2" t="s">
        <v>81</v>
      </c>
      <c r="S103" s="2" t="s">
        <v>81</v>
      </c>
      <c r="T103" s="2">
        <v>2015</v>
      </c>
      <c r="U103" s="2">
        <v>2019</v>
      </c>
      <c r="V103" s="2" t="s">
        <v>74</v>
      </c>
      <c r="W103" s="2" t="s">
        <v>74</v>
      </c>
      <c r="X103" s="2" t="s">
        <v>719</v>
      </c>
      <c r="Y103" s="38" t="s">
        <v>611</v>
      </c>
      <c r="Z103" s="2" t="s">
        <v>2005</v>
      </c>
      <c r="AA103" s="2" t="s">
        <v>84</v>
      </c>
      <c r="AB103" s="2" t="s">
        <v>258</v>
      </c>
      <c r="AC103" s="2" t="s">
        <v>258</v>
      </c>
      <c r="AD103" s="2" t="s">
        <v>74</v>
      </c>
      <c r="AE103" s="2" t="s">
        <v>2057</v>
      </c>
      <c r="AF103" s="2" t="s">
        <v>2057</v>
      </c>
      <c r="AG103" s="2" t="s">
        <v>2007</v>
      </c>
      <c r="AH103" s="2" t="s">
        <v>190</v>
      </c>
      <c r="AI103" s="2" t="s">
        <v>499</v>
      </c>
      <c r="AJ103" s="2" t="s">
        <v>499</v>
      </c>
      <c r="AK103" s="2" t="s">
        <v>74</v>
      </c>
      <c r="AL103" s="2" t="s">
        <v>74</v>
      </c>
      <c r="AM103" s="2" t="s">
        <v>2038</v>
      </c>
      <c r="AN103" s="2" t="s">
        <v>89</v>
      </c>
      <c r="AO103" s="2" t="s">
        <v>90</v>
      </c>
      <c r="AP103" s="2" t="s">
        <v>90</v>
      </c>
      <c r="AQ103" s="2" t="s">
        <v>2044</v>
      </c>
      <c r="AR103" s="2" t="s">
        <v>2044</v>
      </c>
      <c r="AS103" s="2" t="s">
        <v>2058</v>
      </c>
      <c r="AT103" s="38" t="s">
        <v>305</v>
      </c>
      <c r="AU103" s="2" t="s">
        <v>284</v>
      </c>
      <c r="AV103" s="2" t="s">
        <v>284</v>
      </c>
      <c r="AW103" s="2" t="s">
        <v>1994</v>
      </c>
      <c r="AX103" s="2" t="s">
        <v>1733</v>
      </c>
      <c r="AY103" s="2" t="s">
        <v>74</v>
      </c>
      <c r="AZ103" s="2" t="s">
        <v>74</v>
      </c>
      <c r="BA103" s="2" t="s">
        <v>96</v>
      </c>
      <c r="BB103" s="2" t="s">
        <v>96</v>
      </c>
      <c r="BC103" s="2" t="s">
        <v>83</v>
      </c>
      <c r="BD103" s="2" t="s">
        <v>74</v>
      </c>
      <c r="BE103" s="2" t="s">
        <v>74</v>
      </c>
      <c r="BF103" s="2" t="s">
        <v>74</v>
      </c>
      <c r="BG103" s="2" t="s">
        <v>74</v>
      </c>
      <c r="BH103" s="2" t="s">
        <v>97</v>
      </c>
      <c r="BI103" s="2" t="s">
        <v>97</v>
      </c>
      <c r="BJ103" s="2" t="s">
        <v>130</v>
      </c>
      <c r="BK103" s="2" t="s">
        <v>130</v>
      </c>
      <c r="BL103" s="2" t="s">
        <v>725</v>
      </c>
      <c r="BM103" s="2" t="s">
        <v>725</v>
      </c>
      <c r="BN103" s="2" t="s">
        <v>365</v>
      </c>
      <c r="BO103" s="2" t="s">
        <v>83</v>
      </c>
      <c r="BP103" s="2" t="s">
        <v>2201</v>
      </c>
      <c r="BQ103" s="2" t="s">
        <v>107</v>
      </c>
      <c r="BR103" s="2" t="s">
        <v>107</v>
      </c>
      <c r="BS103" s="2" t="s">
        <v>107</v>
      </c>
      <c r="BT103" s="2" t="s">
        <v>107</v>
      </c>
      <c r="BU103" s="2" t="s">
        <v>107</v>
      </c>
      <c r="BV103" s="2" t="s">
        <v>107</v>
      </c>
      <c r="BW103" s="2" t="s">
        <v>107</v>
      </c>
      <c r="BX103" s="8"/>
      <c r="BY103" s="2" t="s">
        <v>107</v>
      </c>
      <c r="BZ103" s="2" t="s">
        <v>107</v>
      </c>
      <c r="CA103" s="2" t="s">
        <v>167</v>
      </c>
      <c r="CB103" s="2" t="s">
        <v>167</v>
      </c>
      <c r="CC103" s="2" t="s">
        <v>339</v>
      </c>
      <c r="CD103" s="2" t="s">
        <v>339</v>
      </c>
      <c r="CE103" s="8"/>
      <c r="CF103" s="8"/>
      <c r="CG103" s="8"/>
      <c r="CH103" s="2" t="s">
        <v>233</v>
      </c>
      <c r="CI103" s="8"/>
      <c r="CJ103" s="8"/>
      <c r="CK103" s="8"/>
      <c r="CL103" s="2" t="s">
        <v>107</v>
      </c>
      <c r="CM103" s="8"/>
      <c r="CN103" s="8"/>
      <c r="CO103" s="8"/>
      <c r="CP103" s="8"/>
      <c r="CQ103" s="8"/>
      <c r="CR103" s="2" t="s">
        <v>74</v>
      </c>
      <c r="CS103" s="8"/>
      <c r="CT103" s="8"/>
      <c r="CV103" s="8"/>
      <c r="CW103" s="8"/>
      <c r="CX103" s="8"/>
      <c r="CY103" s="8"/>
      <c r="CZ103" s="8"/>
      <c r="DA103" s="8"/>
      <c r="DB103" s="8"/>
      <c r="DC103" s="8"/>
      <c r="DD103" s="8"/>
      <c r="DE103" s="8"/>
      <c r="DF103" s="8"/>
      <c r="DG103" s="8"/>
      <c r="DH103" s="8"/>
      <c r="DI103" s="8"/>
      <c r="DJ103" s="8"/>
      <c r="DK103" s="8"/>
      <c r="DL103" s="8"/>
      <c r="DM103" s="8"/>
      <c r="DN103" s="8"/>
    </row>
    <row r="104" spans="1:118" ht="15.75" customHeight="1">
      <c r="A104" s="8">
        <v>128</v>
      </c>
      <c r="B104" s="8"/>
      <c r="C104" s="8" t="s">
        <v>69</v>
      </c>
      <c r="D104" s="2" t="s">
        <v>70</v>
      </c>
      <c r="E104" s="33">
        <v>43941</v>
      </c>
      <c r="F104" s="2" t="s">
        <v>2059</v>
      </c>
      <c r="G104" s="2" t="s">
        <v>2060</v>
      </c>
      <c r="H104" s="2" t="s">
        <v>2061</v>
      </c>
      <c r="I104" s="2" t="s">
        <v>74</v>
      </c>
      <c r="J104" s="2" t="s">
        <v>2062</v>
      </c>
      <c r="K104" s="2" t="s">
        <v>2059</v>
      </c>
      <c r="L104" s="2" t="s">
        <v>2063</v>
      </c>
      <c r="M104" s="2" t="s">
        <v>616</v>
      </c>
      <c r="N104" s="2" t="s">
        <v>616</v>
      </c>
      <c r="O104" s="2" t="s">
        <v>115</v>
      </c>
      <c r="P104" s="2" t="s">
        <v>116</v>
      </c>
      <c r="Q104" s="2" t="s">
        <v>2064</v>
      </c>
      <c r="R104" s="2" t="s">
        <v>118</v>
      </c>
      <c r="S104" s="2" t="s">
        <v>118</v>
      </c>
      <c r="T104" s="2">
        <v>2019</v>
      </c>
      <c r="U104" s="2" t="s">
        <v>82</v>
      </c>
      <c r="V104" s="2" t="s">
        <v>74</v>
      </c>
      <c r="W104" s="2" t="s">
        <v>74</v>
      </c>
      <c r="X104" s="2" t="s">
        <v>119</v>
      </c>
      <c r="Y104" s="2" t="s">
        <v>119</v>
      </c>
      <c r="Z104" s="2" t="s">
        <v>84</v>
      </c>
      <c r="AA104" s="2" t="s">
        <v>84</v>
      </c>
      <c r="AB104" s="2" t="s">
        <v>120</v>
      </c>
      <c r="AC104" s="2" t="s">
        <v>120</v>
      </c>
      <c r="AD104" s="2" t="s">
        <v>74</v>
      </c>
      <c r="AE104" s="2" t="s">
        <v>2065</v>
      </c>
      <c r="AF104" s="2" t="s">
        <v>2065</v>
      </c>
      <c r="AG104" s="2" t="s">
        <v>2066</v>
      </c>
      <c r="AH104" s="2" t="s">
        <v>2066</v>
      </c>
      <c r="AI104" s="2" t="s">
        <v>499</v>
      </c>
      <c r="AJ104" s="2" t="s">
        <v>499</v>
      </c>
      <c r="AK104" s="2" t="s">
        <v>74</v>
      </c>
      <c r="AL104" s="2" t="s">
        <v>74</v>
      </c>
      <c r="AM104" s="2" t="s">
        <v>2067</v>
      </c>
      <c r="AN104" s="2" t="s">
        <v>125</v>
      </c>
      <c r="AO104" s="2" t="s">
        <v>126</v>
      </c>
      <c r="AP104" s="2" t="s">
        <v>126</v>
      </c>
      <c r="AQ104" s="2" t="s">
        <v>1886</v>
      </c>
      <c r="AR104" s="2" t="s">
        <v>1886</v>
      </c>
      <c r="AS104" s="2" t="s">
        <v>2068</v>
      </c>
      <c r="AT104" s="2" t="s">
        <v>284</v>
      </c>
      <c r="AU104" s="2" t="s">
        <v>284</v>
      </c>
      <c r="AV104" s="2" t="s">
        <v>284</v>
      </c>
      <c r="AW104" s="2" t="s">
        <v>163</v>
      </c>
      <c r="AX104" s="2" t="s">
        <v>163</v>
      </c>
      <c r="AY104" s="2" t="s">
        <v>95</v>
      </c>
      <c r="AZ104" s="2" t="s">
        <v>74</v>
      </c>
      <c r="BA104" s="2" t="s">
        <v>96</v>
      </c>
      <c r="BB104" s="2" t="s">
        <v>96</v>
      </c>
      <c r="BC104" s="2" t="s">
        <v>208</v>
      </c>
      <c r="BD104" s="2" t="s">
        <v>74</v>
      </c>
      <c r="BE104" s="2" t="s">
        <v>74</v>
      </c>
      <c r="BF104" s="2" t="s">
        <v>74</v>
      </c>
      <c r="BG104" s="2" t="s">
        <v>74</v>
      </c>
      <c r="BH104" s="2" t="s">
        <v>358</v>
      </c>
      <c r="BI104" s="2" t="s">
        <v>358</v>
      </c>
      <c r="BJ104" s="2" t="s">
        <v>2069</v>
      </c>
      <c r="BK104" s="2" t="s">
        <v>738</v>
      </c>
      <c r="BL104" s="2" t="s">
        <v>520</v>
      </c>
      <c r="BM104" s="2" t="s">
        <v>520</v>
      </c>
      <c r="BN104" s="2" t="s">
        <v>1096</v>
      </c>
      <c r="BO104" s="2" t="s">
        <v>83</v>
      </c>
      <c r="BP104" s="2" t="s">
        <v>2201</v>
      </c>
      <c r="BQ104" s="2" t="s">
        <v>83</v>
      </c>
      <c r="BR104" s="2" t="s">
        <v>2070</v>
      </c>
      <c r="BS104" s="2" t="s">
        <v>2181</v>
      </c>
      <c r="BT104" s="2" t="s">
        <v>2071</v>
      </c>
      <c r="BU104" s="2" t="s">
        <v>2071</v>
      </c>
      <c r="BV104" s="2" t="s">
        <v>83</v>
      </c>
      <c r="BW104" s="2" t="s">
        <v>83</v>
      </c>
      <c r="BX104" s="8"/>
      <c r="BY104" s="2" t="s">
        <v>107</v>
      </c>
      <c r="BZ104" s="2" t="s">
        <v>107</v>
      </c>
      <c r="CA104" s="2" t="s">
        <v>2072</v>
      </c>
      <c r="CB104" s="38" t="s">
        <v>2190</v>
      </c>
      <c r="CC104" s="2" t="s">
        <v>2073</v>
      </c>
      <c r="CD104" s="2" t="s">
        <v>2073</v>
      </c>
      <c r="CE104" s="8" t="s">
        <v>168</v>
      </c>
      <c r="CF104" s="8" t="s">
        <v>168</v>
      </c>
      <c r="CG104" s="8" t="s">
        <v>2074</v>
      </c>
      <c r="CH104" s="2" t="s">
        <v>233</v>
      </c>
      <c r="CI104" s="8" t="s">
        <v>233</v>
      </c>
      <c r="CJ104" s="8" t="s">
        <v>108</v>
      </c>
      <c r="CK104" s="8" t="s">
        <v>83</v>
      </c>
      <c r="CL104" s="2">
        <v>0</v>
      </c>
      <c r="CM104" s="8"/>
      <c r="CN104" s="8"/>
      <c r="CO104" s="8"/>
      <c r="CP104" s="8"/>
      <c r="CQ104" s="8"/>
      <c r="CR104" s="2" t="s">
        <v>74</v>
      </c>
      <c r="CS104" s="8" t="s">
        <v>2075</v>
      </c>
      <c r="CV104" s="8"/>
      <c r="CW104" s="8"/>
      <c r="CX104" s="8"/>
      <c r="CY104" s="8"/>
      <c r="CZ104" s="8"/>
      <c r="DA104" s="8"/>
      <c r="DB104" s="8"/>
      <c r="DC104" s="8"/>
      <c r="DD104" s="8"/>
      <c r="DE104" s="8"/>
      <c r="DF104" s="8"/>
      <c r="DG104" s="8"/>
      <c r="DH104" s="8"/>
      <c r="DI104" s="8"/>
      <c r="DJ104" s="8"/>
      <c r="DK104" s="8"/>
      <c r="DL104" s="8"/>
      <c r="DM104" s="8"/>
      <c r="DN104" s="8"/>
    </row>
    <row r="105" spans="1:118" ht="15.75" customHeight="1">
      <c r="B105" s="8"/>
      <c r="CU105" s="8"/>
      <c r="CV105" s="8"/>
      <c r="CW105" s="8"/>
      <c r="CX105" s="8"/>
      <c r="CY105" s="8"/>
      <c r="CZ105" s="8"/>
      <c r="DA105" s="8"/>
      <c r="DB105" s="8"/>
      <c r="DC105" s="8"/>
      <c r="DD105" s="8"/>
      <c r="DE105" s="8"/>
      <c r="DF105" s="8"/>
      <c r="DG105" s="8"/>
      <c r="DH105" s="8"/>
      <c r="DI105" s="8"/>
      <c r="DJ105" s="8"/>
      <c r="DK105" s="8"/>
      <c r="DL105" s="8"/>
      <c r="DM105" s="8"/>
      <c r="DN105" s="8"/>
    </row>
    <row r="106" spans="1:118" ht="15.75" customHeight="1">
      <c r="B106" s="8"/>
      <c r="CU106" s="8"/>
      <c r="CV106" s="8"/>
      <c r="CW106" s="8"/>
      <c r="CX106" s="8"/>
      <c r="CY106" s="8"/>
      <c r="CZ106" s="8"/>
      <c r="DA106" s="8"/>
      <c r="DB106" s="8"/>
      <c r="DC106" s="8"/>
      <c r="DD106" s="8"/>
      <c r="DE106" s="8"/>
      <c r="DF106" s="8"/>
      <c r="DG106" s="8"/>
      <c r="DH106" s="8"/>
      <c r="DI106" s="8"/>
      <c r="DJ106" s="8"/>
      <c r="DK106" s="8"/>
      <c r="DL106" s="8"/>
      <c r="DM106" s="8"/>
      <c r="DN106" s="8"/>
    </row>
    <row r="107" spans="1:118" ht="15.75" customHeight="1">
      <c r="B107" s="8"/>
      <c r="CU107" s="8"/>
      <c r="CV107" s="8"/>
      <c r="CW107" s="8"/>
      <c r="CX107" s="8"/>
      <c r="CY107" s="8"/>
      <c r="CZ107" s="8"/>
      <c r="DA107" s="8"/>
      <c r="DB107" s="8"/>
      <c r="DC107" s="8"/>
      <c r="DD107" s="8"/>
      <c r="DE107" s="8"/>
      <c r="DF107" s="8"/>
      <c r="DG107" s="8"/>
      <c r="DH107" s="8"/>
      <c r="DI107" s="8"/>
      <c r="DJ107" s="8"/>
      <c r="DK107" s="8"/>
      <c r="DL107" s="8"/>
      <c r="DM107" s="8"/>
      <c r="DN107" s="8"/>
    </row>
    <row r="108" spans="1:118" ht="15.75" customHeight="1">
      <c r="B108" s="8"/>
      <c r="CU108" s="8"/>
      <c r="CV108" s="8"/>
      <c r="CW108" s="8"/>
      <c r="CX108" s="8"/>
      <c r="CY108" s="8"/>
      <c r="CZ108" s="8"/>
      <c r="DA108" s="8"/>
      <c r="DB108" s="8"/>
      <c r="DC108" s="8"/>
      <c r="DD108" s="8"/>
      <c r="DE108" s="8"/>
      <c r="DF108" s="8"/>
      <c r="DG108" s="8"/>
      <c r="DH108" s="8"/>
      <c r="DI108" s="8"/>
      <c r="DJ108" s="8"/>
      <c r="DK108" s="8"/>
      <c r="DL108" s="8"/>
      <c r="DM108" s="8"/>
      <c r="DN108" s="8"/>
    </row>
    <row r="109" spans="1:118" ht="15.75" customHeight="1">
      <c r="B109" s="8"/>
      <c r="CU109" s="8"/>
      <c r="CV109" s="8"/>
      <c r="CW109" s="8"/>
      <c r="CX109" s="8"/>
      <c r="CY109" s="8"/>
      <c r="CZ109" s="8"/>
      <c r="DA109" s="8"/>
      <c r="DB109" s="8"/>
      <c r="DC109" s="8"/>
      <c r="DD109" s="8"/>
      <c r="DE109" s="8"/>
      <c r="DF109" s="8"/>
      <c r="DG109" s="8"/>
      <c r="DH109" s="8"/>
      <c r="DI109" s="8"/>
      <c r="DJ109" s="8"/>
      <c r="DK109" s="8"/>
      <c r="DL109" s="8"/>
      <c r="DM109" s="8"/>
      <c r="DN109" s="8"/>
    </row>
    <row r="110" spans="1:118" ht="15.75" customHeight="1">
      <c r="B110" s="8"/>
      <c r="CU110" s="8"/>
      <c r="CV110" s="8"/>
      <c r="CW110" s="8"/>
      <c r="CX110" s="8"/>
      <c r="CY110" s="8"/>
      <c r="CZ110" s="8"/>
      <c r="DA110" s="8"/>
      <c r="DB110" s="8"/>
      <c r="DC110" s="8"/>
      <c r="DD110" s="8"/>
      <c r="DE110" s="8"/>
      <c r="DF110" s="8"/>
      <c r="DG110" s="8"/>
      <c r="DH110" s="8"/>
      <c r="DI110" s="8"/>
      <c r="DJ110" s="8"/>
      <c r="DK110" s="8"/>
      <c r="DL110" s="8"/>
      <c r="DM110" s="8"/>
      <c r="DN110" s="8"/>
    </row>
    <row r="111" spans="1:118" ht="15.75" customHeight="1">
      <c r="B111" s="8"/>
      <c r="CU111" s="8"/>
      <c r="CV111" s="8"/>
      <c r="CW111" s="8"/>
      <c r="CX111" s="8"/>
      <c r="CY111" s="8"/>
      <c r="CZ111" s="8"/>
      <c r="DA111" s="8"/>
      <c r="DB111" s="8"/>
      <c r="DC111" s="8"/>
      <c r="DD111" s="8"/>
      <c r="DE111" s="8"/>
      <c r="DF111" s="8"/>
      <c r="DG111" s="8"/>
      <c r="DH111" s="8"/>
      <c r="DI111" s="8"/>
      <c r="DJ111" s="8"/>
      <c r="DK111" s="8"/>
      <c r="DL111" s="8"/>
      <c r="DM111" s="8"/>
      <c r="DN111" s="8"/>
    </row>
    <row r="112" spans="1:118" ht="15.75" customHeight="1">
      <c r="B112" s="8"/>
      <c r="CU112" s="8"/>
      <c r="CV112" s="8"/>
      <c r="CW112" s="8"/>
      <c r="CX112" s="8"/>
      <c r="CY112" s="8"/>
      <c r="CZ112" s="8"/>
      <c r="DA112" s="8"/>
      <c r="DB112" s="8"/>
      <c r="DC112" s="8"/>
      <c r="DD112" s="8"/>
      <c r="DE112" s="8"/>
      <c r="DF112" s="8"/>
      <c r="DG112" s="8"/>
      <c r="DH112" s="8"/>
      <c r="DI112" s="8"/>
      <c r="DJ112" s="8"/>
      <c r="DK112" s="8"/>
      <c r="DL112" s="8"/>
      <c r="DM112" s="8"/>
      <c r="DN112" s="8"/>
    </row>
    <row r="113" spans="2:118" ht="15.75" customHeight="1">
      <c r="B113" s="8"/>
      <c r="CU113" s="8"/>
      <c r="CV113" s="8"/>
      <c r="CW113" s="8"/>
      <c r="CX113" s="8"/>
      <c r="CY113" s="8"/>
      <c r="CZ113" s="8"/>
      <c r="DA113" s="8"/>
      <c r="DB113" s="8"/>
      <c r="DC113" s="8"/>
      <c r="DD113" s="8"/>
      <c r="DE113" s="8"/>
      <c r="DF113" s="8"/>
      <c r="DG113" s="8"/>
      <c r="DH113" s="8"/>
      <c r="DI113" s="8"/>
      <c r="DJ113" s="8"/>
      <c r="DK113" s="8"/>
      <c r="DL113" s="8"/>
      <c r="DM113" s="8"/>
      <c r="DN113" s="8"/>
    </row>
    <row r="114" spans="2:118" ht="15.75" customHeight="1">
      <c r="B114" s="8"/>
      <c r="CU114" s="8"/>
      <c r="CV114" s="8"/>
      <c r="CW114" s="8"/>
      <c r="CX114" s="8"/>
      <c r="CY114" s="8"/>
      <c r="CZ114" s="8"/>
      <c r="DA114" s="8"/>
      <c r="DB114" s="8"/>
      <c r="DC114" s="8"/>
      <c r="DD114" s="8"/>
      <c r="DE114" s="8"/>
      <c r="DF114" s="8"/>
      <c r="DG114" s="8"/>
      <c r="DH114" s="8"/>
      <c r="DI114" s="8"/>
      <c r="DJ114" s="8"/>
      <c r="DK114" s="8"/>
      <c r="DL114" s="8"/>
      <c r="DM114" s="8"/>
      <c r="DN114" s="8"/>
    </row>
    <row r="115" spans="2:118" ht="15.75" customHeight="1">
      <c r="B115" s="8"/>
      <c r="CU115" s="8"/>
      <c r="CV115" s="8"/>
      <c r="CW115" s="8"/>
      <c r="CX115" s="8"/>
      <c r="CY115" s="8"/>
      <c r="CZ115" s="8"/>
      <c r="DA115" s="8"/>
      <c r="DB115" s="8"/>
      <c r="DC115" s="8"/>
      <c r="DD115" s="8"/>
      <c r="DE115" s="8"/>
      <c r="DF115" s="8"/>
      <c r="DG115" s="8"/>
      <c r="DH115" s="8"/>
      <c r="DI115" s="8"/>
      <c r="DJ115" s="8"/>
      <c r="DK115" s="8"/>
      <c r="DL115" s="8"/>
      <c r="DM115" s="8"/>
      <c r="DN115" s="8"/>
    </row>
    <row r="116" spans="2:118" ht="15.75" customHeight="1">
      <c r="B116" s="8"/>
      <c r="CU116" s="8"/>
      <c r="CV116" s="8"/>
      <c r="CW116" s="8"/>
      <c r="CX116" s="8"/>
      <c r="CY116" s="8"/>
      <c r="CZ116" s="8"/>
      <c r="DA116" s="8"/>
      <c r="DB116" s="8"/>
      <c r="DC116" s="8"/>
      <c r="DD116" s="8"/>
      <c r="DE116" s="8"/>
      <c r="DF116" s="8"/>
      <c r="DG116" s="8"/>
      <c r="DH116" s="8"/>
      <c r="DI116" s="8"/>
      <c r="DJ116" s="8"/>
      <c r="DK116" s="8"/>
      <c r="DL116" s="8"/>
      <c r="DM116" s="8"/>
      <c r="DN116" s="8"/>
    </row>
    <row r="117" spans="2:118" ht="15.75" customHeight="1">
      <c r="B117" s="8"/>
      <c r="CU117" s="8"/>
      <c r="CV117" s="8"/>
      <c r="CW117" s="8"/>
      <c r="CX117" s="8"/>
      <c r="CY117" s="8"/>
      <c r="CZ117" s="8"/>
      <c r="DA117" s="8"/>
      <c r="DB117" s="8"/>
      <c r="DC117" s="8"/>
      <c r="DD117" s="8"/>
      <c r="DE117" s="8"/>
      <c r="DF117" s="8"/>
      <c r="DG117" s="8"/>
      <c r="DH117" s="8"/>
      <c r="DI117" s="8"/>
      <c r="DJ117" s="8"/>
      <c r="DK117" s="8"/>
      <c r="DL117" s="8"/>
      <c r="DM117" s="8"/>
      <c r="DN117" s="8"/>
    </row>
    <row r="118" spans="2:118" ht="15.75" customHeight="1">
      <c r="B118" s="8"/>
      <c r="CU118" s="8"/>
      <c r="CV118" s="8"/>
      <c r="CW118" s="8"/>
      <c r="CX118" s="8"/>
      <c r="CY118" s="8"/>
      <c r="CZ118" s="8"/>
      <c r="DA118" s="8"/>
      <c r="DB118" s="8"/>
      <c r="DC118" s="8"/>
      <c r="DD118" s="8"/>
      <c r="DE118" s="8"/>
      <c r="DF118" s="8"/>
      <c r="DG118" s="8"/>
      <c r="DH118" s="8"/>
      <c r="DI118" s="8"/>
      <c r="DJ118" s="8"/>
      <c r="DK118" s="8"/>
      <c r="DL118" s="8"/>
      <c r="DM118" s="8"/>
      <c r="DN118" s="8"/>
    </row>
    <row r="119" spans="2:118" ht="15.75" customHeight="1">
      <c r="B119" s="8"/>
      <c r="CU119" s="8"/>
      <c r="CV119" s="8"/>
      <c r="CW119" s="8"/>
      <c r="CX119" s="8"/>
      <c r="CY119" s="8"/>
      <c r="CZ119" s="8"/>
      <c r="DA119" s="8"/>
      <c r="DB119" s="8"/>
      <c r="DC119" s="8"/>
      <c r="DD119" s="8"/>
      <c r="DE119" s="8"/>
      <c r="DF119" s="8"/>
      <c r="DG119" s="8"/>
      <c r="DH119" s="8"/>
      <c r="DI119" s="8"/>
      <c r="DJ119" s="8"/>
      <c r="DK119" s="8"/>
      <c r="DL119" s="8"/>
      <c r="DM119" s="8"/>
      <c r="DN119" s="8"/>
    </row>
    <row r="120" spans="2:118" ht="15.75" customHeight="1">
      <c r="B120" s="8"/>
      <c r="CU120" s="8"/>
      <c r="CV120" s="8"/>
      <c r="CW120" s="8"/>
      <c r="CX120" s="8"/>
      <c r="CY120" s="8"/>
      <c r="CZ120" s="8"/>
      <c r="DA120" s="8"/>
      <c r="DB120" s="8"/>
      <c r="DC120" s="8"/>
      <c r="DD120" s="8"/>
      <c r="DE120" s="8"/>
      <c r="DF120" s="8"/>
      <c r="DG120" s="8"/>
      <c r="DH120" s="8"/>
      <c r="DI120" s="8"/>
      <c r="DJ120" s="8"/>
      <c r="DK120" s="8"/>
      <c r="DL120" s="8"/>
      <c r="DM120" s="8"/>
      <c r="DN120" s="8"/>
    </row>
    <row r="121" spans="2:118" ht="15.75" customHeight="1">
      <c r="B121" s="8"/>
      <c r="CU121" s="8"/>
      <c r="CV121" s="8"/>
      <c r="CW121" s="8"/>
      <c r="CX121" s="8"/>
      <c r="CY121" s="8"/>
      <c r="CZ121" s="8"/>
      <c r="DA121" s="8"/>
      <c r="DB121" s="8"/>
      <c r="DC121" s="8"/>
      <c r="DD121" s="8"/>
      <c r="DE121" s="8"/>
      <c r="DF121" s="8"/>
      <c r="DG121" s="8"/>
      <c r="DH121" s="8"/>
      <c r="DI121" s="8"/>
      <c r="DJ121" s="8"/>
      <c r="DK121" s="8"/>
      <c r="DL121" s="8"/>
      <c r="DM121" s="8"/>
      <c r="DN121" s="8"/>
    </row>
    <row r="122" spans="2:118" ht="15.75" customHeight="1">
      <c r="B122" s="8"/>
      <c r="CU122" s="8"/>
      <c r="CV122" s="8"/>
      <c r="CW122" s="8"/>
      <c r="CX122" s="8"/>
      <c r="CY122" s="8"/>
      <c r="CZ122" s="8"/>
      <c r="DA122" s="8"/>
      <c r="DB122" s="8"/>
      <c r="DC122" s="8"/>
      <c r="DD122" s="8"/>
      <c r="DE122" s="8"/>
      <c r="DF122" s="8"/>
      <c r="DG122" s="8"/>
      <c r="DH122" s="8"/>
      <c r="DI122" s="8"/>
      <c r="DJ122" s="8"/>
      <c r="DK122" s="8"/>
      <c r="DL122" s="8"/>
      <c r="DM122" s="8"/>
      <c r="DN122" s="8"/>
    </row>
    <row r="123" spans="2:118" ht="15.75" customHeight="1">
      <c r="B123" s="8"/>
      <c r="CU123" s="8"/>
      <c r="CV123" s="8"/>
      <c r="CW123" s="8"/>
      <c r="CX123" s="8"/>
      <c r="CY123" s="8"/>
      <c r="CZ123" s="8"/>
      <c r="DA123" s="8"/>
      <c r="DB123" s="8"/>
      <c r="DC123" s="8"/>
      <c r="DD123" s="8"/>
      <c r="DE123" s="8"/>
      <c r="DF123" s="8"/>
      <c r="DG123" s="8"/>
      <c r="DH123" s="8"/>
      <c r="DI123" s="8"/>
      <c r="DJ123" s="8"/>
      <c r="DK123" s="8"/>
      <c r="DL123" s="8"/>
      <c r="DM123" s="8"/>
      <c r="DN123" s="8"/>
    </row>
    <row r="124" spans="2:118" ht="15.75" customHeight="1">
      <c r="B124" s="8"/>
      <c r="CU124" s="8"/>
      <c r="CV124" s="8"/>
      <c r="CW124" s="8"/>
      <c r="CX124" s="8"/>
      <c r="CY124" s="8"/>
      <c r="CZ124" s="8"/>
      <c r="DA124" s="8"/>
      <c r="DB124" s="8"/>
      <c r="DC124" s="8"/>
      <c r="DD124" s="8"/>
      <c r="DE124" s="8"/>
      <c r="DF124" s="8"/>
      <c r="DG124" s="8"/>
      <c r="DH124" s="8"/>
      <c r="DI124" s="8"/>
      <c r="DJ124" s="8"/>
      <c r="DK124" s="8"/>
      <c r="DL124" s="8"/>
      <c r="DM124" s="8"/>
      <c r="DN124" s="8"/>
    </row>
    <row r="125" spans="2:118" ht="15.75" customHeight="1">
      <c r="B125" s="8"/>
      <c r="CU125" s="8"/>
      <c r="CV125" s="8"/>
      <c r="CW125" s="8"/>
      <c r="CX125" s="8"/>
      <c r="CY125" s="8"/>
      <c r="CZ125" s="8"/>
      <c r="DA125" s="8"/>
      <c r="DB125" s="8"/>
      <c r="DC125" s="8"/>
      <c r="DD125" s="8"/>
      <c r="DE125" s="8"/>
      <c r="DF125" s="8"/>
      <c r="DG125" s="8"/>
      <c r="DH125" s="8"/>
      <c r="DI125" s="8"/>
      <c r="DJ125" s="8"/>
      <c r="DK125" s="8"/>
      <c r="DL125" s="8"/>
      <c r="DM125" s="8"/>
      <c r="DN125" s="8"/>
    </row>
    <row r="126" spans="2:118" ht="15.75" customHeight="1">
      <c r="B126" s="8"/>
      <c r="CU126" s="8"/>
      <c r="CV126" s="8"/>
      <c r="CW126" s="8"/>
      <c r="CX126" s="8"/>
      <c r="CY126" s="8"/>
      <c r="CZ126" s="8"/>
      <c r="DA126" s="8"/>
      <c r="DB126" s="8"/>
      <c r="DC126" s="8"/>
      <c r="DD126" s="8"/>
      <c r="DE126" s="8"/>
      <c r="DF126" s="8"/>
      <c r="DG126" s="8"/>
      <c r="DH126" s="8"/>
      <c r="DI126" s="8"/>
      <c r="DJ126" s="8"/>
      <c r="DK126" s="8"/>
      <c r="DL126" s="8"/>
      <c r="DM126" s="8"/>
      <c r="DN126" s="8"/>
    </row>
    <row r="127" spans="2:118" ht="15.75" customHeight="1">
      <c r="B127" s="8"/>
      <c r="CU127" s="8"/>
      <c r="CV127" s="8"/>
      <c r="CW127" s="8"/>
      <c r="CX127" s="8"/>
      <c r="CY127" s="8"/>
      <c r="CZ127" s="8"/>
      <c r="DA127" s="8"/>
      <c r="DB127" s="8"/>
      <c r="DC127" s="8"/>
      <c r="DD127" s="8"/>
      <c r="DE127" s="8"/>
      <c r="DF127" s="8"/>
      <c r="DG127" s="8"/>
      <c r="DH127" s="8"/>
      <c r="DI127" s="8"/>
      <c r="DJ127" s="8"/>
      <c r="DK127" s="8"/>
      <c r="DL127" s="8"/>
      <c r="DM127" s="8"/>
      <c r="DN127" s="8"/>
    </row>
    <row r="128" spans="2:118" ht="15.75" customHeight="1">
      <c r="B128" s="8"/>
      <c r="CU128" s="8"/>
      <c r="CV128" s="8"/>
      <c r="CW128" s="8"/>
      <c r="CX128" s="8"/>
      <c r="CY128" s="8"/>
      <c r="CZ128" s="8"/>
      <c r="DA128" s="8"/>
      <c r="DB128" s="8"/>
      <c r="DC128" s="8"/>
      <c r="DD128" s="8"/>
      <c r="DE128" s="8"/>
      <c r="DF128" s="8"/>
      <c r="DG128" s="8"/>
      <c r="DH128" s="8"/>
      <c r="DI128" s="8"/>
      <c r="DJ128" s="8"/>
      <c r="DK128" s="8"/>
      <c r="DL128" s="8"/>
      <c r="DM128" s="8"/>
      <c r="DN128" s="8"/>
    </row>
    <row r="129" spans="2:118" ht="15.75" customHeight="1">
      <c r="B129" s="8"/>
      <c r="CU129" s="8"/>
      <c r="CV129" s="8"/>
      <c r="CW129" s="8"/>
      <c r="CX129" s="8"/>
      <c r="CY129" s="8"/>
      <c r="CZ129" s="8"/>
      <c r="DA129" s="8"/>
      <c r="DB129" s="8"/>
      <c r="DC129" s="8"/>
      <c r="DD129" s="8"/>
      <c r="DE129" s="8"/>
      <c r="DF129" s="8"/>
      <c r="DG129" s="8"/>
      <c r="DH129" s="8"/>
      <c r="DI129" s="8"/>
      <c r="DJ129" s="8"/>
      <c r="DK129" s="8"/>
      <c r="DL129" s="8"/>
      <c r="DM129" s="8"/>
      <c r="DN129" s="8"/>
    </row>
    <row r="130" spans="2:118" ht="15.75" customHeight="1">
      <c r="B130" s="8"/>
      <c r="CU130" s="8"/>
      <c r="CV130" s="8"/>
      <c r="CW130" s="8"/>
      <c r="CX130" s="8"/>
      <c r="CY130" s="8"/>
      <c r="CZ130" s="8"/>
      <c r="DA130" s="8"/>
      <c r="DB130" s="8"/>
      <c r="DC130" s="8"/>
      <c r="DD130" s="8"/>
      <c r="DE130" s="8"/>
      <c r="DF130" s="8"/>
      <c r="DG130" s="8"/>
      <c r="DH130" s="8"/>
      <c r="DI130" s="8"/>
      <c r="DJ130" s="8"/>
      <c r="DK130" s="8"/>
      <c r="DL130" s="8"/>
      <c r="DM130" s="8"/>
      <c r="DN130" s="8"/>
    </row>
    <row r="131" spans="2:118" ht="15.75" customHeight="1">
      <c r="B131" s="8"/>
      <c r="CU131" s="8"/>
      <c r="CV131" s="8"/>
      <c r="CW131" s="8"/>
      <c r="CX131" s="8"/>
      <c r="CY131" s="8"/>
      <c r="CZ131" s="8"/>
      <c r="DA131" s="8"/>
      <c r="DB131" s="8"/>
      <c r="DC131" s="8"/>
      <c r="DD131" s="8"/>
      <c r="DE131" s="8"/>
      <c r="DF131" s="8"/>
      <c r="DG131" s="8"/>
      <c r="DH131" s="8"/>
      <c r="DI131" s="8"/>
      <c r="DJ131" s="8"/>
      <c r="DK131" s="8"/>
      <c r="DL131" s="8"/>
      <c r="DM131" s="8"/>
      <c r="DN131" s="8"/>
    </row>
    <row r="132" spans="2:118" ht="15.75" customHeight="1">
      <c r="B132" s="8"/>
      <c r="CU132" s="8"/>
      <c r="CV132" s="8"/>
      <c r="CW132" s="8"/>
      <c r="CX132" s="8"/>
      <c r="CY132" s="8"/>
      <c r="CZ132" s="8"/>
      <c r="DA132" s="8"/>
      <c r="DB132" s="8"/>
      <c r="DC132" s="8"/>
      <c r="DD132" s="8"/>
      <c r="DE132" s="8"/>
      <c r="DF132" s="8"/>
      <c r="DG132" s="8"/>
      <c r="DH132" s="8"/>
      <c r="DI132" s="8"/>
      <c r="DJ132" s="8"/>
      <c r="DK132" s="8"/>
      <c r="DL132" s="8"/>
      <c r="DM132" s="8"/>
      <c r="DN132" s="8"/>
    </row>
    <row r="133" spans="2:118" ht="15.75" customHeight="1">
      <c r="B133" s="8"/>
      <c r="CU133" s="8"/>
      <c r="CV133" s="8"/>
      <c r="CW133" s="8"/>
      <c r="CX133" s="8"/>
      <c r="CY133" s="8"/>
      <c r="CZ133" s="8"/>
      <c r="DA133" s="8"/>
      <c r="DB133" s="8"/>
      <c r="DC133" s="8"/>
      <c r="DD133" s="8"/>
      <c r="DE133" s="8"/>
      <c r="DF133" s="8"/>
      <c r="DG133" s="8"/>
      <c r="DH133" s="8"/>
      <c r="DI133" s="8"/>
      <c r="DJ133" s="8"/>
      <c r="DK133" s="8"/>
      <c r="DL133" s="8"/>
      <c r="DM133" s="8"/>
      <c r="DN133" s="8"/>
    </row>
    <row r="134" spans="2:118" ht="15.75" customHeight="1">
      <c r="B134" s="8"/>
      <c r="CU134" s="8"/>
      <c r="CV134" s="8"/>
      <c r="CW134" s="8"/>
      <c r="CX134" s="8"/>
      <c r="CY134" s="8"/>
      <c r="CZ134" s="8"/>
      <c r="DA134" s="8"/>
      <c r="DB134" s="8"/>
      <c r="DC134" s="8"/>
      <c r="DD134" s="8"/>
      <c r="DE134" s="8"/>
      <c r="DF134" s="8"/>
      <c r="DG134" s="8"/>
      <c r="DH134" s="8"/>
      <c r="DI134" s="8"/>
      <c r="DJ134" s="8"/>
      <c r="DK134" s="8"/>
      <c r="DL134" s="8"/>
      <c r="DM134" s="8"/>
      <c r="DN134" s="8"/>
    </row>
    <row r="135" spans="2:118" ht="15.75" customHeight="1">
      <c r="B135" s="8"/>
      <c r="CU135" s="8"/>
      <c r="CV135" s="8"/>
      <c r="CW135" s="8"/>
      <c r="CX135" s="8"/>
      <c r="CY135" s="8"/>
      <c r="CZ135" s="8"/>
      <c r="DA135" s="8"/>
      <c r="DB135" s="8"/>
      <c r="DC135" s="8"/>
      <c r="DD135" s="8"/>
      <c r="DE135" s="8"/>
      <c r="DF135" s="8"/>
      <c r="DG135" s="8"/>
      <c r="DH135" s="8"/>
      <c r="DI135" s="8"/>
      <c r="DJ135" s="8"/>
      <c r="DK135" s="8"/>
      <c r="DL135" s="8"/>
      <c r="DM135" s="8"/>
      <c r="DN135" s="8"/>
    </row>
    <row r="136" spans="2:118" ht="15.75" customHeight="1">
      <c r="B136" s="8"/>
      <c r="CU136" s="8"/>
      <c r="CV136" s="8"/>
      <c r="CW136" s="8"/>
      <c r="CX136" s="8"/>
      <c r="CY136" s="8"/>
      <c r="CZ136" s="8"/>
      <c r="DA136" s="8"/>
      <c r="DB136" s="8"/>
      <c r="DC136" s="8"/>
      <c r="DD136" s="8"/>
      <c r="DE136" s="8"/>
      <c r="DF136" s="8"/>
      <c r="DG136" s="8"/>
      <c r="DH136" s="8"/>
      <c r="DI136" s="8"/>
      <c r="DJ136" s="8"/>
      <c r="DK136" s="8"/>
      <c r="DL136" s="8"/>
      <c r="DM136" s="8"/>
      <c r="DN136" s="8"/>
    </row>
    <row r="137" spans="2:118" ht="15.75" customHeight="1">
      <c r="B137" s="8"/>
      <c r="CU137" s="8"/>
      <c r="CV137" s="8"/>
      <c r="CW137" s="8"/>
      <c r="CX137" s="8"/>
      <c r="CY137" s="8"/>
      <c r="CZ137" s="8"/>
      <c r="DA137" s="8"/>
      <c r="DB137" s="8"/>
      <c r="DC137" s="8"/>
      <c r="DD137" s="8"/>
      <c r="DE137" s="8"/>
      <c r="DF137" s="8"/>
      <c r="DG137" s="8"/>
      <c r="DH137" s="8"/>
      <c r="DI137" s="8"/>
      <c r="DJ137" s="8"/>
      <c r="DK137" s="8"/>
      <c r="DL137" s="8"/>
      <c r="DM137" s="8"/>
      <c r="DN137" s="8"/>
    </row>
    <row r="138" spans="2:118" ht="15.75" customHeight="1">
      <c r="B138" s="8"/>
      <c r="CU138" s="8"/>
      <c r="CV138" s="8"/>
      <c r="CW138" s="8"/>
      <c r="CX138" s="8"/>
      <c r="CY138" s="8"/>
      <c r="CZ138" s="8"/>
      <c r="DA138" s="8"/>
      <c r="DB138" s="8"/>
      <c r="DC138" s="8"/>
      <c r="DD138" s="8"/>
      <c r="DE138" s="8"/>
      <c r="DF138" s="8"/>
      <c r="DG138" s="8"/>
      <c r="DH138" s="8"/>
      <c r="DI138" s="8"/>
      <c r="DJ138" s="8"/>
      <c r="DK138" s="8"/>
      <c r="DL138" s="8"/>
      <c r="DM138" s="8"/>
      <c r="DN138" s="8"/>
    </row>
    <row r="139" spans="2:118" ht="15.75" customHeight="1">
      <c r="B139" s="8"/>
      <c r="CU139" s="8"/>
      <c r="CV139" s="8"/>
      <c r="CW139" s="8"/>
      <c r="CX139" s="8"/>
      <c r="CY139" s="8"/>
      <c r="CZ139" s="8"/>
      <c r="DA139" s="8"/>
      <c r="DB139" s="8"/>
      <c r="DC139" s="8"/>
      <c r="DD139" s="8"/>
      <c r="DE139" s="8"/>
      <c r="DF139" s="8"/>
      <c r="DG139" s="8"/>
      <c r="DH139" s="8"/>
      <c r="DI139" s="8"/>
      <c r="DJ139" s="8"/>
      <c r="DK139" s="8"/>
      <c r="DL139" s="8"/>
      <c r="DM139" s="8"/>
      <c r="DN139" s="8"/>
    </row>
    <row r="140" spans="2:118" ht="15.75" customHeight="1">
      <c r="B140" s="8"/>
      <c r="CU140" s="8"/>
      <c r="CV140" s="8"/>
      <c r="CW140" s="8"/>
      <c r="CX140" s="8"/>
      <c r="CY140" s="8"/>
      <c r="CZ140" s="8"/>
      <c r="DA140" s="8"/>
      <c r="DB140" s="8"/>
      <c r="DC140" s="8"/>
      <c r="DD140" s="8"/>
      <c r="DE140" s="8"/>
      <c r="DF140" s="8"/>
      <c r="DG140" s="8"/>
      <c r="DH140" s="8"/>
      <c r="DI140" s="8"/>
      <c r="DJ140" s="8"/>
      <c r="DK140" s="8"/>
      <c r="DL140" s="8"/>
      <c r="DM140" s="8"/>
      <c r="DN140" s="8"/>
    </row>
    <row r="141" spans="2:118" ht="15.75" customHeight="1">
      <c r="B141" s="8"/>
      <c r="CU141" s="8"/>
      <c r="CV141" s="8"/>
      <c r="CW141" s="8"/>
      <c r="CX141" s="8"/>
      <c r="CY141" s="8"/>
      <c r="CZ141" s="8"/>
      <c r="DA141" s="8"/>
      <c r="DB141" s="8"/>
      <c r="DC141" s="8"/>
      <c r="DD141" s="8"/>
      <c r="DE141" s="8"/>
      <c r="DF141" s="8"/>
      <c r="DG141" s="8"/>
      <c r="DH141" s="8"/>
      <c r="DI141" s="8"/>
      <c r="DJ141" s="8"/>
      <c r="DK141" s="8"/>
      <c r="DL141" s="8"/>
      <c r="DM141" s="8"/>
      <c r="DN141" s="8"/>
    </row>
    <row r="142" spans="2:118" ht="15.75" customHeight="1">
      <c r="B142" s="8"/>
      <c r="CU142" s="8"/>
      <c r="CV142" s="8"/>
      <c r="CW142" s="8"/>
      <c r="CX142" s="8"/>
      <c r="CY142" s="8"/>
      <c r="CZ142" s="8"/>
      <c r="DA142" s="8"/>
      <c r="DB142" s="8"/>
      <c r="DC142" s="8"/>
      <c r="DD142" s="8"/>
      <c r="DE142" s="8"/>
      <c r="DF142" s="8"/>
      <c r="DG142" s="8"/>
      <c r="DH142" s="8"/>
      <c r="DI142" s="8"/>
      <c r="DJ142" s="8"/>
      <c r="DK142" s="8"/>
      <c r="DL142" s="8"/>
      <c r="DM142" s="8"/>
      <c r="DN142" s="8"/>
    </row>
    <row r="143" spans="2:118" ht="15.75" customHeight="1">
      <c r="B143" s="8"/>
      <c r="CU143" s="8"/>
      <c r="CV143" s="8"/>
      <c r="CW143" s="8"/>
      <c r="CX143" s="8"/>
      <c r="CY143" s="8"/>
      <c r="CZ143" s="8"/>
      <c r="DA143" s="8"/>
      <c r="DB143" s="8"/>
      <c r="DC143" s="8"/>
      <c r="DD143" s="8"/>
      <c r="DE143" s="8"/>
      <c r="DF143" s="8"/>
      <c r="DG143" s="8"/>
      <c r="DH143" s="8"/>
      <c r="DI143" s="8"/>
      <c r="DJ143" s="8"/>
      <c r="DK143" s="8"/>
      <c r="DL143" s="8"/>
      <c r="DM143" s="8"/>
      <c r="DN143" s="8"/>
    </row>
    <row r="144" spans="2:118" ht="15.75" customHeight="1">
      <c r="B144" s="8"/>
      <c r="CU144" s="8"/>
      <c r="CV144" s="8"/>
      <c r="CW144" s="8"/>
      <c r="CX144" s="8"/>
      <c r="CY144" s="8"/>
      <c r="CZ144" s="8"/>
      <c r="DA144" s="8"/>
      <c r="DB144" s="8"/>
      <c r="DC144" s="8"/>
      <c r="DD144" s="8"/>
      <c r="DE144" s="8"/>
      <c r="DF144" s="8"/>
      <c r="DG144" s="8"/>
      <c r="DH144" s="8"/>
      <c r="DI144" s="8"/>
      <c r="DJ144" s="8"/>
      <c r="DK144" s="8"/>
      <c r="DL144" s="8"/>
      <c r="DM144" s="8"/>
      <c r="DN144" s="8"/>
    </row>
    <row r="145" spans="2:118" ht="15.75" customHeight="1">
      <c r="B145" s="8"/>
      <c r="CU145" s="8"/>
      <c r="CV145" s="8"/>
      <c r="CW145" s="8"/>
      <c r="CX145" s="8"/>
      <c r="CY145" s="8"/>
      <c r="CZ145" s="8"/>
      <c r="DA145" s="8"/>
      <c r="DB145" s="8"/>
      <c r="DC145" s="8"/>
      <c r="DD145" s="8"/>
      <c r="DE145" s="8"/>
      <c r="DF145" s="8"/>
      <c r="DG145" s="8"/>
      <c r="DH145" s="8"/>
      <c r="DI145" s="8"/>
      <c r="DJ145" s="8"/>
      <c r="DK145" s="8"/>
      <c r="DL145" s="8"/>
      <c r="DM145" s="8"/>
      <c r="DN145" s="8"/>
    </row>
    <row r="146" spans="2:118" ht="15.75" customHeight="1">
      <c r="B146" s="8"/>
      <c r="CU146" s="8"/>
      <c r="CV146" s="8"/>
      <c r="CW146" s="8"/>
      <c r="CX146" s="8"/>
      <c r="CY146" s="8"/>
      <c r="CZ146" s="8"/>
      <c r="DA146" s="8"/>
      <c r="DB146" s="8"/>
      <c r="DC146" s="8"/>
      <c r="DD146" s="8"/>
      <c r="DE146" s="8"/>
      <c r="DF146" s="8"/>
      <c r="DG146" s="8"/>
      <c r="DH146" s="8"/>
      <c r="DI146" s="8"/>
      <c r="DJ146" s="8"/>
      <c r="DK146" s="8"/>
      <c r="DL146" s="8"/>
      <c r="DM146" s="8"/>
      <c r="DN146" s="8"/>
    </row>
    <row r="147" spans="2:118" ht="15.75" customHeight="1">
      <c r="B147" s="8"/>
      <c r="CU147" s="8"/>
      <c r="CV147" s="8"/>
      <c r="CW147" s="8"/>
      <c r="CX147" s="8"/>
      <c r="CY147" s="8"/>
      <c r="CZ147" s="8"/>
      <c r="DA147" s="8"/>
      <c r="DB147" s="8"/>
      <c r="DC147" s="8"/>
      <c r="DD147" s="8"/>
      <c r="DE147" s="8"/>
      <c r="DF147" s="8"/>
      <c r="DG147" s="8"/>
      <c r="DH147" s="8"/>
      <c r="DI147" s="8"/>
      <c r="DJ147" s="8"/>
      <c r="DK147" s="8"/>
      <c r="DL147" s="8"/>
      <c r="DM147" s="8"/>
      <c r="DN147" s="8"/>
    </row>
    <row r="148" spans="2:118" ht="15.75" customHeight="1">
      <c r="B148" s="8"/>
      <c r="CU148" s="8"/>
      <c r="CV148" s="8"/>
      <c r="CW148" s="8"/>
      <c r="CX148" s="8"/>
      <c r="CY148" s="8"/>
      <c r="CZ148" s="8"/>
      <c r="DA148" s="8"/>
      <c r="DB148" s="8"/>
      <c r="DC148" s="8"/>
      <c r="DD148" s="8"/>
      <c r="DE148" s="8"/>
      <c r="DF148" s="8"/>
      <c r="DG148" s="8"/>
      <c r="DH148" s="8"/>
      <c r="DI148" s="8"/>
      <c r="DJ148" s="8"/>
      <c r="DK148" s="8"/>
      <c r="DL148" s="8"/>
      <c r="DM148" s="8"/>
      <c r="DN148" s="8"/>
    </row>
    <row r="149" spans="2:118" ht="15.75" customHeight="1">
      <c r="B149" s="8"/>
      <c r="CU149" s="8"/>
      <c r="CV149" s="8"/>
      <c r="CW149" s="8"/>
      <c r="CX149" s="8"/>
      <c r="CY149" s="8"/>
      <c r="CZ149" s="8"/>
      <c r="DA149" s="8"/>
      <c r="DB149" s="8"/>
      <c r="DC149" s="8"/>
      <c r="DD149" s="8"/>
      <c r="DE149" s="8"/>
      <c r="DF149" s="8"/>
      <c r="DG149" s="8"/>
      <c r="DH149" s="8"/>
      <c r="DI149" s="8"/>
      <c r="DJ149" s="8"/>
      <c r="DK149" s="8"/>
      <c r="DL149" s="8"/>
      <c r="DM149" s="8"/>
      <c r="DN149" s="8"/>
    </row>
    <row r="150" spans="2:118" ht="15.75" customHeight="1">
      <c r="B150" s="8"/>
      <c r="CU150" s="8"/>
      <c r="CV150" s="8"/>
      <c r="CW150" s="8"/>
      <c r="CX150" s="8"/>
      <c r="CY150" s="8"/>
      <c r="CZ150" s="8"/>
      <c r="DA150" s="8"/>
      <c r="DB150" s="8"/>
      <c r="DC150" s="8"/>
      <c r="DD150" s="8"/>
      <c r="DE150" s="8"/>
      <c r="DF150" s="8"/>
      <c r="DG150" s="8"/>
      <c r="DH150" s="8"/>
      <c r="DI150" s="8"/>
      <c r="DJ150" s="8"/>
      <c r="DK150" s="8"/>
      <c r="DL150" s="8"/>
      <c r="DM150" s="8"/>
      <c r="DN150" s="8"/>
    </row>
    <row r="151" spans="2:118" ht="15.75" customHeight="1">
      <c r="B151" s="8"/>
      <c r="CU151" s="8"/>
      <c r="CV151" s="8"/>
      <c r="CW151" s="8"/>
      <c r="CX151" s="8"/>
      <c r="CY151" s="8"/>
      <c r="CZ151" s="8"/>
      <c r="DA151" s="8"/>
      <c r="DB151" s="8"/>
      <c r="DC151" s="8"/>
      <c r="DD151" s="8"/>
      <c r="DE151" s="8"/>
      <c r="DF151" s="8"/>
      <c r="DG151" s="8"/>
      <c r="DH151" s="8"/>
      <c r="DI151" s="8"/>
      <c r="DJ151" s="8"/>
      <c r="DK151" s="8"/>
      <c r="DL151" s="8"/>
      <c r="DM151" s="8"/>
      <c r="DN151" s="8"/>
    </row>
    <row r="152" spans="2:118" ht="15.75" customHeight="1">
      <c r="B152" s="8"/>
      <c r="CU152" s="8"/>
      <c r="CV152" s="8"/>
      <c r="CW152" s="8"/>
      <c r="CX152" s="8"/>
      <c r="CY152" s="8"/>
      <c r="CZ152" s="8"/>
      <c r="DA152" s="8"/>
      <c r="DB152" s="8"/>
      <c r="DC152" s="8"/>
      <c r="DD152" s="8"/>
      <c r="DE152" s="8"/>
      <c r="DF152" s="8"/>
      <c r="DG152" s="8"/>
      <c r="DH152" s="8"/>
      <c r="DI152" s="8"/>
      <c r="DJ152" s="8"/>
      <c r="DK152" s="8"/>
      <c r="DL152" s="8"/>
      <c r="DM152" s="8"/>
      <c r="DN152" s="8"/>
    </row>
    <row r="153" spans="2:118" ht="15.75" customHeight="1">
      <c r="B153" s="8"/>
      <c r="CU153" s="8"/>
      <c r="CV153" s="8"/>
      <c r="CW153" s="8"/>
      <c r="CX153" s="8"/>
      <c r="CY153" s="8"/>
      <c r="CZ153" s="8"/>
      <c r="DA153" s="8"/>
      <c r="DB153" s="8"/>
      <c r="DC153" s="8"/>
      <c r="DD153" s="8"/>
      <c r="DE153" s="8"/>
      <c r="DF153" s="8"/>
      <c r="DG153" s="8"/>
      <c r="DH153" s="8"/>
      <c r="DI153" s="8"/>
      <c r="DJ153" s="8"/>
      <c r="DK153" s="8"/>
      <c r="DL153" s="8"/>
      <c r="DM153" s="8"/>
      <c r="DN153" s="8"/>
    </row>
    <row r="154" spans="2:118" ht="15.75" customHeight="1">
      <c r="B154" s="8"/>
      <c r="CU154" s="8"/>
      <c r="CV154" s="8"/>
      <c r="CW154" s="8"/>
      <c r="CX154" s="8"/>
      <c r="CY154" s="8"/>
      <c r="CZ154" s="8"/>
      <c r="DA154" s="8"/>
      <c r="DB154" s="8"/>
      <c r="DC154" s="8"/>
      <c r="DD154" s="8"/>
      <c r="DE154" s="8"/>
      <c r="DF154" s="8"/>
      <c r="DG154" s="8"/>
      <c r="DH154" s="8"/>
      <c r="DI154" s="8"/>
      <c r="DJ154" s="8"/>
      <c r="DK154" s="8"/>
      <c r="DL154" s="8"/>
      <c r="DM154" s="8"/>
      <c r="DN154" s="8"/>
    </row>
    <row r="155" spans="2:118" ht="15.75" customHeight="1">
      <c r="B155" s="8"/>
      <c r="CU155" s="8"/>
      <c r="CV155" s="8"/>
      <c r="CW155" s="8"/>
      <c r="CX155" s="8"/>
      <c r="CY155" s="8"/>
      <c r="CZ155" s="8"/>
      <c r="DA155" s="8"/>
      <c r="DB155" s="8"/>
      <c r="DC155" s="8"/>
      <c r="DD155" s="8"/>
      <c r="DE155" s="8"/>
      <c r="DF155" s="8"/>
      <c r="DG155" s="8"/>
      <c r="DH155" s="8"/>
      <c r="DI155" s="8"/>
      <c r="DJ155" s="8"/>
      <c r="DK155" s="8"/>
      <c r="DL155" s="8"/>
      <c r="DM155" s="8"/>
      <c r="DN155" s="8"/>
    </row>
    <row r="156" spans="2:118" ht="15.75" customHeight="1">
      <c r="B156" s="8"/>
      <c r="CU156" s="8"/>
      <c r="CV156" s="8"/>
      <c r="CW156" s="8"/>
      <c r="CX156" s="8"/>
      <c r="CY156" s="8"/>
      <c r="CZ156" s="8"/>
      <c r="DA156" s="8"/>
      <c r="DB156" s="8"/>
      <c r="DC156" s="8"/>
      <c r="DD156" s="8"/>
      <c r="DE156" s="8"/>
      <c r="DF156" s="8"/>
      <c r="DG156" s="8"/>
      <c r="DH156" s="8"/>
      <c r="DI156" s="8"/>
      <c r="DJ156" s="8"/>
      <c r="DK156" s="8"/>
      <c r="DL156" s="8"/>
      <c r="DM156" s="8"/>
      <c r="DN156" s="8"/>
    </row>
    <row r="157" spans="2:118" ht="15.75" customHeight="1">
      <c r="B157" s="8"/>
      <c r="CU157" s="8"/>
      <c r="CV157" s="8"/>
      <c r="CW157" s="8"/>
      <c r="CX157" s="8"/>
      <c r="CY157" s="8"/>
      <c r="CZ157" s="8"/>
      <c r="DA157" s="8"/>
      <c r="DB157" s="8"/>
      <c r="DC157" s="8"/>
      <c r="DD157" s="8"/>
      <c r="DE157" s="8"/>
      <c r="DF157" s="8"/>
      <c r="DG157" s="8"/>
      <c r="DH157" s="8"/>
      <c r="DI157" s="8"/>
      <c r="DJ157" s="8"/>
      <c r="DK157" s="8"/>
      <c r="DL157" s="8"/>
      <c r="DM157" s="8"/>
      <c r="DN157" s="8"/>
    </row>
    <row r="158" spans="2:118" ht="15.75" customHeight="1">
      <c r="B158" s="8"/>
      <c r="CU158" s="8"/>
      <c r="CV158" s="8"/>
      <c r="CW158" s="8"/>
      <c r="CX158" s="8"/>
      <c r="CY158" s="8"/>
      <c r="CZ158" s="8"/>
      <c r="DA158" s="8"/>
      <c r="DB158" s="8"/>
      <c r="DC158" s="8"/>
      <c r="DD158" s="8"/>
      <c r="DE158" s="8"/>
      <c r="DF158" s="8"/>
      <c r="DG158" s="8"/>
      <c r="DH158" s="8"/>
      <c r="DI158" s="8"/>
      <c r="DJ158" s="8"/>
      <c r="DK158" s="8"/>
      <c r="DL158" s="8"/>
      <c r="DM158" s="8"/>
      <c r="DN158" s="8"/>
    </row>
    <row r="159" spans="2:118" ht="15.75" customHeight="1">
      <c r="B159" s="8"/>
      <c r="CU159" s="8"/>
      <c r="CV159" s="8"/>
      <c r="CW159" s="8"/>
      <c r="CX159" s="8"/>
      <c r="CY159" s="8"/>
      <c r="CZ159" s="8"/>
      <c r="DA159" s="8"/>
      <c r="DB159" s="8"/>
      <c r="DC159" s="8"/>
      <c r="DD159" s="8"/>
      <c r="DE159" s="8"/>
      <c r="DF159" s="8"/>
      <c r="DG159" s="8"/>
      <c r="DH159" s="8"/>
      <c r="DI159" s="8"/>
      <c r="DJ159" s="8"/>
      <c r="DK159" s="8"/>
      <c r="DL159" s="8"/>
      <c r="DM159" s="8"/>
      <c r="DN159" s="8"/>
    </row>
    <row r="160" spans="2:118" ht="15.75" customHeight="1">
      <c r="B160" s="8"/>
      <c r="CU160" s="8"/>
      <c r="CV160" s="8"/>
      <c r="CW160" s="8"/>
      <c r="CX160" s="8"/>
      <c r="CY160" s="8"/>
      <c r="CZ160" s="8"/>
      <c r="DA160" s="8"/>
      <c r="DB160" s="8"/>
      <c r="DC160" s="8"/>
      <c r="DD160" s="8"/>
      <c r="DE160" s="8"/>
      <c r="DF160" s="8"/>
      <c r="DG160" s="8"/>
      <c r="DH160" s="8"/>
      <c r="DI160" s="8"/>
      <c r="DJ160" s="8"/>
      <c r="DK160" s="8"/>
      <c r="DL160" s="8"/>
      <c r="DM160" s="8"/>
      <c r="DN160" s="8"/>
    </row>
    <row r="161" spans="2:118" ht="15.75" customHeight="1">
      <c r="B161" s="8"/>
      <c r="CU161" s="8"/>
      <c r="CV161" s="8"/>
      <c r="CW161" s="8"/>
      <c r="CX161" s="8"/>
      <c r="CY161" s="8"/>
      <c r="CZ161" s="8"/>
      <c r="DA161" s="8"/>
      <c r="DB161" s="8"/>
      <c r="DC161" s="8"/>
      <c r="DD161" s="8"/>
      <c r="DE161" s="8"/>
      <c r="DF161" s="8"/>
      <c r="DG161" s="8"/>
      <c r="DH161" s="8"/>
      <c r="DI161" s="8"/>
      <c r="DJ161" s="8"/>
      <c r="DK161" s="8"/>
      <c r="DL161" s="8"/>
      <c r="DM161" s="8"/>
      <c r="DN161" s="8"/>
    </row>
    <row r="162" spans="2:118" ht="15.75" customHeight="1">
      <c r="B162" s="8"/>
      <c r="CU162" s="8"/>
      <c r="CV162" s="8"/>
      <c r="CW162" s="8"/>
      <c r="CX162" s="8"/>
      <c r="CY162" s="8"/>
      <c r="CZ162" s="8"/>
      <c r="DA162" s="8"/>
      <c r="DB162" s="8"/>
      <c r="DC162" s="8"/>
      <c r="DD162" s="8"/>
      <c r="DE162" s="8"/>
      <c r="DF162" s="8"/>
      <c r="DG162" s="8"/>
      <c r="DH162" s="8"/>
      <c r="DI162" s="8"/>
      <c r="DJ162" s="8"/>
      <c r="DK162" s="8"/>
      <c r="DL162" s="8"/>
      <c r="DM162" s="8"/>
      <c r="DN162" s="8"/>
    </row>
    <row r="163" spans="2:118" ht="15.75" customHeight="1">
      <c r="B163" s="8"/>
      <c r="CU163" s="8"/>
      <c r="CV163" s="8"/>
      <c r="CW163" s="8"/>
      <c r="CX163" s="8"/>
      <c r="CY163" s="8"/>
      <c r="CZ163" s="8"/>
      <c r="DA163" s="8"/>
      <c r="DB163" s="8"/>
      <c r="DC163" s="8"/>
      <c r="DD163" s="8"/>
      <c r="DE163" s="8"/>
      <c r="DF163" s="8"/>
      <c r="DG163" s="8"/>
      <c r="DH163" s="8"/>
      <c r="DI163" s="8"/>
      <c r="DJ163" s="8"/>
      <c r="DK163" s="8"/>
      <c r="DL163" s="8"/>
      <c r="DM163" s="8"/>
      <c r="DN163" s="8"/>
    </row>
    <row r="164" spans="2:118" ht="15.75" customHeight="1">
      <c r="B164" s="8"/>
      <c r="CU164" s="8"/>
      <c r="CV164" s="8"/>
      <c r="CW164" s="8"/>
      <c r="CX164" s="8"/>
      <c r="CY164" s="8"/>
      <c r="CZ164" s="8"/>
      <c r="DA164" s="8"/>
      <c r="DB164" s="8"/>
      <c r="DC164" s="8"/>
      <c r="DD164" s="8"/>
      <c r="DE164" s="8"/>
      <c r="DF164" s="8"/>
      <c r="DG164" s="8"/>
      <c r="DH164" s="8"/>
      <c r="DI164" s="8"/>
      <c r="DJ164" s="8"/>
      <c r="DK164" s="8"/>
      <c r="DL164" s="8"/>
      <c r="DM164" s="8"/>
      <c r="DN164" s="8"/>
    </row>
    <row r="165" spans="2:118" ht="15.75" customHeight="1">
      <c r="B165" s="8"/>
      <c r="CU165" s="8"/>
      <c r="CV165" s="8"/>
      <c r="CW165" s="8"/>
      <c r="CX165" s="8"/>
      <c r="CY165" s="8"/>
      <c r="CZ165" s="8"/>
      <c r="DA165" s="8"/>
      <c r="DB165" s="8"/>
      <c r="DC165" s="8"/>
      <c r="DD165" s="8"/>
      <c r="DE165" s="8"/>
      <c r="DF165" s="8"/>
      <c r="DG165" s="8"/>
      <c r="DH165" s="8"/>
      <c r="DI165" s="8"/>
      <c r="DJ165" s="8"/>
      <c r="DK165" s="8"/>
      <c r="DL165" s="8"/>
      <c r="DM165" s="8"/>
      <c r="DN165" s="8"/>
    </row>
    <row r="166" spans="2:118" ht="15.75" customHeight="1">
      <c r="B166" s="8"/>
      <c r="CU166" s="8"/>
      <c r="CV166" s="8"/>
      <c r="CW166" s="8"/>
      <c r="CX166" s="8"/>
      <c r="CY166" s="8"/>
      <c r="CZ166" s="8"/>
      <c r="DA166" s="8"/>
      <c r="DB166" s="8"/>
      <c r="DC166" s="8"/>
      <c r="DD166" s="8"/>
      <c r="DE166" s="8"/>
      <c r="DF166" s="8"/>
      <c r="DG166" s="8"/>
      <c r="DH166" s="8"/>
      <c r="DI166" s="8"/>
      <c r="DJ166" s="8"/>
      <c r="DK166" s="8"/>
      <c r="DL166" s="8"/>
      <c r="DM166" s="8"/>
      <c r="DN166" s="8"/>
    </row>
    <row r="167" spans="2:118" ht="15.75" customHeight="1">
      <c r="B167" s="8"/>
      <c r="CU167" s="8"/>
      <c r="CV167" s="8"/>
      <c r="CW167" s="8"/>
      <c r="CX167" s="8"/>
      <c r="CY167" s="8"/>
      <c r="CZ167" s="8"/>
      <c r="DA167" s="8"/>
      <c r="DB167" s="8"/>
      <c r="DC167" s="8"/>
      <c r="DD167" s="8"/>
      <c r="DE167" s="8"/>
      <c r="DF167" s="8"/>
      <c r="DG167" s="8"/>
      <c r="DH167" s="8"/>
      <c r="DI167" s="8"/>
      <c r="DJ167" s="8"/>
      <c r="DK167" s="8"/>
      <c r="DL167" s="8"/>
      <c r="DM167" s="8"/>
      <c r="DN167" s="8"/>
    </row>
    <row r="168" spans="2:118" ht="15.75" customHeight="1">
      <c r="B168" s="8"/>
      <c r="CU168" s="8"/>
      <c r="CV168" s="8"/>
      <c r="CW168" s="8"/>
      <c r="CX168" s="8"/>
      <c r="CY168" s="8"/>
      <c r="CZ168" s="8"/>
      <c r="DA168" s="8"/>
      <c r="DB168" s="8"/>
      <c r="DC168" s="8"/>
      <c r="DD168" s="8"/>
      <c r="DE168" s="8"/>
      <c r="DF168" s="8"/>
      <c r="DG168" s="8"/>
      <c r="DH168" s="8"/>
      <c r="DI168" s="8"/>
      <c r="DJ168" s="8"/>
      <c r="DK168" s="8"/>
      <c r="DL168" s="8"/>
      <c r="DM168" s="8"/>
      <c r="DN168" s="8"/>
    </row>
    <row r="169" spans="2:118" ht="15.75" customHeight="1">
      <c r="B169" s="8"/>
      <c r="CU169" s="8"/>
      <c r="CV169" s="8"/>
      <c r="CW169" s="8"/>
      <c r="CX169" s="8"/>
      <c r="CY169" s="8"/>
      <c r="CZ169" s="8"/>
      <c r="DA169" s="8"/>
      <c r="DB169" s="8"/>
      <c r="DC169" s="8"/>
      <c r="DD169" s="8"/>
      <c r="DE169" s="8"/>
      <c r="DF169" s="8"/>
      <c r="DG169" s="8"/>
      <c r="DH169" s="8"/>
      <c r="DI169" s="8"/>
      <c r="DJ169" s="8"/>
      <c r="DK169" s="8"/>
      <c r="DL169" s="8"/>
      <c r="DM169" s="8"/>
      <c r="DN169" s="8"/>
    </row>
    <row r="170" spans="2:118" ht="15.75" customHeight="1">
      <c r="B170" s="8"/>
      <c r="CU170" s="8"/>
      <c r="CV170" s="8"/>
      <c r="CW170" s="8"/>
      <c r="CX170" s="8"/>
      <c r="CY170" s="8"/>
      <c r="CZ170" s="8"/>
      <c r="DA170" s="8"/>
      <c r="DB170" s="8"/>
      <c r="DC170" s="8"/>
      <c r="DD170" s="8"/>
      <c r="DE170" s="8"/>
      <c r="DF170" s="8"/>
      <c r="DG170" s="8"/>
      <c r="DH170" s="8"/>
      <c r="DI170" s="8"/>
      <c r="DJ170" s="8"/>
      <c r="DK170" s="8"/>
      <c r="DL170" s="8"/>
      <c r="DM170" s="8"/>
      <c r="DN170" s="8"/>
    </row>
    <row r="171" spans="2:118" ht="15.75" customHeight="1">
      <c r="B171" s="8"/>
      <c r="CU171" s="8"/>
      <c r="CV171" s="8"/>
      <c r="CW171" s="8"/>
      <c r="CX171" s="8"/>
      <c r="CY171" s="8"/>
      <c r="CZ171" s="8"/>
      <c r="DA171" s="8"/>
      <c r="DB171" s="8"/>
      <c r="DC171" s="8"/>
      <c r="DD171" s="8"/>
      <c r="DE171" s="8"/>
      <c r="DF171" s="8"/>
      <c r="DG171" s="8"/>
      <c r="DH171" s="8"/>
      <c r="DI171" s="8"/>
      <c r="DJ171" s="8"/>
      <c r="DK171" s="8"/>
      <c r="DL171" s="8"/>
      <c r="DM171" s="8"/>
      <c r="DN171" s="8"/>
    </row>
    <row r="172" spans="2:118" ht="15.75" customHeight="1">
      <c r="B172" s="8"/>
      <c r="CU172" s="8"/>
      <c r="CV172" s="8"/>
      <c r="CW172" s="8"/>
      <c r="CX172" s="8"/>
      <c r="CY172" s="8"/>
      <c r="CZ172" s="8"/>
      <c r="DA172" s="8"/>
      <c r="DB172" s="8"/>
      <c r="DC172" s="8"/>
      <c r="DD172" s="8"/>
      <c r="DE172" s="8"/>
      <c r="DF172" s="8"/>
      <c r="DG172" s="8"/>
      <c r="DH172" s="8"/>
      <c r="DI172" s="8"/>
      <c r="DJ172" s="8"/>
      <c r="DK172" s="8"/>
      <c r="DL172" s="8"/>
      <c r="DM172" s="8"/>
      <c r="DN172" s="8"/>
    </row>
    <row r="173" spans="2:118" ht="15.75" customHeight="1">
      <c r="B173" s="8"/>
      <c r="CU173" s="8"/>
      <c r="CV173" s="8"/>
      <c r="CW173" s="8"/>
      <c r="CX173" s="8"/>
      <c r="CY173" s="8"/>
      <c r="CZ173" s="8"/>
      <c r="DA173" s="8"/>
      <c r="DB173" s="8"/>
      <c r="DC173" s="8"/>
      <c r="DD173" s="8"/>
      <c r="DE173" s="8"/>
      <c r="DF173" s="8"/>
      <c r="DG173" s="8"/>
      <c r="DH173" s="8"/>
      <c r="DI173" s="8"/>
      <c r="DJ173" s="8"/>
      <c r="DK173" s="8"/>
      <c r="DL173" s="8"/>
      <c r="DM173" s="8"/>
      <c r="DN173" s="8"/>
    </row>
    <row r="174" spans="2:118" ht="15.75" customHeight="1">
      <c r="B174" s="8"/>
      <c r="CU174" s="8"/>
      <c r="CV174" s="8"/>
      <c r="CW174" s="8"/>
      <c r="CX174" s="8"/>
      <c r="CY174" s="8"/>
      <c r="CZ174" s="8"/>
      <c r="DA174" s="8"/>
      <c r="DB174" s="8"/>
      <c r="DC174" s="8"/>
      <c r="DD174" s="8"/>
      <c r="DE174" s="8"/>
      <c r="DF174" s="8"/>
      <c r="DG174" s="8"/>
      <c r="DH174" s="8"/>
      <c r="DI174" s="8"/>
      <c r="DJ174" s="8"/>
      <c r="DK174" s="8"/>
      <c r="DL174" s="8"/>
      <c r="DM174" s="8"/>
      <c r="DN174" s="8"/>
    </row>
    <row r="175" spans="2:118" ht="15.75" customHeight="1">
      <c r="B175" s="8"/>
      <c r="CU175" s="8"/>
      <c r="CV175" s="8"/>
      <c r="CW175" s="8"/>
      <c r="CX175" s="8"/>
      <c r="CY175" s="8"/>
      <c r="CZ175" s="8"/>
      <c r="DA175" s="8"/>
      <c r="DB175" s="8"/>
      <c r="DC175" s="8"/>
      <c r="DD175" s="8"/>
      <c r="DE175" s="8"/>
      <c r="DF175" s="8"/>
      <c r="DG175" s="8"/>
      <c r="DH175" s="8"/>
      <c r="DI175" s="8"/>
      <c r="DJ175" s="8"/>
      <c r="DK175" s="8"/>
      <c r="DL175" s="8"/>
      <c r="DM175" s="8"/>
      <c r="DN175" s="8"/>
    </row>
    <row r="176" spans="2:118" ht="15.75" customHeight="1">
      <c r="B176" s="8"/>
      <c r="CU176" s="8"/>
      <c r="CV176" s="8"/>
      <c r="CW176" s="8"/>
      <c r="CX176" s="8"/>
      <c r="CY176" s="8"/>
      <c r="CZ176" s="8"/>
      <c r="DA176" s="8"/>
      <c r="DB176" s="8"/>
      <c r="DC176" s="8"/>
      <c r="DD176" s="8"/>
      <c r="DE176" s="8"/>
      <c r="DF176" s="8"/>
      <c r="DG176" s="8"/>
      <c r="DH176" s="8"/>
      <c r="DI176" s="8"/>
      <c r="DJ176" s="8"/>
      <c r="DK176" s="8"/>
      <c r="DL176" s="8"/>
      <c r="DM176" s="8"/>
      <c r="DN176" s="8"/>
    </row>
    <row r="177" spans="2:118" ht="15.75" customHeight="1">
      <c r="B177" s="8"/>
      <c r="CU177" s="8"/>
      <c r="CV177" s="8"/>
      <c r="CW177" s="8"/>
      <c r="CX177" s="8"/>
      <c r="CY177" s="8"/>
      <c r="CZ177" s="8"/>
      <c r="DA177" s="8"/>
      <c r="DB177" s="8"/>
      <c r="DC177" s="8"/>
      <c r="DD177" s="8"/>
      <c r="DE177" s="8"/>
      <c r="DF177" s="8"/>
      <c r="DG177" s="8"/>
      <c r="DH177" s="8"/>
      <c r="DI177" s="8"/>
      <c r="DJ177" s="8"/>
      <c r="DK177" s="8"/>
      <c r="DL177" s="8"/>
      <c r="DM177" s="8"/>
      <c r="DN177" s="8"/>
    </row>
    <row r="178" spans="2:118" ht="15.75" customHeight="1">
      <c r="B178" s="8"/>
      <c r="CU178" s="8"/>
      <c r="CV178" s="8"/>
      <c r="CW178" s="8"/>
      <c r="CX178" s="8"/>
      <c r="CY178" s="8"/>
      <c r="CZ178" s="8"/>
      <c r="DA178" s="8"/>
      <c r="DB178" s="8"/>
      <c r="DC178" s="8"/>
      <c r="DD178" s="8"/>
      <c r="DE178" s="8"/>
      <c r="DF178" s="8"/>
      <c r="DG178" s="8"/>
      <c r="DH178" s="8"/>
      <c r="DI178" s="8"/>
      <c r="DJ178" s="8"/>
      <c r="DK178" s="8"/>
      <c r="DL178" s="8"/>
      <c r="DM178" s="8"/>
      <c r="DN178" s="8"/>
    </row>
    <row r="179" spans="2:118" ht="15.75" customHeight="1">
      <c r="B179" s="8"/>
      <c r="CU179" s="8"/>
      <c r="CV179" s="8"/>
      <c r="CW179" s="8"/>
      <c r="CX179" s="8"/>
      <c r="CY179" s="8"/>
      <c r="CZ179" s="8"/>
      <c r="DA179" s="8"/>
      <c r="DB179" s="8"/>
      <c r="DC179" s="8"/>
      <c r="DD179" s="8"/>
      <c r="DE179" s="8"/>
      <c r="DF179" s="8"/>
      <c r="DG179" s="8"/>
      <c r="DH179" s="8"/>
      <c r="DI179" s="8"/>
      <c r="DJ179" s="8"/>
      <c r="DK179" s="8"/>
      <c r="DL179" s="8"/>
      <c r="DM179" s="8"/>
      <c r="DN179" s="8"/>
    </row>
    <row r="180" spans="2:118" ht="15.75" customHeight="1">
      <c r="B180" s="8"/>
      <c r="CU180" s="8"/>
      <c r="CV180" s="8"/>
      <c r="CW180" s="8"/>
      <c r="CX180" s="8"/>
      <c r="CY180" s="8"/>
      <c r="CZ180" s="8"/>
      <c r="DA180" s="8"/>
      <c r="DB180" s="8"/>
      <c r="DC180" s="8"/>
      <c r="DD180" s="8"/>
      <c r="DE180" s="8"/>
      <c r="DF180" s="8"/>
      <c r="DG180" s="8"/>
      <c r="DH180" s="8"/>
      <c r="DI180" s="8"/>
      <c r="DJ180" s="8"/>
      <c r="DK180" s="8"/>
      <c r="DL180" s="8"/>
      <c r="DM180" s="8"/>
      <c r="DN180" s="8"/>
    </row>
    <row r="181" spans="2:118" ht="15.75" customHeight="1">
      <c r="B181" s="8"/>
      <c r="CU181" s="8"/>
      <c r="CV181" s="8"/>
      <c r="CW181" s="8"/>
      <c r="CX181" s="8"/>
      <c r="CY181" s="8"/>
      <c r="CZ181" s="8"/>
      <c r="DA181" s="8"/>
      <c r="DB181" s="8"/>
      <c r="DC181" s="8"/>
      <c r="DD181" s="8"/>
      <c r="DE181" s="8"/>
      <c r="DF181" s="8"/>
      <c r="DG181" s="8"/>
      <c r="DH181" s="8"/>
      <c r="DI181" s="8"/>
      <c r="DJ181" s="8"/>
      <c r="DK181" s="8"/>
      <c r="DL181" s="8"/>
      <c r="DM181" s="8"/>
      <c r="DN181" s="8"/>
    </row>
    <row r="182" spans="2:118" ht="15.75" customHeight="1">
      <c r="B182" s="8"/>
      <c r="CU182" s="8"/>
      <c r="CV182" s="8"/>
      <c r="CW182" s="8"/>
      <c r="CX182" s="8"/>
      <c r="CY182" s="8"/>
      <c r="CZ182" s="8"/>
      <c r="DA182" s="8"/>
      <c r="DB182" s="8"/>
      <c r="DC182" s="8"/>
      <c r="DD182" s="8"/>
      <c r="DE182" s="8"/>
      <c r="DF182" s="8"/>
      <c r="DG182" s="8"/>
      <c r="DH182" s="8"/>
      <c r="DI182" s="8"/>
      <c r="DJ182" s="8"/>
      <c r="DK182" s="8"/>
      <c r="DL182" s="8"/>
      <c r="DM182" s="8"/>
      <c r="DN182" s="8"/>
    </row>
    <row r="183" spans="2:118" ht="15.75" customHeight="1">
      <c r="B183" s="8"/>
      <c r="CU183" s="8"/>
      <c r="CV183" s="8"/>
      <c r="CW183" s="8"/>
      <c r="CX183" s="8"/>
      <c r="CY183" s="8"/>
      <c r="CZ183" s="8"/>
      <c r="DA183" s="8"/>
      <c r="DB183" s="8"/>
      <c r="DC183" s="8"/>
      <c r="DD183" s="8"/>
      <c r="DE183" s="8"/>
      <c r="DF183" s="8"/>
      <c r="DG183" s="8"/>
      <c r="DH183" s="8"/>
      <c r="DI183" s="8"/>
      <c r="DJ183" s="8"/>
      <c r="DK183" s="8"/>
      <c r="DL183" s="8"/>
      <c r="DM183" s="8"/>
      <c r="DN183" s="8"/>
    </row>
    <row r="184" spans="2:118" ht="15.75" customHeight="1">
      <c r="B184" s="8"/>
      <c r="CU184" s="8"/>
      <c r="CV184" s="8"/>
      <c r="CW184" s="8"/>
      <c r="CX184" s="8"/>
      <c r="CY184" s="8"/>
      <c r="CZ184" s="8"/>
      <c r="DA184" s="8"/>
      <c r="DB184" s="8"/>
      <c r="DC184" s="8"/>
      <c r="DD184" s="8"/>
      <c r="DE184" s="8"/>
      <c r="DF184" s="8"/>
      <c r="DG184" s="8"/>
      <c r="DH184" s="8"/>
      <c r="DI184" s="8"/>
      <c r="DJ184" s="8"/>
      <c r="DK184" s="8"/>
      <c r="DL184" s="8"/>
      <c r="DM184" s="8"/>
      <c r="DN184" s="8"/>
    </row>
    <row r="185" spans="2:118" ht="15.75" customHeight="1">
      <c r="B185" s="8"/>
      <c r="CU185" s="8"/>
      <c r="CV185" s="8"/>
      <c r="CW185" s="8"/>
      <c r="CX185" s="8"/>
      <c r="CY185" s="8"/>
      <c r="CZ185" s="8"/>
      <c r="DA185" s="8"/>
      <c r="DB185" s="8"/>
      <c r="DC185" s="8"/>
      <c r="DD185" s="8"/>
      <c r="DE185" s="8"/>
      <c r="DF185" s="8"/>
      <c r="DG185" s="8"/>
      <c r="DH185" s="8"/>
      <c r="DI185" s="8"/>
      <c r="DJ185" s="8"/>
      <c r="DK185" s="8"/>
      <c r="DL185" s="8"/>
      <c r="DM185" s="8"/>
      <c r="DN185" s="8"/>
    </row>
    <row r="186" spans="2:118" ht="15.75" customHeight="1">
      <c r="B186" s="8"/>
      <c r="CU186" s="8"/>
      <c r="CV186" s="8"/>
      <c r="CW186" s="8"/>
      <c r="CX186" s="8"/>
      <c r="CY186" s="8"/>
      <c r="CZ186" s="8"/>
      <c r="DA186" s="8"/>
      <c r="DB186" s="8"/>
      <c r="DC186" s="8"/>
      <c r="DD186" s="8"/>
      <c r="DE186" s="8"/>
      <c r="DF186" s="8"/>
      <c r="DG186" s="8"/>
      <c r="DH186" s="8"/>
      <c r="DI186" s="8"/>
      <c r="DJ186" s="8"/>
      <c r="DK186" s="8"/>
      <c r="DL186" s="8"/>
      <c r="DM186" s="8"/>
      <c r="DN186" s="8"/>
    </row>
    <row r="187" spans="2:118" ht="15.75" customHeight="1">
      <c r="B187" s="8"/>
      <c r="CU187" s="8"/>
      <c r="CV187" s="8"/>
      <c r="CW187" s="8"/>
      <c r="CX187" s="8"/>
      <c r="CY187" s="8"/>
      <c r="CZ187" s="8"/>
      <c r="DA187" s="8"/>
      <c r="DB187" s="8"/>
      <c r="DC187" s="8"/>
      <c r="DD187" s="8"/>
      <c r="DE187" s="8"/>
      <c r="DF187" s="8"/>
      <c r="DG187" s="8"/>
      <c r="DH187" s="8"/>
      <c r="DI187" s="8"/>
      <c r="DJ187" s="8"/>
      <c r="DK187" s="8"/>
      <c r="DL187" s="8"/>
      <c r="DM187" s="8"/>
      <c r="DN187" s="8"/>
    </row>
    <row r="188" spans="2:118" ht="15.75" customHeight="1">
      <c r="B188" s="8"/>
      <c r="CU188" s="8"/>
      <c r="CV188" s="8"/>
      <c r="CW188" s="8"/>
      <c r="CX188" s="8"/>
      <c r="CY188" s="8"/>
      <c r="CZ188" s="8"/>
      <c r="DA188" s="8"/>
      <c r="DB188" s="8"/>
      <c r="DC188" s="8"/>
      <c r="DD188" s="8"/>
      <c r="DE188" s="8"/>
      <c r="DF188" s="8"/>
      <c r="DG188" s="8"/>
      <c r="DH188" s="8"/>
      <c r="DI188" s="8"/>
      <c r="DJ188" s="8"/>
      <c r="DK188" s="8"/>
      <c r="DL188" s="8"/>
      <c r="DM188" s="8"/>
      <c r="DN188" s="8"/>
    </row>
    <row r="189" spans="2:118" ht="15.75" customHeight="1">
      <c r="B189" s="8"/>
      <c r="CU189" s="8"/>
      <c r="CV189" s="8"/>
      <c r="CW189" s="8"/>
      <c r="CX189" s="8"/>
      <c r="CY189" s="8"/>
      <c r="CZ189" s="8"/>
      <c r="DA189" s="8"/>
      <c r="DB189" s="8"/>
      <c r="DC189" s="8"/>
      <c r="DD189" s="8"/>
      <c r="DE189" s="8"/>
      <c r="DF189" s="8"/>
      <c r="DG189" s="8"/>
      <c r="DH189" s="8"/>
      <c r="DI189" s="8"/>
      <c r="DJ189" s="8"/>
      <c r="DK189" s="8"/>
      <c r="DL189" s="8"/>
      <c r="DM189" s="8"/>
      <c r="DN189" s="8"/>
    </row>
    <row r="190" spans="2:118" ht="15.75" customHeight="1">
      <c r="B190" s="8"/>
      <c r="CU190" s="8"/>
      <c r="CV190" s="8"/>
      <c r="CW190" s="8"/>
      <c r="CX190" s="8"/>
      <c r="CY190" s="8"/>
      <c r="CZ190" s="8"/>
      <c r="DA190" s="8"/>
      <c r="DB190" s="8"/>
      <c r="DC190" s="8"/>
      <c r="DD190" s="8"/>
      <c r="DE190" s="8"/>
      <c r="DF190" s="8"/>
      <c r="DG190" s="8"/>
      <c r="DH190" s="8"/>
      <c r="DI190" s="8"/>
      <c r="DJ190" s="8"/>
      <c r="DK190" s="8"/>
      <c r="DL190" s="8"/>
      <c r="DM190" s="8"/>
      <c r="DN190" s="8"/>
    </row>
    <row r="191" spans="2:118" ht="15.75" customHeight="1">
      <c r="B191" s="8"/>
      <c r="CU191" s="8"/>
      <c r="CV191" s="8"/>
      <c r="CW191" s="8"/>
      <c r="CX191" s="8"/>
      <c r="CY191" s="8"/>
      <c r="CZ191" s="8"/>
      <c r="DA191" s="8"/>
      <c r="DB191" s="8"/>
      <c r="DC191" s="8"/>
      <c r="DD191" s="8"/>
      <c r="DE191" s="8"/>
      <c r="DF191" s="8"/>
      <c r="DG191" s="8"/>
      <c r="DH191" s="8"/>
      <c r="DI191" s="8"/>
      <c r="DJ191" s="8"/>
      <c r="DK191" s="8"/>
      <c r="DL191" s="8"/>
      <c r="DM191" s="8"/>
      <c r="DN191" s="8"/>
    </row>
    <row r="192" spans="2:118" ht="15.75" customHeight="1">
      <c r="B192" s="8"/>
      <c r="CU192" s="8"/>
      <c r="CV192" s="8"/>
      <c r="CW192" s="8"/>
      <c r="CX192" s="8"/>
      <c r="CY192" s="8"/>
      <c r="CZ192" s="8"/>
      <c r="DA192" s="8"/>
      <c r="DB192" s="8"/>
      <c r="DC192" s="8"/>
      <c r="DD192" s="8"/>
      <c r="DE192" s="8"/>
      <c r="DF192" s="8"/>
      <c r="DG192" s="8"/>
      <c r="DH192" s="8"/>
      <c r="DI192" s="8"/>
      <c r="DJ192" s="8"/>
      <c r="DK192" s="8"/>
      <c r="DL192" s="8"/>
      <c r="DM192" s="8"/>
      <c r="DN192" s="8"/>
    </row>
    <row r="193" spans="2:118" ht="15.75" customHeight="1">
      <c r="B193" s="8"/>
      <c r="CU193" s="8"/>
      <c r="CV193" s="8"/>
      <c r="CW193" s="8"/>
      <c r="CX193" s="8"/>
      <c r="CY193" s="8"/>
      <c r="CZ193" s="8"/>
      <c r="DA193" s="8"/>
      <c r="DB193" s="8"/>
      <c r="DC193" s="8"/>
      <c r="DD193" s="8"/>
      <c r="DE193" s="8"/>
      <c r="DF193" s="8"/>
      <c r="DG193" s="8"/>
      <c r="DH193" s="8"/>
      <c r="DI193" s="8"/>
      <c r="DJ193" s="8"/>
      <c r="DK193" s="8"/>
      <c r="DL193" s="8"/>
      <c r="DM193" s="8"/>
      <c r="DN193" s="8"/>
    </row>
    <row r="194" spans="2:118" ht="15.75" customHeight="1">
      <c r="B194" s="8"/>
      <c r="CU194" s="8"/>
      <c r="CV194" s="8"/>
      <c r="CW194" s="8"/>
      <c r="CX194" s="8"/>
      <c r="CY194" s="8"/>
      <c r="CZ194" s="8"/>
      <c r="DA194" s="8"/>
      <c r="DB194" s="8"/>
      <c r="DC194" s="8"/>
      <c r="DD194" s="8"/>
      <c r="DE194" s="8"/>
      <c r="DF194" s="8"/>
      <c r="DG194" s="8"/>
      <c r="DH194" s="8"/>
      <c r="DI194" s="8"/>
      <c r="DJ194" s="8"/>
      <c r="DK194" s="8"/>
      <c r="DL194" s="8"/>
      <c r="DM194" s="8"/>
      <c r="DN194" s="8"/>
    </row>
    <row r="195" spans="2:118" ht="15.75" customHeight="1">
      <c r="B195" s="8"/>
      <c r="CU195" s="8"/>
      <c r="CV195" s="8"/>
      <c r="CW195" s="8"/>
      <c r="CX195" s="8"/>
      <c r="CY195" s="8"/>
      <c r="CZ195" s="8"/>
      <c r="DA195" s="8"/>
      <c r="DB195" s="8"/>
      <c r="DC195" s="8"/>
      <c r="DD195" s="8"/>
      <c r="DE195" s="8"/>
      <c r="DF195" s="8"/>
      <c r="DG195" s="8"/>
      <c r="DH195" s="8"/>
      <c r="DI195" s="8"/>
      <c r="DJ195" s="8"/>
      <c r="DK195" s="8"/>
      <c r="DL195" s="8"/>
      <c r="DM195" s="8"/>
      <c r="DN195" s="8"/>
    </row>
    <row r="196" spans="2:118" ht="15.75" customHeight="1">
      <c r="B196" s="8"/>
      <c r="CU196" s="8"/>
      <c r="CV196" s="8"/>
      <c r="CW196" s="8"/>
      <c r="CX196" s="8"/>
      <c r="CY196" s="8"/>
      <c r="CZ196" s="8"/>
      <c r="DA196" s="8"/>
      <c r="DB196" s="8"/>
      <c r="DC196" s="8"/>
      <c r="DD196" s="8"/>
      <c r="DE196" s="8"/>
      <c r="DF196" s="8"/>
      <c r="DG196" s="8"/>
      <c r="DH196" s="8"/>
      <c r="DI196" s="8"/>
      <c r="DJ196" s="8"/>
      <c r="DK196" s="8"/>
      <c r="DL196" s="8"/>
      <c r="DM196" s="8"/>
      <c r="DN196" s="8"/>
    </row>
    <row r="197" spans="2:118" ht="15.75" customHeight="1">
      <c r="B197" s="8"/>
      <c r="CU197" s="8"/>
      <c r="CV197" s="8"/>
      <c r="CW197" s="8"/>
      <c r="CX197" s="8"/>
      <c r="CY197" s="8"/>
      <c r="CZ197" s="8"/>
      <c r="DA197" s="8"/>
      <c r="DB197" s="8"/>
      <c r="DC197" s="8"/>
      <c r="DD197" s="8"/>
      <c r="DE197" s="8"/>
      <c r="DF197" s="8"/>
      <c r="DG197" s="8"/>
      <c r="DH197" s="8"/>
      <c r="DI197" s="8"/>
      <c r="DJ197" s="8"/>
      <c r="DK197" s="8"/>
      <c r="DL197" s="8"/>
      <c r="DM197" s="8"/>
      <c r="DN197" s="8"/>
    </row>
    <row r="198" spans="2:118" ht="15.75" customHeight="1">
      <c r="B198" s="8"/>
      <c r="CU198" s="8"/>
      <c r="CV198" s="8"/>
      <c r="CW198" s="8"/>
      <c r="CX198" s="8"/>
      <c r="CY198" s="8"/>
      <c r="CZ198" s="8"/>
      <c r="DA198" s="8"/>
      <c r="DB198" s="8"/>
      <c r="DC198" s="8"/>
      <c r="DD198" s="8"/>
      <c r="DE198" s="8"/>
      <c r="DF198" s="8"/>
      <c r="DG198" s="8"/>
      <c r="DH198" s="8"/>
      <c r="DI198" s="8"/>
      <c r="DJ198" s="8"/>
      <c r="DK198" s="8"/>
      <c r="DL198" s="8"/>
      <c r="DM198" s="8"/>
      <c r="DN198" s="8"/>
    </row>
    <row r="199" spans="2:118" ht="15.75" customHeight="1">
      <c r="B199" s="8"/>
      <c r="CU199" s="8"/>
      <c r="CV199" s="8"/>
      <c r="CW199" s="8"/>
      <c r="CX199" s="8"/>
      <c r="CY199" s="8"/>
      <c r="CZ199" s="8"/>
      <c r="DA199" s="8"/>
      <c r="DB199" s="8"/>
      <c r="DC199" s="8"/>
      <c r="DD199" s="8"/>
      <c r="DE199" s="8"/>
      <c r="DF199" s="8"/>
      <c r="DG199" s="8"/>
      <c r="DH199" s="8"/>
      <c r="DI199" s="8"/>
      <c r="DJ199" s="8"/>
      <c r="DK199" s="8"/>
      <c r="DL199" s="8"/>
      <c r="DM199" s="8"/>
      <c r="DN199" s="8"/>
    </row>
    <row r="200" spans="2:118" ht="15.75" customHeight="1">
      <c r="B200" s="8"/>
      <c r="CU200" s="8"/>
      <c r="CV200" s="8"/>
      <c r="CW200" s="8"/>
      <c r="CX200" s="8"/>
      <c r="CY200" s="8"/>
      <c r="CZ200" s="8"/>
      <c r="DA200" s="8"/>
      <c r="DB200" s="8"/>
      <c r="DC200" s="8"/>
      <c r="DD200" s="8"/>
      <c r="DE200" s="8"/>
      <c r="DF200" s="8"/>
      <c r="DG200" s="8"/>
      <c r="DH200" s="8"/>
      <c r="DI200" s="8"/>
      <c r="DJ200" s="8"/>
      <c r="DK200" s="8"/>
      <c r="DL200" s="8"/>
      <c r="DM200" s="8"/>
      <c r="DN200" s="8"/>
    </row>
    <row r="201" spans="2:118" ht="15.75" customHeight="1">
      <c r="B201" s="8"/>
      <c r="CU201" s="8"/>
      <c r="CV201" s="8"/>
      <c r="CW201" s="8"/>
      <c r="CX201" s="8"/>
      <c r="CY201" s="8"/>
      <c r="CZ201" s="8"/>
      <c r="DA201" s="8"/>
      <c r="DB201" s="8"/>
      <c r="DC201" s="8"/>
      <c r="DD201" s="8"/>
      <c r="DE201" s="8"/>
      <c r="DF201" s="8"/>
      <c r="DG201" s="8"/>
      <c r="DH201" s="8"/>
      <c r="DI201" s="8"/>
      <c r="DJ201" s="8"/>
      <c r="DK201" s="8"/>
      <c r="DL201" s="8"/>
      <c r="DM201" s="8"/>
      <c r="DN201" s="8"/>
    </row>
    <row r="202" spans="2:118" ht="15.75" customHeight="1">
      <c r="B202" s="8"/>
      <c r="CU202" s="8"/>
      <c r="CV202" s="8"/>
      <c r="CW202" s="8"/>
      <c r="CX202" s="8"/>
      <c r="CY202" s="8"/>
      <c r="CZ202" s="8"/>
      <c r="DA202" s="8"/>
      <c r="DB202" s="8"/>
      <c r="DC202" s="8"/>
      <c r="DD202" s="8"/>
      <c r="DE202" s="8"/>
      <c r="DF202" s="8"/>
      <c r="DG202" s="8"/>
      <c r="DH202" s="8"/>
      <c r="DI202" s="8"/>
      <c r="DJ202" s="8"/>
      <c r="DK202" s="8"/>
      <c r="DL202" s="8"/>
      <c r="DM202" s="8"/>
      <c r="DN202" s="8"/>
    </row>
    <row r="203" spans="2:118" ht="15.75" customHeight="1">
      <c r="B203" s="8"/>
      <c r="CU203" s="8"/>
      <c r="CV203" s="8"/>
      <c r="CW203" s="8"/>
      <c r="CX203" s="8"/>
      <c r="CY203" s="8"/>
      <c r="CZ203" s="8"/>
      <c r="DA203" s="8"/>
      <c r="DB203" s="8"/>
      <c r="DC203" s="8"/>
      <c r="DD203" s="8"/>
      <c r="DE203" s="8"/>
      <c r="DF203" s="8"/>
      <c r="DG203" s="8"/>
      <c r="DH203" s="8"/>
      <c r="DI203" s="8"/>
      <c r="DJ203" s="8"/>
      <c r="DK203" s="8"/>
      <c r="DL203" s="8"/>
      <c r="DM203" s="8"/>
      <c r="DN203" s="8"/>
    </row>
    <row r="204" spans="2:118" ht="15.75" customHeight="1">
      <c r="B204" s="8"/>
      <c r="CU204" s="8"/>
      <c r="CV204" s="8"/>
      <c r="CW204" s="8"/>
      <c r="CX204" s="8"/>
      <c r="CY204" s="8"/>
      <c r="CZ204" s="8"/>
      <c r="DA204" s="8"/>
      <c r="DB204" s="8"/>
      <c r="DC204" s="8"/>
      <c r="DD204" s="8"/>
      <c r="DE204" s="8"/>
      <c r="DF204" s="8"/>
      <c r="DG204" s="8"/>
      <c r="DH204" s="8"/>
      <c r="DI204" s="8"/>
      <c r="DJ204" s="8"/>
      <c r="DK204" s="8"/>
      <c r="DL204" s="8"/>
      <c r="DM204" s="8"/>
      <c r="DN204" s="8"/>
    </row>
    <row r="205" spans="2:118" ht="15.75" customHeight="1">
      <c r="B205" s="8"/>
      <c r="CU205" s="8"/>
      <c r="CV205" s="8"/>
      <c r="CW205" s="8"/>
      <c r="CX205" s="8"/>
      <c r="CY205" s="8"/>
      <c r="CZ205" s="8"/>
      <c r="DA205" s="8"/>
      <c r="DB205" s="8"/>
      <c r="DC205" s="8"/>
      <c r="DD205" s="8"/>
      <c r="DE205" s="8"/>
      <c r="DF205" s="8"/>
      <c r="DG205" s="8"/>
      <c r="DH205" s="8"/>
      <c r="DI205" s="8"/>
      <c r="DJ205" s="8"/>
      <c r="DK205" s="8"/>
      <c r="DL205" s="8"/>
      <c r="DM205" s="8"/>
      <c r="DN205" s="8"/>
    </row>
    <row r="206" spans="2:118" ht="15.75" customHeight="1">
      <c r="B206" s="8"/>
      <c r="CU206" s="8"/>
      <c r="CV206" s="8"/>
      <c r="CW206" s="8"/>
      <c r="CX206" s="8"/>
      <c r="CY206" s="8"/>
      <c r="CZ206" s="8"/>
      <c r="DA206" s="8"/>
      <c r="DB206" s="8"/>
      <c r="DC206" s="8"/>
      <c r="DD206" s="8"/>
      <c r="DE206" s="8"/>
      <c r="DF206" s="8"/>
      <c r="DG206" s="8"/>
      <c r="DH206" s="8"/>
      <c r="DI206" s="8"/>
      <c r="DJ206" s="8"/>
      <c r="DK206" s="8"/>
      <c r="DL206" s="8"/>
      <c r="DM206" s="8"/>
      <c r="DN206" s="8"/>
    </row>
    <row r="207" spans="2:118" ht="15.75" customHeight="1">
      <c r="B207" s="8"/>
      <c r="CU207" s="8"/>
      <c r="CV207" s="8"/>
      <c r="CW207" s="8"/>
      <c r="CX207" s="8"/>
      <c r="CY207" s="8"/>
      <c r="CZ207" s="8"/>
      <c r="DA207" s="8"/>
      <c r="DB207" s="8"/>
      <c r="DC207" s="8"/>
      <c r="DD207" s="8"/>
      <c r="DE207" s="8"/>
      <c r="DF207" s="8"/>
      <c r="DG207" s="8"/>
      <c r="DH207" s="8"/>
      <c r="DI207" s="8"/>
      <c r="DJ207" s="8"/>
      <c r="DK207" s="8"/>
      <c r="DL207" s="8"/>
      <c r="DM207" s="8"/>
      <c r="DN207" s="8"/>
    </row>
    <row r="208" spans="2:118" ht="15.75" customHeight="1">
      <c r="B208" s="8"/>
      <c r="CU208" s="8"/>
      <c r="CV208" s="8"/>
      <c r="CW208" s="8"/>
      <c r="CX208" s="8"/>
      <c r="CY208" s="8"/>
      <c r="CZ208" s="8"/>
      <c r="DA208" s="8"/>
      <c r="DB208" s="8"/>
      <c r="DC208" s="8"/>
      <c r="DD208" s="8"/>
      <c r="DE208" s="8"/>
      <c r="DF208" s="8"/>
      <c r="DG208" s="8"/>
      <c r="DH208" s="8"/>
      <c r="DI208" s="8"/>
      <c r="DJ208" s="8"/>
      <c r="DK208" s="8"/>
      <c r="DL208" s="8"/>
      <c r="DM208" s="8"/>
      <c r="DN208" s="8"/>
    </row>
    <row r="209" spans="2:118" ht="15.75" customHeight="1">
      <c r="B209" s="8"/>
      <c r="CU209" s="8"/>
      <c r="CV209" s="8"/>
      <c r="CW209" s="8"/>
      <c r="CX209" s="8"/>
      <c r="CY209" s="8"/>
      <c r="CZ209" s="8"/>
      <c r="DA209" s="8"/>
      <c r="DB209" s="8"/>
      <c r="DC209" s="8"/>
      <c r="DD209" s="8"/>
      <c r="DE209" s="8"/>
      <c r="DF209" s="8"/>
      <c r="DG209" s="8"/>
      <c r="DH209" s="8"/>
      <c r="DI209" s="8"/>
      <c r="DJ209" s="8"/>
      <c r="DK209" s="8"/>
      <c r="DL209" s="8"/>
      <c r="DM209" s="8"/>
      <c r="DN209" s="8"/>
    </row>
    <row r="210" spans="2:118" ht="15.75" customHeight="1">
      <c r="B210" s="8"/>
      <c r="CU210" s="8"/>
      <c r="CV210" s="8"/>
      <c r="CW210" s="8"/>
      <c r="CX210" s="8"/>
      <c r="CY210" s="8"/>
      <c r="CZ210" s="8"/>
      <c r="DA210" s="8"/>
      <c r="DB210" s="8"/>
      <c r="DC210" s="8"/>
      <c r="DD210" s="8"/>
      <c r="DE210" s="8"/>
      <c r="DF210" s="8"/>
      <c r="DG210" s="8"/>
      <c r="DH210" s="8"/>
      <c r="DI210" s="8"/>
      <c r="DJ210" s="8"/>
      <c r="DK210" s="8"/>
      <c r="DL210" s="8"/>
      <c r="DM210" s="8"/>
      <c r="DN210" s="8"/>
    </row>
    <row r="211" spans="2:118" ht="15.75" customHeight="1">
      <c r="B211" s="8"/>
      <c r="CU211" s="8"/>
      <c r="CV211" s="8"/>
      <c r="CW211" s="8"/>
      <c r="CX211" s="8"/>
      <c r="CY211" s="8"/>
      <c r="CZ211" s="8"/>
      <c r="DA211" s="8"/>
      <c r="DB211" s="8"/>
      <c r="DC211" s="8"/>
      <c r="DD211" s="8"/>
      <c r="DE211" s="8"/>
      <c r="DF211" s="8"/>
      <c r="DG211" s="8"/>
      <c r="DH211" s="8"/>
      <c r="DI211" s="8"/>
      <c r="DJ211" s="8"/>
      <c r="DK211" s="8"/>
      <c r="DL211" s="8"/>
      <c r="DM211" s="8"/>
      <c r="DN211" s="8"/>
    </row>
    <row r="212" spans="2:118" ht="15.75" customHeight="1">
      <c r="B212" s="8"/>
      <c r="CU212" s="8"/>
      <c r="CV212" s="8"/>
      <c r="CW212" s="8"/>
      <c r="CX212" s="8"/>
      <c r="CY212" s="8"/>
      <c r="CZ212" s="8"/>
      <c r="DA212" s="8"/>
      <c r="DB212" s="8"/>
      <c r="DC212" s="8"/>
      <c r="DD212" s="8"/>
      <c r="DE212" s="8"/>
      <c r="DF212" s="8"/>
      <c r="DG212" s="8"/>
      <c r="DH212" s="8"/>
      <c r="DI212" s="8"/>
      <c r="DJ212" s="8"/>
      <c r="DK212" s="8"/>
      <c r="DL212" s="8"/>
      <c r="DM212" s="8"/>
      <c r="DN212" s="8"/>
    </row>
    <row r="213" spans="2:118" ht="15.75" customHeight="1">
      <c r="B213" s="8"/>
      <c r="CU213" s="8"/>
      <c r="CV213" s="8"/>
      <c r="CW213" s="8"/>
      <c r="CX213" s="8"/>
      <c r="CY213" s="8"/>
      <c r="CZ213" s="8"/>
      <c r="DA213" s="8"/>
      <c r="DB213" s="8"/>
      <c r="DC213" s="8"/>
      <c r="DD213" s="8"/>
      <c r="DE213" s="8"/>
      <c r="DF213" s="8"/>
      <c r="DG213" s="8"/>
      <c r="DH213" s="8"/>
      <c r="DI213" s="8"/>
      <c r="DJ213" s="8"/>
      <c r="DK213" s="8"/>
      <c r="DL213" s="8"/>
      <c r="DM213" s="8"/>
      <c r="DN213" s="8"/>
    </row>
    <row r="214" spans="2:118" ht="15.75" customHeight="1">
      <c r="B214" s="8"/>
      <c r="CU214" s="8"/>
      <c r="CV214" s="8"/>
      <c r="CW214" s="8"/>
      <c r="CX214" s="8"/>
      <c r="CY214" s="8"/>
      <c r="CZ214" s="8"/>
      <c r="DA214" s="8"/>
      <c r="DB214" s="8"/>
      <c r="DC214" s="8"/>
      <c r="DD214" s="8"/>
      <c r="DE214" s="8"/>
      <c r="DF214" s="8"/>
      <c r="DG214" s="8"/>
      <c r="DH214" s="8"/>
      <c r="DI214" s="8"/>
      <c r="DJ214" s="8"/>
      <c r="DK214" s="8"/>
      <c r="DL214" s="8"/>
      <c r="DM214" s="8"/>
      <c r="DN214" s="8"/>
    </row>
    <row r="215" spans="2:118" ht="15.75" customHeight="1">
      <c r="B215" s="8"/>
      <c r="CU215" s="8"/>
      <c r="CV215" s="8"/>
      <c r="CW215" s="8"/>
      <c r="CX215" s="8"/>
      <c r="CY215" s="8"/>
      <c r="CZ215" s="8"/>
      <c r="DA215" s="8"/>
      <c r="DB215" s="8"/>
      <c r="DC215" s="8"/>
      <c r="DD215" s="8"/>
      <c r="DE215" s="8"/>
      <c r="DF215" s="8"/>
      <c r="DG215" s="8"/>
      <c r="DH215" s="8"/>
      <c r="DI215" s="8"/>
      <c r="DJ215" s="8"/>
      <c r="DK215" s="8"/>
      <c r="DL215" s="8"/>
      <c r="DM215" s="8"/>
      <c r="DN215" s="8"/>
    </row>
    <row r="216" spans="2:118" ht="15.75" customHeight="1">
      <c r="B216" s="8"/>
      <c r="CU216" s="8"/>
      <c r="CV216" s="8"/>
      <c r="CW216" s="8"/>
      <c r="CX216" s="8"/>
      <c r="CY216" s="8"/>
      <c r="CZ216" s="8"/>
      <c r="DA216" s="8"/>
      <c r="DB216" s="8"/>
      <c r="DC216" s="8"/>
      <c r="DD216" s="8"/>
      <c r="DE216" s="8"/>
      <c r="DF216" s="8"/>
      <c r="DG216" s="8"/>
      <c r="DH216" s="8"/>
      <c r="DI216" s="8"/>
      <c r="DJ216" s="8"/>
      <c r="DK216" s="8"/>
      <c r="DL216" s="8"/>
      <c r="DM216" s="8"/>
      <c r="DN216" s="8"/>
    </row>
    <row r="217" spans="2:118" ht="15.75" customHeight="1">
      <c r="B217" s="8"/>
      <c r="CU217" s="8"/>
      <c r="CV217" s="8"/>
      <c r="CW217" s="8"/>
      <c r="CX217" s="8"/>
      <c r="CY217" s="8"/>
      <c r="CZ217" s="8"/>
      <c r="DA217" s="8"/>
      <c r="DB217" s="8"/>
      <c r="DC217" s="8"/>
      <c r="DD217" s="8"/>
      <c r="DE217" s="8"/>
      <c r="DF217" s="8"/>
      <c r="DG217" s="8"/>
      <c r="DH217" s="8"/>
      <c r="DI217" s="8"/>
      <c r="DJ217" s="8"/>
      <c r="DK217" s="8"/>
      <c r="DL217" s="8"/>
      <c r="DM217" s="8"/>
      <c r="DN217" s="8"/>
    </row>
    <row r="218" spans="2:118" ht="15.75" customHeight="1">
      <c r="B218" s="8"/>
      <c r="CU218" s="8"/>
      <c r="CV218" s="8"/>
      <c r="CW218" s="8"/>
      <c r="CX218" s="8"/>
      <c r="CY218" s="8"/>
      <c r="CZ218" s="8"/>
      <c r="DA218" s="8"/>
      <c r="DB218" s="8"/>
      <c r="DC218" s="8"/>
      <c r="DD218" s="8"/>
      <c r="DE218" s="8"/>
      <c r="DF218" s="8"/>
      <c r="DG218" s="8"/>
      <c r="DH218" s="8"/>
      <c r="DI218" s="8"/>
      <c r="DJ218" s="8"/>
      <c r="DK218" s="8"/>
      <c r="DL218" s="8"/>
      <c r="DM218" s="8"/>
      <c r="DN218" s="8"/>
    </row>
    <row r="219" spans="2:118" ht="15.75" customHeight="1">
      <c r="B219" s="8"/>
      <c r="CU219" s="8"/>
      <c r="CV219" s="8"/>
      <c r="CW219" s="8"/>
      <c r="CX219" s="8"/>
      <c r="CY219" s="8"/>
      <c r="CZ219" s="8"/>
      <c r="DA219" s="8"/>
      <c r="DB219" s="8"/>
      <c r="DC219" s="8"/>
      <c r="DD219" s="8"/>
      <c r="DE219" s="8"/>
      <c r="DF219" s="8"/>
      <c r="DG219" s="8"/>
      <c r="DH219" s="8"/>
      <c r="DI219" s="8"/>
      <c r="DJ219" s="8"/>
      <c r="DK219" s="8"/>
      <c r="DL219" s="8"/>
      <c r="DM219" s="8"/>
      <c r="DN219" s="8"/>
    </row>
    <row r="220" spans="2:118" ht="15.75" customHeight="1">
      <c r="B220" s="8"/>
      <c r="CU220" s="8"/>
      <c r="CV220" s="8"/>
      <c r="CW220" s="8"/>
      <c r="CX220" s="8"/>
      <c r="CY220" s="8"/>
      <c r="CZ220" s="8"/>
      <c r="DA220" s="8"/>
      <c r="DB220" s="8"/>
      <c r="DC220" s="8"/>
      <c r="DD220" s="8"/>
      <c r="DE220" s="8"/>
      <c r="DF220" s="8"/>
      <c r="DG220" s="8"/>
      <c r="DH220" s="8"/>
      <c r="DI220" s="8"/>
      <c r="DJ220" s="8"/>
      <c r="DK220" s="8"/>
      <c r="DL220" s="8"/>
      <c r="DM220" s="8"/>
      <c r="DN220" s="8"/>
    </row>
    <row r="221" spans="2:118" ht="15.75" customHeight="1">
      <c r="B221" s="8"/>
      <c r="CU221" s="8"/>
      <c r="CV221" s="8"/>
      <c r="CW221" s="8"/>
      <c r="CX221" s="8"/>
      <c r="CY221" s="8"/>
      <c r="CZ221" s="8"/>
      <c r="DA221" s="8"/>
      <c r="DB221" s="8"/>
      <c r="DC221" s="8"/>
      <c r="DD221" s="8"/>
      <c r="DE221" s="8"/>
      <c r="DF221" s="8"/>
      <c r="DG221" s="8"/>
      <c r="DH221" s="8"/>
      <c r="DI221" s="8"/>
      <c r="DJ221" s="8"/>
      <c r="DK221" s="8"/>
      <c r="DL221" s="8"/>
      <c r="DM221" s="8"/>
      <c r="DN221" s="8"/>
    </row>
    <row r="222" spans="2:118" ht="15.75" customHeight="1">
      <c r="B222" s="8"/>
      <c r="CU222" s="8"/>
      <c r="CV222" s="8"/>
      <c r="CW222" s="8"/>
      <c r="CX222" s="8"/>
      <c r="CY222" s="8"/>
      <c r="CZ222" s="8"/>
      <c r="DA222" s="8"/>
      <c r="DB222" s="8"/>
      <c r="DC222" s="8"/>
      <c r="DD222" s="8"/>
      <c r="DE222" s="8"/>
      <c r="DF222" s="8"/>
      <c r="DG222" s="8"/>
      <c r="DH222" s="8"/>
      <c r="DI222" s="8"/>
      <c r="DJ222" s="8"/>
      <c r="DK222" s="8"/>
      <c r="DL222" s="8"/>
      <c r="DM222" s="8"/>
      <c r="DN222" s="8"/>
    </row>
    <row r="223" spans="2:118" ht="15.75" customHeight="1">
      <c r="B223" s="8"/>
      <c r="CU223" s="8"/>
      <c r="CV223" s="8"/>
      <c r="CW223" s="8"/>
      <c r="CX223" s="8"/>
      <c r="CY223" s="8"/>
      <c r="CZ223" s="8"/>
      <c r="DA223" s="8"/>
      <c r="DB223" s="8"/>
      <c r="DC223" s="8"/>
      <c r="DD223" s="8"/>
      <c r="DE223" s="8"/>
      <c r="DF223" s="8"/>
      <c r="DG223" s="8"/>
      <c r="DH223" s="8"/>
      <c r="DI223" s="8"/>
      <c r="DJ223" s="8"/>
      <c r="DK223" s="8"/>
      <c r="DL223" s="8"/>
      <c r="DM223" s="8"/>
      <c r="DN223" s="8"/>
    </row>
    <row r="224" spans="2:118" ht="15.75" customHeight="1">
      <c r="B224" s="8"/>
      <c r="CU224" s="8"/>
      <c r="CV224" s="8"/>
      <c r="CW224" s="8"/>
      <c r="CX224" s="8"/>
      <c r="CY224" s="8"/>
      <c r="CZ224" s="8"/>
      <c r="DA224" s="8"/>
      <c r="DB224" s="8"/>
      <c r="DC224" s="8"/>
      <c r="DD224" s="8"/>
      <c r="DE224" s="8"/>
      <c r="DF224" s="8"/>
      <c r="DG224" s="8"/>
      <c r="DH224" s="8"/>
      <c r="DI224" s="8"/>
      <c r="DJ224" s="8"/>
      <c r="DK224" s="8"/>
      <c r="DL224" s="8"/>
      <c r="DM224" s="8"/>
      <c r="DN224" s="8"/>
    </row>
    <row r="225" spans="2:118" ht="15.75" customHeight="1">
      <c r="B225" s="8"/>
      <c r="CU225" s="8"/>
      <c r="CV225" s="8"/>
      <c r="CW225" s="8"/>
      <c r="CX225" s="8"/>
      <c r="CY225" s="8"/>
      <c r="CZ225" s="8"/>
      <c r="DA225" s="8"/>
      <c r="DB225" s="8"/>
      <c r="DC225" s="8"/>
      <c r="DD225" s="8"/>
      <c r="DE225" s="8"/>
      <c r="DF225" s="8"/>
      <c r="DG225" s="8"/>
      <c r="DH225" s="8"/>
      <c r="DI225" s="8"/>
      <c r="DJ225" s="8"/>
      <c r="DK225" s="8"/>
      <c r="DL225" s="8"/>
      <c r="DM225" s="8"/>
      <c r="DN225" s="8"/>
    </row>
    <row r="226" spans="2:118" ht="15.75" customHeight="1">
      <c r="B226" s="8"/>
      <c r="CU226" s="8"/>
      <c r="CV226" s="8"/>
      <c r="CW226" s="8"/>
      <c r="CX226" s="8"/>
      <c r="CY226" s="8"/>
      <c r="CZ226" s="8"/>
      <c r="DA226" s="8"/>
      <c r="DB226" s="8"/>
      <c r="DC226" s="8"/>
      <c r="DD226" s="8"/>
      <c r="DE226" s="8"/>
      <c r="DF226" s="8"/>
      <c r="DG226" s="8"/>
      <c r="DH226" s="8"/>
      <c r="DI226" s="8"/>
      <c r="DJ226" s="8"/>
      <c r="DK226" s="8"/>
      <c r="DL226" s="8"/>
      <c r="DM226" s="8"/>
      <c r="DN226" s="8"/>
    </row>
    <row r="227" spans="2:118" ht="15.75" customHeight="1">
      <c r="B227" s="8"/>
      <c r="CU227" s="8"/>
      <c r="CV227" s="8"/>
      <c r="CW227" s="8"/>
      <c r="CX227" s="8"/>
      <c r="CY227" s="8"/>
      <c r="CZ227" s="8"/>
      <c r="DA227" s="8"/>
      <c r="DB227" s="8"/>
      <c r="DC227" s="8"/>
      <c r="DD227" s="8"/>
      <c r="DE227" s="8"/>
      <c r="DF227" s="8"/>
      <c r="DG227" s="8"/>
      <c r="DH227" s="8"/>
      <c r="DI227" s="8"/>
      <c r="DJ227" s="8"/>
      <c r="DK227" s="8"/>
      <c r="DL227" s="8"/>
      <c r="DM227" s="8"/>
      <c r="DN227" s="8"/>
    </row>
    <row r="228" spans="2:118" ht="15.75" customHeight="1">
      <c r="B228" s="8"/>
      <c r="CU228" s="8"/>
      <c r="CV228" s="8"/>
      <c r="CW228" s="8"/>
      <c r="CX228" s="8"/>
      <c r="CY228" s="8"/>
      <c r="CZ228" s="8"/>
      <c r="DA228" s="8"/>
      <c r="DB228" s="8"/>
      <c r="DC228" s="8"/>
      <c r="DD228" s="8"/>
      <c r="DE228" s="8"/>
      <c r="DF228" s="8"/>
      <c r="DG228" s="8"/>
      <c r="DH228" s="8"/>
      <c r="DI228" s="8"/>
      <c r="DJ228" s="8"/>
      <c r="DK228" s="8"/>
      <c r="DL228" s="8"/>
      <c r="DM228" s="8"/>
      <c r="DN228" s="8"/>
    </row>
    <row r="229" spans="2:118" ht="15.75" customHeight="1">
      <c r="B229" s="8"/>
      <c r="CU229" s="8"/>
      <c r="CV229" s="8"/>
      <c r="CW229" s="8"/>
      <c r="CX229" s="8"/>
      <c r="CY229" s="8"/>
      <c r="CZ229" s="8"/>
      <c r="DA229" s="8"/>
      <c r="DB229" s="8"/>
      <c r="DC229" s="8"/>
      <c r="DD229" s="8"/>
      <c r="DE229" s="8"/>
      <c r="DF229" s="8"/>
      <c r="DG229" s="8"/>
      <c r="DH229" s="8"/>
      <c r="DI229" s="8"/>
      <c r="DJ229" s="8"/>
      <c r="DK229" s="8"/>
      <c r="DL229" s="8"/>
      <c r="DM229" s="8"/>
      <c r="DN229" s="8"/>
    </row>
    <row r="230" spans="2:118" ht="15.75" customHeight="1">
      <c r="B230" s="8"/>
      <c r="CU230" s="8"/>
      <c r="CV230" s="8"/>
      <c r="CW230" s="8"/>
      <c r="CX230" s="8"/>
      <c r="CY230" s="8"/>
      <c r="CZ230" s="8"/>
      <c r="DA230" s="8"/>
      <c r="DB230" s="8"/>
      <c r="DC230" s="8"/>
      <c r="DD230" s="8"/>
      <c r="DE230" s="8"/>
      <c r="DF230" s="8"/>
      <c r="DG230" s="8"/>
      <c r="DH230" s="8"/>
      <c r="DI230" s="8"/>
      <c r="DJ230" s="8"/>
      <c r="DK230" s="8"/>
      <c r="DL230" s="8"/>
      <c r="DM230" s="8"/>
      <c r="DN230" s="8"/>
    </row>
    <row r="231" spans="2:118" ht="15.75" customHeight="1">
      <c r="B231" s="8"/>
      <c r="CU231" s="8"/>
      <c r="CV231" s="8"/>
      <c r="CW231" s="8"/>
      <c r="CX231" s="8"/>
      <c r="CY231" s="8"/>
      <c r="CZ231" s="8"/>
      <c r="DA231" s="8"/>
      <c r="DB231" s="8"/>
      <c r="DC231" s="8"/>
      <c r="DD231" s="8"/>
      <c r="DE231" s="8"/>
      <c r="DF231" s="8"/>
      <c r="DG231" s="8"/>
      <c r="DH231" s="8"/>
      <c r="DI231" s="8"/>
      <c r="DJ231" s="8"/>
      <c r="DK231" s="8"/>
      <c r="DL231" s="8"/>
      <c r="DM231" s="8"/>
      <c r="DN231" s="8"/>
    </row>
    <row r="232" spans="2:118" ht="15.75" customHeight="1">
      <c r="B232" s="8"/>
      <c r="CU232" s="8"/>
      <c r="CV232" s="8"/>
      <c r="CW232" s="8"/>
      <c r="CX232" s="8"/>
      <c r="CY232" s="8"/>
      <c r="CZ232" s="8"/>
      <c r="DA232" s="8"/>
      <c r="DB232" s="8"/>
      <c r="DC232" s="8"/>
      <c r="DD232" s="8"/>
      <c r="DE232" s="8"/>
      <c r="DF232" s="8"/>
      <c r="DG232" s="8"/>
      <c r="DH232" s="8"/>
      <c r="DI232" s="8"/>
      <c r="DJ232" s="8"/>
      <c r="DK232" s="8"/>
      <c r="DL232" s="8"/>
      <c r="DM232" s="8"/>
      <c r="DN232" s="8"/>
    </row>
    <row r="233" spans="2:118" ht="15.75" customHeight="1">
      <c r="B233" s="8"/>
      <c r="CU233" s="8"/>
      <c r="CV233" s="8"/>
      <c r="CW233" s="8"/>
      <c r="CX233" s="8"/>
      <c r="CY233" s="8"/>
      <c r="CZ233" s="8"/>
      <c r="DA233" s="8"/>
      <c r="DB233" s="8"/>
      <c r="DC233" s="8"/>
      <c r="DD233" s="8"/>
      <c r="DE233" s="8"/>
      <c r="DF233" s="8"/>
      <c r="DG233" s="8"/>
      <c r="DH233" s="8"/>
      <c r="DI233" s="8"/>
      <c r="DJ233" s="8"/>
      <c r="DK233" s="8"/>
      <c r="DL233" s="8"/>
      <c r="DM233" s="8"/>
      <c r="DN233" s="8"/>
    </row>
    <row r="234" spans="2:118" ht="15.75" customHeight="1">
      <c r="B234" s="8"/>
      <c r="CU234" s="8"/>
      <c r="CV234" s="8"/>
      <c r="CW234" s="8"/>
      <c r="CX234" s="8"/>
      <c r="CY234" s="8"/>
      <c r="CZ234" s="8"/>
      <c r="DA234" s="8"/>
      <c r="DB234" s="8"/>
      <c r="DC234" s="8"/>
      <c r="DD234" s="8"/>
      <c r="DE234" s="8"/>
      <c r="DF234" s="8"/>
      <c r="DG234" s="8"/>
      <c r="DH234" s="8"/>
      <c r="DI234" s="8"/>
      <c r="DJ234" s="8"/>
      <c r="DK234" s="8"/>
      <c r="DL234" s="8"/>
      <c r="DM234" s="8"/>
      <c r="DN234" s="8"/>
    </row>
    <row r="235" spans="2:118" ht="15.75" customHeight="1">
      <c r="B235" s="8"/>
      <c r="CU235" s="8"/>
      <c r="CV235" s="8"/>
      <c r="CW235" s="8"/>
      <c r="CX235" s="8"/>
      <c r="CY235" s="8"/>
      <c r="CZ235" s="8"/>
      <c r="DA235" s="8"/>
      <c r="DB235" s="8"/>
      <c r="DC235" s="8"/>
      <c r="DD235" s="8"/>
      <c r="DE235" s="8"/>
      <c r="DF235" s="8"/>
      <c r="DG235" s="8"/>
      <c r="DH235" s="8"/>
      <c r="DI235" s="8"/>
      <c r="DJ235" s="8"/>
      <c r="DK235" s="8"/>
      <c r="DL235" s="8"/>
      <c r="DM235" s="8"/>
      <c r="DN235" s="8"/>
    </row>
    <row r="236" spans="2:118" ht="15.75" customHeight="1">
      <c r="B236" s="8"/>
      <c r="CU236" s="8"/>
      <c r="CV236" s="8"/>
      <c r="CW236" s="8"/>
      <c r="CX236" s="8"/>
      <c r="CY236" s="8"/>
      <c r="CZ236" s="8"/>
      <c r="DA236" s="8"/>
      <c r="DB236" s="8"/>
      <c r="DC236" s="8"/>
      <c r="DD236" s="8"/>
      <c r="DE236" s="8"/>
      <c r="DF236" s="8"/>
      <c r="DG236" s="8"/>
      <c r="DH236" s="8"/>
      <c r="DI236" s="8"/>
      <c r="DJ236" s="8"/>
      <c r="DK236" s="8"/>
      <c r="DL236" s="8"/>
      <c r="DM236" s="8"/>
      <c r="DN236" s="8"/>
    </row>
    <row r="237" spans="2:118" ht="15.75" customHeight="1">
      <c r="B237" s="8"/>
      <c r="CU237" s="8"/>
      <c r="CV237" s="8"/>
      <c r="CW237" s="8"/>
      <c r="CX237" s="8"/>
      <c r="CY237" s="8"/>
      <c r="CZ237" s="8"/>
      <c r="DA237" s="8"/>
      <c r="DB237" s="8"/>
      <c r="DC237" s="8"/>
      <c r="DD237" s="8"/>
      <c r="DE237" s="8"/>
      <c r="DF237" s="8"/>
      <c r="DG237" s="8"/>
      <c r="DH237" s="8"/>
      <c r="DI237" s="8"/>
      <c r="DJ237" s="8"/>
      <c r="DK237" s="8"/>
      <c r="DL237" s="8"/>
      <c r="DM237" s="8"/>
      <c r="DN237" s="8"/>
    </row>
    <row r="238" spans="2:118" ht="15.75" customHeight="1">
      <c r="B238" s="8"/>
      <c r="CU238" s="8"/>
      <c r="CV238" s="8"/>
      <c r="CW238" s="8"/>
      <c r="CX238" s="8"/>
      <c r="CY238" s="8"/>
      <c r="CZ238" s="8"/>
      <c r="DA238" s="8"/>
      <c r="DB238" s="8"/>
      <c r="DC238" s="8"/>
      <c r="DD238" s="8"/>
      <c r="DE238" s="8"/>
      <c r="DF238" s="8"/>
      <c r="DG238" s="8"/>
      <c r="DH238" s="8"/>
      <c r="DI238" s="8"/>
      <c r="DJ238" s="8"/>
      <c r="DK238" s="8"/>
      <c r="DL238" s="8"/>
      <c r="DM238" s="8"/>
      <c r="DN238" s="8"/>
    </row>
    <row r="239" spans="2:118" ht="15.75" customHeight="1">
      <c r="B239" s="8"/>
      <c r="CU239" s="8"/>
      <c r="CV239" s="8"/>
      <c r="CW239" s="8"/>
      <c r="CX239" s="8"/>
      <c r="CY239" s="8"/>
      <c r="CZ239" s="8"/>
      <c r="DA239" s="8"/>
      <c r="DB239" s="8"/>
      <c r="DC239" s="8"/>
      <c r="DD239" s="8"/>
      <c r="DE239" s="8"/>
      <c r="DF239" s="8"/>
      <c r="DG239" s="8"/>
      <c r="DH239" s="8"/>
      <c r="DI239" s="8"/>
      <c r="DJ239" s="8"/>
      <c r="DK239" s="8"/>
      <c r="DL239" s="8"/>
      <c r="DM239" s="8"/>
      <c r="DN239" s="8"/>
    </row>
    <row r="240" spans="2:118" ht="15.75" customHeight="1">
      <c r="B240" s="8"/>
      <c r="CU240" s="8"/>
      <c r="CV240" s="8"/>
      <c r="CW240" s="8"/>
      <c r="CX240" s="8"/>
      <c r="CY240" s="8"/>
      <c r="CZ240" s="8"/>
      <c r="DA240" s="8"/>
      <c r="DB240" s="8"/>
      <c r="DC240" s="8"/>
      <c r="DD240" s="8"/>
      <c r="DE240" s="8"/>
      <c r="DF240" s="8"/>
      <c r="DG240" s="8"/>
      <c r="DH240" s="8"/>
      <c r="DI240" s="8"/>
      <c r="DJ240" s="8"/>
      <c r="DK240" s="8"/>
      <c r="DL240" s="8"/>
      <c r="DM240" s="8"/>
      <c r="DN240" s="8"/>
    </row>
    <row r="241" spans="2:118" ht="15.75" customHeight="1">
      <c r="B241" s="8"/>
      <c r="CU241" s="8"/>
      <c r="CV241" s="8"/>
      <c r="CW241" s="8"/>
      <c r="CX241" s="8"/>
      <c r="CY241" s="8"/>
      <c r="CZ241" s="8"/>
      <c r="DA241" s="8"/>
      <c r="DB241" s="8"/>
      <c r="DC241" s="8"/>
      <c r="DD241" s="8"/>
      <c r="DE241" s="8"/>
      <c r="DF241" s="8"/>
      <c r="DG241" s="8"/>
      <c r="DH241" s="8"/>
      <c r="DI241" s="8"/>
      <c r="DJ241" s="8"/>
      <c r="DK241" s="8"/>
      <c r="DL241" s="8"/>
      <c r="DM241" s="8"/>
      <c r="DN241" s="8"/>
    </row>
    <row r="242" spans="2:118" ht="15.75" customHeight="1">
      <c r="B242" s="8"/>
      <c r="CU242" s="8"/>
      <c r="CV242" s="8"/>
      <c r="CW242" s="8"/>
      <c r="CX242" s="8"/>
      <c r="CY242" s="8"/>
      <c r="CZ242" s="8"/>
      <c r="DA242" s="8"/>
      <c r="DB242" s="8"/>
      <c r="DC242" s="8"/>
      <c r="DD242" s="8"/>
      <c r="DE242" s="8"/>
      <c r="DF242" s="8"/>
      <c r="DG242" s="8"/>
      <c r="DH242" s="8"/>
      <c r="DI242" s="8"/>
      <c r="DJ242" s="8"/>
      <c r="DK242" s="8"/>
      <c r="DL242" s="8"/>
      <c r="DM242" s="8"/>
      <c r="DN242" s="8"/>
    </row>
    <row r="243" spans="2:118" ht="15.75" customHeight="1">
      <c r="B243" s="8"/>
      <c r="CU243" s="8"/>
      <c r="CV243" s="8"/>
      <c r="CW243" s="8"/>
      <c r="CX243" s="8"/>
      <c r="CY243" s="8"/>
      <c r="CZ243" s="8"/>
      <c r="DA243" s="8"/>
      <c r="DB243" s="8"/>
      <c r="DC243" s="8"/>
      <c r="DD243" s="8"/>
      <c r="DE243" s="8"/>
      <c r="DF243" s="8"/>
      <c r="DG243" s="8"/>
      <c r="DH243" s="8"/>
      <c r="DI243" s="8"/>
      <c r="DJ243" s="8"/>
      <c r="DK243" s="8"/>
      <c r="DL243" s="8"/>
      <c r="DM243" s="8"/>
      <c r="DN243" s="8"/>
    </row>
    <row r="244" spans="2:118" ht="15.75" customHeight="1">
      <c r="B244" s="8"/>
      <c r="CU244" s="8"/>
      <c r="CV244" s="8"/>
      <c r="CW244" s="8"/>
      <c r="CX244" s="8"/>
      <c r="CY244" s="8"/>
      <c r="CZ244" s="8"/>
      <c r="DA244" s="8"/>
      <c r="DB244" s="8"/>
      <c r="DC244" s="8"/>
      <c r="DD244" s="8"/>
      <c r="DE244" s="8"/>
      <c r="DF244" s="8"/>
      <c r="DG244" s="8"/>
      <c r="DH244" s="8"/>
      <c r="DI244" s="8"/>
      <c r="DJ244" s="8"/>
      <c r="DK244" s="8"/>
      <c r="DL244" s="8"/>
      <c r="DM244" s="8"/>
      <c r="DN244" s="8"/>
    </row>
    <row r="245" spans="2:118" ht="15.75" customHeight="1">
      <c r="B245" s="8"/>
      <c r="CU245" s="8"/>
      <c r="CV245" s="8"/>
      <c r="CW245" s="8"/>
      <c r="CX245" s="8"/>
      <c r="CY245" s="8"/>
      <c r="CZ245" s="8"/>
      <c r="DA245" s="8"/>
      <c r="DB245" s="8"/>
      <c r="DC245" s="8"/>
      <c r="DD245" s="8"/>
      <c r="DE245" s="8"/>
      <c r="DF245" s="8"/>
      <c r="DG245" s="8"/>
      <c r="DH245" s="8"/>
      <c r="DI245" s="8"/>
      <c r="DJ245" s="8"/>
      <c r="DK245" s="8"/>
      <c r="DL245" s="8"/>
      <c r="DM245" s="8"/>
      <c r="DN245" s="8"/>
    </row>
    <row r="246" spans="2:118" ht="15.75" customHeight="1">
      <c r="B246" s="8"/>
      <c r="CU246" s="8"/>
      <c r="CV246" s="8"/>
      <c r="CW246" s="8"/>
      <c r="CX246" s="8"/>
      <c r="CY246" s="8"/>
      <c r="CZ246" s="8"/>
      <c r="DA246" s="8"/>
      <c r="DB246" s="8"/>
      <c r="DC246" s="8"/>
      <c r="DD246" s="8"/>
      <c r="DE246" s="8"/>
      <c r="DF246" s="8"/>
      <c r="DG246" s="8"/>
      <c r="DH246" s="8"/>
      <c r="DI246" s="8"/>
      <c r="DJ246" s="8"/>
      <c r="DK246" s="8"/>
      <c r="DL246" s="8"/>
      <c r="DM246" s="8"/>
      <c r="DN246" s="8"/>
    </row>
    <row r="247" spans="2:118" ht="15.75" customHeight="1">
      <c r="B247" s="8"/>
      <c r="CU247" s="8"/>
      <c r="CV247" s="8"/>
      <c r="CW247" s="8"/>
      <c r="CX247" s="8"/>
      <c r="CY247" s="8"/>
      <c r="CZ247" s="8"/>
      <c r="DA247" s="8"/>
      <c r="DB247" s="8"/>
      <c r="DC247" s="8"/>
      <c r="DD247" s="8"/>
      <c r="DE247" s="8"/>
      <c r="DF247" s="8"/>
      <c r="DG247" s="8"/>
      <c r="DH247" s="8"/>
      <c r="DI247" s="8"/>
      <c r="DJ247" s="8"/>
      <c r="DK247" s="8"/>
      <c r="DL247" s="8"/>
      <c r="DM247" s="8"/>
      <c r="DN247" s="8"/>
    </row>
    <row r="248" spans="2:118" ht="15.75" customHeight="1">
      <c r="B248" s="8"/>
      <c r="CU248" s="8"/>
      <c r="CV248" s="8"/>
      <c r="CW248" s="8"/>
      <c r="CX248" s="8"/>
      <c r="CY248" s="8"/>
      <c r="CZ248" s="8"/>
      <c r="DA248" s="8"/>
      <c r="DB248" s="8"/>
      <c r="DC248" s="8"/>
      <c r="DD248" s="8"/>
      <c r="DE248" s="8"/>
      <c r="DF248" s="8"/>
      <c r="DG248" s="8"/>
      <c r="DH248" s="8"/>
      <c r="DI248" s="8"/>
      <c r="DJ248" s="8"/>
      <c r="DK248" s="8"/>
      <c r="DL248" s="8"/>
      <c r="DM248" s="8"/>
      <c r="DN248" s="8"/>
    </row>
    <row r="249" spans="2:118" ht="15.75" customHeight="1">
      <c r="B249" s="8"/>
      <c r="CU249" s="8"/>
      <c r="CV249" s="8"/>
      <c r="CW249" s="8"/>
      <c r="CX249" s="8"/>
      <c r="CY249" s="8"/>
      <c r="CZ249" s="8"/>
      <c r="DA249" s="8"/>
      <c r="DB249" s="8"/>
      <c r="DC249" s="8"/>
      <c r="DD249" s="8"/>
      <c r="DE249" s="8"/>
      <c r="DF249" s="8"/>
      <c r="DG249" s="8"/>
      <c r="DH249" s="8"/>
      <c r="DI249" s="8"/>
      <c r="DJ249" s="8"/>
      <c r="DK249" s="8"/>
      <c r="DL249" s="8"/>
      <c r="DM249" s="8"/>
      <c r="DN249" s="8"/>
    </row>
    <row r="250" spans="2:118" ht="15.75" customHeight="1">
      <c r="B250" s="8"/>
      <c r="CU250" s="8"/>
      <c r="CV250" s="8"/>
      <c r="CW250" s="8"/>
      <c r="CX250" s="8"/>
      <c r="CY250" s="8"/>
      <c r="CZ250" s="8"/>
      <c r="DA250" s="8"/>
      <c r="DB250" s="8"/>
      <c r="DC250" s="8"/>
      <c r="DD250" s="8"/>
      <c r="DE250" s="8"/>
      <c r="DF250" s="8"/>
      <c r="DG250" s="8"/>
      <c r="DH250" s="8"/>
      <c r="DI250" s="8"/>
      <c r="DJ250" s="8"/>
      <c r="DK250" s="8"/>
      <c r="DL250" s="8"/>
      <c r="DM250" s="8"/>
      <c r="DN250" s="8"/>
    </row>
    <row r="251" spans="2:118" ht="15.75" customHeight="1">
      <c r="B251" s="8"/>
      <c r="CU251" s="8"/>
      <c r="CV251" s="8"/>
      <c r="CW251" s="8"/>
      <c r="CX251" s="8"/>
      <c r="CY251" s="8"/>
      <c r="CZ251" s="8"/>
      <c r="DA251" s="8"/>
      <c r="DB251" s="8"/>
      <c r="DC251" s="8"/>
      <c r="DD251" s="8"/>
      <c r="DE251" s="8"/>
      <c r="DF251" s="8"/>
      <c r="DG251" s="8"/>
      <c r="DH251" s="8"/>
      <c r="DI251" s="8"/>
      <c r="DJ251" s="8"/>
      <c r="DK251" s="8"/>
      <c r="DL251" s="8"/>
      <c r="DM251" s="8"/>
      <c r="DN251" s="8"/>
    </row>
    <row r="252" spans="2:118" ht="15.75" customHeight="1">
      <c r="B252" s="8"/>
      <c r="CU252" s="8"/>
      <c r="CV252" s="8"/>
      <c r="CW252" s="8"/>
      <c r="CX252" s="8"/>
      <c r="CY252" s="8"/>
      <c r="CZ252" s="8"/>
      <c r="DA252" s="8"/>
      <c r="DB252" s="8"/>
      <c r="DC252" s="8"/>
      <c r="DD252" s="8"/>
      <c r="DE252" s="8"/>
      <c r="DF252" s="8"/>
      <c r="DG252" s="8"/>
      <c r="DH252" s="8"/>
      <c r="DI252" s="8"/>
      <c r="DJ252" s="8"/>
      <c r="DK252" s="8"/>
      <c r="DL252" s="8"/>
      <c r="DM252" s="8"/>
      <c r="DN252" s="8"/>
    </row>
    <row r="253" spans="2:118" ht="15.75" customHeight="1">
      <c r="B253" s="8"/>
      <c r="CU253" s="8"/>
      <c r="CV253" s="8"/>
      <c r="CW253" s="8"/>
      <c r="CX253" s="8"/>
      <c r="CY253" s="8"/>
      <c r="CZ253" s="8"/>
      <c r="DA253" s="8"/>
      <c r="DB253" s="8"/>
      <c r="DC253" s="8"/>
      <c r="DD253" s="8"/>
      <c r="DE253" s="8"/>
      <c r="DF253" s="8"/>
      <c r="DG253" s="8"/>
      <c r="DH253" s="8"/>
      <c r="DI253" s="8"/>
      <c r="DJ253" s="8"/>
      <c r="DK253" s="8"/>
      <c r="DL253" s="8"/>
      <c r="DM253" s="8"/>
      <c r="DN253" s="8"/>
    </row>
    <row r="254" spans="2:118" ht="15.75" customHeight="1">
      <c r="B254" s="8"/>
      <c r="CU254" s="8"/>
      <c r="CV254" s="8"/>
      <c r="CW254" s="8"/>
      <c r="CX254" s="8"/>
      <c r="CY254" s="8"/>
      <c r="CZ254" s="8"/>
      <c r="DA254" s="8"/>
      <c r="DB254" s="8"/>
      <c r="DC254" s="8"/>
      <c r="DD254" s="8"/>
      <c r="DE254" s="8"/>
      <c r="DF254" s="8"/>
      <c r="DG254" s="8"/>
      <c r="DH254" s="8"/>
      <c r="DI254" s="8"/>
      <c r="DJ254" s="8"/>
      <c r="DK254" s="8"/>
      <c r="DL254" s="8"/>
      <c r="DM254" s="8"/>
      <c r="DN254" s="8"/>
    </row>
    <row r="255" spans="2:118" ht="15.75" customHeight="1">
      <c r="B255" s="8"/>
      <c r="CU255" s="8"/>
      <c r="CV255" s="8"/>
      <c r="CW255" s="8"/>
      <c r="CX255" s="8"/>
      <c r="CY255" s="8"/>
      <c r="CZ255" s="8"/>
      <c r="DA255" s="8"/>
      <c r="DB255" s="8"/>
      <c r="DC255" s="8"/>
      <c r="DD255" s="8"/>
      <c r="DE255" s="8"/>
      <c r="DF255" s="8"/>
      <c r="DG255" s="8"/>
      <c r="DH255" s="8"/>
      <c r="DI255" s="8"/>
      <c r="DJ255" s="8"/>
      <c r="DK255" s="8"/>
      <c r="DL255" s="8"/>
      <c r="DM255" s="8"/>
      <c r="DN255" s="8"/>
    </row>
    <row r="256" spans="2:118" ht="15.75" customHeight="1">
      <c r="B256" s="8"/>
      <c r="CU256" s="8"/>
      <c r="CV256" s="8"/>
      <c r="CW256" s="8"/>
      <c r="CX256" s="8"/>
      <c r="CY256" s="8"/>
      <c r="CZ256" s="8"/>
      <c r="DA256" s="8"/>
      <c r="DB256" s="8"/>
      <c r="DC256" s="8"/>
      <c r="DD256" s="8"/>
      <c r="DE256" s="8"/>
      <c r="DF256" s="8"/>
      <c r="DG256" s="8"/>
      <c r="DH256" s="8"/>
      <c r="DI256" s="8"/>
      <c r="DJ256" s="8"/>
      <c r="DK256" s="8"/>
      <c r="DL256" s="8"/>
      <c r="DM256" s="8"/>
      <c r="DN256" s="8"/>
    </row>
    <row r="257" spans="2:118" ht="15.75" customHeight="1">
      <c r="B257" s="8"/>
      <c r="CU257" s="8"/>
      <c r="CV257" s="8"/>
      <c r="CW257" s="8"/>
      <c r="CX257" s="8"/>
      <c r="CY257" s="8"/>
      <c r="CZ257" s="8"/>
      <c r="DA257" s="8"/>
      <c r="DB257" s="8"/>
      <c r="DC257" s="8"/>
      <c r="DD257" s="8"/>
      <c r="DE257" s="8"/>
      <c r="DF257" s="8"/>
      <c r="DG257" s="8"/>
      <c r="DH257" s="8"/>
      <c r="DI257" s="8"/>
      <c r="DJ257" s="8"/>
      <c r="DK257" s="8"/>
      <c r="DL257" s="8"/>
      <c r="DM257" s="8"/>
      <c r="DN257" s="8"/>
    </row>
    <row r="258" spans="2:118" ht="15.75" customHeight="1">
      <c r="B258" s="8"/>
      <c r="CU258" s="8"/>
      <c r="CV258" s="8"/>
      <c r="CW258" s="8"/>
      <c r="CX258" s="8"/>
      <c r="CY258" s="8"/>
      <c r="CZ258" s="8"/>
      <c r="DA258" s="8"/>
      <c r="DB258" s="8"/>
      <c r="DC258" s="8"/>
      <c r="DD258" s="8"/>
      <c r="DE258" s="8"/>
      <c r="DF258" s="8"/>
      <c r="DG258" s="8"/>
      <c r="DH258" s="8"/>
      <c r="DI258" s="8"/>
      <c r="DJ258" s="8"/>
      <c r="DK258" s="8"/>
      <c r="DL258" s="8"/>
      <c r="DM258" s="8"/>
      <c r="DN258" s="8"/>
    </row>
    <row r="259" spans="2:118" ht="15.75" customHeight="1">
      <c r="B259" s="8"/>
      <c r="CU259" s="8"/>
      <c r="CV259" s="8"/>
      <c r="CW259" s="8"/>
      <c r="CX259" s="8"/>
      <c r="CY259" s="8"/>
      <c r="CZ259" s="8"/>
      <c r="DA259" s="8"/>
      <c r="DB259" s="8"/>
      <c r="DC259" s="8"/>
      <c r="DD259" s="8"/>
      <c r="DE259" s="8"/>
      <c r="DF259" s="8"/>
      <c r="DG259" s="8"/>
      <c r="DH259" s="8"/>
      <c r="DI259" s="8"/>
      <c r="DJ259" s="8"/>
      <c r="DK259" s="8"/>
      <c r="DL259" s="8"/>
      <c r="DM259" s="8"/>
      <c r="DN259" s="8"/>
    </row>
    <row r="260" spans="2:118" ht="15.75" customHeight="1">
      <c r="B260" s="8"/>
      <c r="CU260" s="8"/>
      <c r="CV260" s="8"/>
      <c r="CW260" s="8"/>
      <c r="CX260" s="8"/>
      <c r="CY260" s="8"/>
      <c r="CZ260" s="8"/>
      <c r="DA260" s="8"/>
      <c r="DB260" s="8"/>
      <c r="DC260" s="8"/>
      <c r="DD260" s="8"/>
      <c r="DE260" s="8"/>
      <c r="DF260" s="8"/>
      <c r="DG260" s="8"/>
      <c r="DH260" s="8"/>
      <c r="DI260" s="8"/>
      <c r="DJ260" s="8"/>
      <c r="DK260" s="8"/>
      <c r="DL260" s="8"/>
      <c r="DM260" s="8"/>
      <c r="DN260" s="8"/>
    </row>
    <row r="261" spans="2:118" ht="15.75" customHeight="1">
      <c r="B261" s="8"/>
      <c r="CU261" s="8"/>
      <c r="CV261" s="8"/>
      <c r="CW261" s="8"/>
      <c r="CX261" s="8"/>
      <c r="CY261" s="8"/>
      <c r="CZ261" s="8"/>
      <c r="DA261" s="8"/>
      <c r="DB261" s="8"/>
      <c r="DC261" s="8"/>
      <c r="DD261" s="8"/>
      <c r="DE261" s="8"/>
      <c r="DF261" s="8"/>
      <c r="DG261" s="8"/>
      <c r="DH261" s="8"/>
      <c r="DI261" s="8"/>
      <c r="DJ261" s="8"/>
      <c r="DK261" s="8"/>
      <c r="DL261" s="8"/>
      <c r="DM261" s="8"/>
      <c r="DN261" s="8"/>
    </row>
    <row r="262" spans="2:118" ht="15.75" customHeight="1">
      <c r="B262" s="8"/>
      <c r="CU262" s="8"/>
      <c r="CV262" s="8"/>
      <c r="CW262" s="8"/>
      <c r="CX262" s="8"/>
      <c r="CY262" s="8"/>
      <c r="CZ262" s="8"/>
      <c r="DA262" s="8"/>
      <c r="DB262" s="8"/>
      <c r="DC262" s="8"/>
      <c r="DD262" s="8"/>
      <c r="DE262" s="8"/>
      <c r="DF262" s="8"/>
      <c r="DG262" s="8"/>
      <c r="DH262" s="8"/>
      <c r="DI262" s="8"/>
      <c r="DJ262" s="8"/>
      <c r="DK262" s="8"/>
      <c r="DL262" s="8"/>
      <c r="DM262" s="8"/>
      <c r="DN262" s="8"/>
    </row>
    <row r="263" spans="2:118" ht="15.75" customHeight="1">
      <c r="B263" s="8"/>
      <c r="CU263" s="8"/>
      <c r="CV263" s="8"/>
      <c r="CW263" s="8"/>
      <c r="CX263" s="8"/>
      <c r="CY263" s="8"/>
      <c r="CZ263" s="8"/>
      <c r="DA263" s="8"/>
      <c r="DB263" s="8"/>
      <c r="DC263" s="8"/>
      <c r="DD263" s="8"/>
      <c r="DE263" s="8"/>
      <c r="DF263" s="8"/>
      <c r="DG263" s="8"/>
      <c r="DH263" s="8"/>
      <c r="DI263" s="8"/>
      <c r="DJ263" s="8"/>
      <c r="DK263" s="8"/>
      <c r="DL263" s="8"/>
      <c r="DM263" s="8"/>
      <c r="DN263" s="8"/>
    </row>
    <row r="264" spans="2:118" ht="15.75" customHeight="1">
      <c r="B264" s="8"/>
      <c r="CU264" s="8"/>
      <c r="CV264" s="8"/>
      <c r="CW264" s="8"/>
      <c r="CX264" s="8"/>
      <c r="CY264" s="8"/>
      <c r="CZ264" s="8"/>
      <c r="DA264" s="8"/>
      <c r="DB264" s="8"/>
      <c r="DC264" s="8"/>
      <c r="DD264" s="8"/>
      <c r="DE264" s="8"/>
      <c r="DF264" s="8"/>
      <c r="DG264" s="8"/>
      <c r="DH264" s="8"/>
      <c r="DI264" s="8"/>
      <c r="DJ264" s="8"/>
      <c r="DK264" s="8"/>
      <c r="DL264" s="8"/>
      <c r="DM264" s="8"/>
      <c r="DN264" s="8"/>
    </row>
    <row r="265" spans="2:118" ht="15.75" customHeight="1">
      <c r="B265" s="8"/>
      <c r="CU265" s="8"/>
      <c r="CV265" s="8"/>
      <c r="CW265" s="8"/>
      <c r="CX265" s="8"/>
      <c r="CY265" s="8"/>
      <c r="CZ265" s="8"/>
      <c r="DA265" s="8"/>
      <c r="DB265" s="8"/>
      <c r="DC265" s="8"/>
      <c r="DD265" s="8"/>
      <c r="DE265" s="8"/>
      <c r="DF265" s="8"/>
      <c r="DG265" s="8"/>
      <c r="DH265" s="8"/>
      <c r="DI265" s="8"/>
      <c r="DJ265" s="8"/>
      <c r="DK265" s="8"/>
      <c r="DL265" s="8"/>
      <c r="DM265" s="8"/>
      <c r="DN265" s="8"/>
    </row>
    <row r="266" spans="2:118" ht="15.75" customHeight="1">
      <c r="B266" s="8"/>
      <c r="CU266" s="8"/>
      <c r="CV266" s="8"/>
      <c r="CW266" s="8"/>
      <c r="CX266" s="8"/>
      <c r="CY266" s="8"/>
      <c r="CZ266" s="8"/>
      <c r="DA266" s="8"/>
      <c r="DB266" s="8"/>
      <c r="DC266" s="8"/>
      <c r="DD266" s="8"/>
      <c r="DE266" s="8"/>
      <c r="DF266" s="8"/>
      <c r="DG266" s="8"/>
      <c r="DH266" s="8"/>
      <c r="DI266" s="8"/>
      <c r="DJ266" s="8"/>
      <c r="DK266" s="8"/>
      <c r="DL266" s="8"/>
      <c r="DM266" s="8"/>
      <c r="DN266" s="8"/>
    </row>
    <row r="267" spans="2:118" ht="15.75" customHeight="1">
      <c r="B267" s="8"/>
      <c r="CU267" s="8"/>
      <c r="CV267" s="8"/>
      <c r="CW267" s="8"/>
      <c r="CX267" s="8"/>
      <c r="CY267" s="8"/>
      <c r="CZ267" s="8"/>
      <c r="DA267" s="8"/>
      <c r="DB267" s="8"/>
      <c r="DC267" s="8"/>
      <c r="DD267" s="8"/>
      <c r="DE267" s="8"/>
      <c r="DF267" s="8"/>
      <c r="DG267" s="8"/>
      <c r="DH267" s="8"/>
      <c r="DI267" s="8"/>
      <c r="DJ267" s="8"/>
      <c r="DK267" s="8"/>
      <c r="DL267" s="8"/>
      <c r="DM267" s="8"/>
      <c r="DN267" s="8"/>
    </row>
    <row r="268" spans="2:118" ht="15.75" customHeight="1">
      <c r="B268" s="8"/>
      <c r="CU268" s="8"/>
      <c r="CV268" s="8"/>
      <c r="CW268" s="8"/>
      <c r="CX268" s="8"/>
      <c r="CY268" s="8"/>
      <c r="CZ268" s="8"/>
      <c r="DA268" s="8"/>
      <c r="DB268" s="8"/>
      <c r="DC268" s="8"/>
      <c r="DD268" s="8"/>
      <c r="DE268" s="8"/>
      <c r="DF268" s="8"/>
      <c r="DG268" s="8"/>
      <c r="DH268" s="8"/>
      <c r="DI268" s="8"/>
      <c r="DJ268" s="8"/>
      <c r="DK268" s="8"/>
      <c r="DL268" s="8"/>
      <c r="DM268" s="8"/>
      <c r="DN268" s="8"/>
    </row>
    <row r="269" spans="2:118" ht="15.75" customHeight="1">
      <c r="B269" s="8"/>
      <c r="CU269" s="8"/>
      <c r="CV269" s="8"/>
      <c r="CW269" s="8"/>
      <c r="CX269" s="8"/>
      <c r="CY269" s="8"/>
      <c r="CZ269" s="8"/>
      <c r="DA269" s="8"/>
      <c r="DB269" s="8"/>
      <c r="DC269" s="8"/>
      <c r="DD269" s="8"/>
      <c r="DE269" s="8"/>
      <c r="DF269" s="8"/>
      <c r="DG269" s="8"/>
      <c r="DH269" s="8"/>
      <c r="DI269" s="8"/>
      <c r="DJ269" s="8"/>
      <c r="DK269" s="8"/>
      <c r="DL269" s="8"/>
      <c r="DM269" s="8"/>
      <c r="DN269" s="8"/>
    </row>
    <row r="270" spans="2:118" ht="15.75" customHeight="1">
      <c r="B270" s="8"/>
      <c r="CU270" s="8"/>
      <c r="CV270" s="8"/>
      <c r="CW270" s="8"/>
      <c r="CX270" s="8"/>
      <c r="CY270" s="8"/>
      <c r="CZ270" s="8"/>
      <c r="DA270" s="8"/>
      <c r="DB270" s="8"/>
      <c r="DC270" s="8"/>
      <c r="DD270" s="8"/>
      <c r="DE270" s="8"/>
      <c r="DF270" s="8"/>
      <c r="DG270" s="8"/>
      <c r="DH270" s="8"/>
      <c r="DI270" s="8"/>
      <c r="DJ270" s="8"/>
      <c r="DK270" s="8"/>
      <c r="DL270" s="8"/>
      <c r="DM270" s="8"/>
      <c r="DN270" s="8"/>
    </row>
    <row r="271" spans="2:118" ht="15.75" customHeight="1">
      <c r="B271" s="8"/>
      <c r="CU271" s="8"/>
      <c r="CV271" s="8"/>
      <c r="CW271" s="8"/>
      <c r="CX271" s="8"/>
      <c r="CY271" s="8"/>
      <c r="CZ271" s="8"/>
      <c r="DA271" s="8"/>
      <c r="DB271" s="8"/>
      <c r="DC271" s="8"/>
      <c r="DD271" s="8"/>
      <c r="DE271" s="8"/>
      <c r="DF271" s="8"/>
      <c r="DG271" s="8"/>
      <c r="DH271" s="8"/>
      <c r="DI271" s="8"/>
      <c r="DJ271" s="8"/>
      <c r="DK271" s="8"/>
      <c r="DL271" s="8"/>
      <c r="DM271" s="8"/>
      <c r="DN271" s="8"/>
    </row>
    <row r="272" spans="2:118" ht="15.75" customHeight="1">
      <c r="B272" s="8"/>
      <c r="CU272" s="8"/>
      <c r="CV272" s="8"/>
      <c r="CW272" s="8"/>
      <c r="CX272" s="8"/>
      <c r="CY272" s="8"/>
      <c r="CZ272" s="8"/>
      <c r="DA272" s="8"/>
      <c r="DB272" s="8"/>
      <c r="DC272" s="8"/>
      <c r="DD272" s="8"/>
      <c r="DE272" s="8"/>
      <c r="DF272" s="8"/>
      <c r="DG272" s="8"/>
      <c r="DH272" s="8"/>
      <c r="DI272" s="8"/>
      <c r="DJ272" s="8"/>
      <c r="DK272" s="8"/>
      <c r="DL272" s="8"/>
      <c r="DM272" s="8"/>
      <c r="DN272" s="8"/>
    </row>
    <row r="273" spans="2:118" ht="15.75" customHeight="1">
      <c r="B273" s="8"/>
      <c r="CU273" s="8"/>
      <c r="CV273" s="8"/>
      <c r="CW273" s="8"/>
      <c r="CX273" s="8"/>
      <c r="CY273" s="8"/>
      <c r="CZ273" s="8"/>
      <c r="DA273" s="8"/>
      <c r="DB273" s="8"/>
      <c r="DC273" s="8"/>
      <c r="DD273" s="8"/>
      <c r="DE273" s="8"/>
      <c r="DF273" s="8"/>
      <c r="DG273" s="8"/>
      <c r="DH273" s="8"/>
      <c r="DI273" s="8"/>
      <c r="DJ273" s="8"/>
      <c r="DK273" s="8"/>
      <c r="DL273" s="8"/>
      <c r="DM273" s="8"/>
      <c r="DN273" s="8"/>
    </row>
    <row r="274" spans="2:118" ht="15.75" customHeight="1">
      <c r="B274" s="8"/>
      <c r="CU274" s="8"/>
      <c r="CV274" s="8"/>
      <c r="CW274" s="8"/>
      <c r="CX274" s="8"/>
      <c r="CY274" s="8"/>
      <c r="CZ274" s="8"/>
      <c r="DA274" s="8"/>
      <c r="DB274" s="8"/>
      <c r="DC274" s="8"/>
      <c r="DD274" s="8"/>
      <c r="DE274" s="8"/>
      <c r="DF274" s="8"/>
      <c r="DG274" s="8"/>
      <c r="DH274" s="8"/>
      <c r="DI274" s="8"/>
      <c r="DJ274" s="8"/>
      <c r="DK274" s="8"/>
      <c r="DL274" s="8"/>
      <c r="DM274" s="8"/>
      <c r="DN274" s="8"/>
    </row>
    <row r="275" spans="2:118" ht="15.75" customHeight="1">
      <c r="B275" s="8"/>
      <c r="CU275" s="8"/>
      <c r="CV275" s="8"/>
      <c r="CW275" s="8"/>
      <c r="CX275" s="8"/>
      <c r="CY275" s="8"/>
      <c r="CZ275" s="8"/>
      <c r="DA275" s="8"/>
      <c r="DB275" s="8"/>
      <c r="DC275" s="8"/>
      <c r="DD275" s="8"/>
      <c r="DE275" s="8"/>
      <c r="DF275" s="8"/>
      <c r="DG275" s="8"/>
      <c r="DH275" s="8"/>
      <c r="DI275" s="8"/>
      <c r="DJ275" s="8"/>
      <c r="DK275" s="8"/>
      <c r="DL275" s="8"/>
      <c r="DM275" s="8"/>
      <c r="DN275" s="8"/>
    </row>
    <row r="276" spans="2:118" ht="15.75" customHeight="1">
      <c r="B276" s="8"/>
      <c r="CU276" s="8"/>
      <c r="CV276" s="8"/>
      <c r="CW276" s="8"/>
      <c r="CX276" s="8"/>
      <c r="CY276" s="8"/>
      <c r="CZ276" s="8"/>
      <c r="DA276" s="8"/>
      <c r="DB276" s="8"/>
      <c r="DC276" s="8"/>
      <c r="DD276" s="8"/>
      <c r="DE276" s="8"/>
      <c r="DF276" s="8"/>
      <c r="DG276" s="8"/>
      <c r="DH276" s="8"/>
      <c r="DI276" s="8"/>
      <c r="DJ276" s="8"/>
      <c r="DK276" s="8"/>
      <c r="DL276" s="8"/>
      <c r="DM276" s="8"/>
      <c r="DN276" s="8"/>
    </row>
    <row r="277" spans="2:118" ht="15.75" customHeight="1">
      <c r="B277" s="8"/>
      <c r="CU277" s="8"/>
      <c r="CV277" s="8"/>
      <c r="CW277" s="8"/>
      <c r="CX277" s="8"/>
      <c r="CY277" s="8"/>
      <c r="CZ277" s="8"/>
      <c r="DA277" s="8"/>
      <c r="DB277" s="8"/>
      <c r="DC277" s="8"/>
      <c r="DD277" s="8"/>
      <c r="DE277" s="8"/>
      <c r="DF277" s="8"/>
      <c r="DG277" s="8"/>
      <c r="DH277" s="8"/>
      <c r="DI277" s="8"/>
      <c r="DJ277" s="8"/>
      <c r="DK277" s="8"/>
      <c r="DL277" s="8"/>
      <c r="DM277" s="8"/>
      <c r="DN277" s="8"/>
    </row>
    <row r="278" spans="2:118" ht="15.75" customHeight="1">
      <c r="B278" s="8"/>
      <c r="CU278" s="8"/>
      <c r="CV278" s="8"/>
      <c r="CW278" s="8"/>
      <c r="CX278" s="8"/>
      <c r="CY278" s="8"/>
      <c r="CZ278" s="8"/>
      <c r="DA278" s="8"/>
      <c r="DB278" s="8"/>
      <c r="DC278" s="8"/>
      <c r="DD278" s="8"/>
      <c r="DE278" s="8"/>
      <c r="DF278" s="8"/>
      <c r="DG278" s="8"/>
      <c r="DH278" s="8"/>
      <c r="DI278" s="8"/>
      <c r="DJ278" s="8"/>
      <c r="DK278" s="8"/>
      <c r="DL278" s="8"/>
      <c r="DM278" s="8"/>
      <c r="DN278" s="8"/>
    </row>
    <row r="279" spans="2:118" ht="15.75" customHeight="1">
      <c r="B279" s="8"/>
      <c r="CU279" s="8"/>
      <c r="CV279" s="8"/>
      <c r="CW279" s="8"/>
      <c r="CX279" s="8"/>
      <c r="CY279" s="8"/>
      <c r="CZ279" s="8"/>
      <c r="DA279" s="8"/>
      <c r="DB279" s="8"/>
      <c r="DC279" s="8"/>
      <c r="DD279" s="8"/>
      <c r="DE279" s="8"/>
      <c r="DF279" s="8"/>
      <c r="DG279" s="8"/>
      <c r="DH279" s="8"/>
      <c r="DI279" s="8"/>
      <c r="DJ279" s="8"/>
      <c r="DK279" s="8"/>
      <c r="DL279" s="8"/>
      <c r="DM279" s="8"/>
      <c r="DN279" s="8"/>
    </row>
    <row r="280" spans="2:118" ht="15.75" customHeight="1">
      <c r="B280" s="8"/>
      <c r="CU280" s="8"/>
      <c r="CV280" s="8"/>
      <c r="CW280" s="8"/>
      <c r="CX280" s="8"/>
      <c r="CY280" s="8"/>
      <c r="CZ280" s="8"/>
      <c r="DA280" s="8"/>
      <c r="DB280" s="8"/>
      <c r="DC280" s="8"/>
      <c r="DD280" s="8"/>
      <c r="DE280" s="8"/>
      <c r="DF280" s="8"/>
      <c r="DG280" s="8"/>
      <c r="DH280" s="8"/>
      <c r="DI280" s="8"/>
      <c r="DJ280" s="8"/>
      <c r="DK280" s="8"/>
      <c r="DL280" s="8"/>
      <c r="DM280" s="8"/>
      <c r="DN280" s="8"/>
    </row>
    <row r="281" spans="2:118" ht="15.75" customHeight="1">
      <c r="B281" s="8"/>
      <c r="CU281" s="8"/>
      <c r="CV281" s="8"/>
      <c r="CW281" s="8"/>
      <c r="CX281" s="8"/>
      <c r="CY281" s="8"/>
      <c r="CZ281" s="8"/>
      <c r="DA281" s="8"/>
      <c r="DB281" s="8"/>
      <c r="DC281" s="8"/>
      <c r="DD281" s="8"/>
      <c r="DE281" s="8"/>
      <c r="DF281" s="8"/>
      <c r="DG281" s="8"/>
      <c r="DH281" s="8"/>
      <c r="DI281" s="8"/>
      <c r="DJ281" s="8"/>
      <c r="DK281" s="8"/>
      <c r="DL281" s="8"/>
      <c r="DM281" s="8"/>
      <c r="DN281" s="8"/>
    </row>
    <row r="282" spans="2:118" ht="15.75" customHeight="1">
      <c r="B282" s="8"/>
      <c r="CU282" s="8"/>
      <c r="CV282" s="8"/>
      <c r="CW282" s="8"/>
      <c r="CX282" s="8"/>
      <c r="CY282" s="8"/>
      <c r="CZ282" s="8"/>
      <c r="DA282" s="8"/>
      <c r="DB282" s="8"/>
      <c r="DC282" s="8"/>
      <c r="DD282" s="8"/>
      <c r="DE282" s="8"/>
      <c r="DF282" s="8"/>
      <c r="DG282" s="8"/>
      <c r="DH282" s="8"/>
      <c r="DI282" s="8"/>
      <c r="DJ282" s="8"/>
      <c r="DK282" s="8"/>
      <c r="DL282" s="8"/>
      <c r="DM282" s="8"/>
      <c r="DN282" s="8"/>
    </row>
    <row r="283" spans="2:118" ht="15.75" customHeight="1">
      <c r="B283" s="8"/>
      <c r="CU283" s="8"/>
      <c r="CV283" s="8"/>
      <c r="CW283" s="8"/>
      <c r="CX283" s="8"/>
      <c r="CY283" s="8"/>
      <c r="CZ283" s="8"/>
      <c r="DA283" s="8"/>
      <c r="DB283" s="8"/>
      <c r="DC283" s="8"/>
      <c r="DD283" s="8"/>
      <c r="DE283" s="8"/>
      <c r="DF283" s="8"/>
      <c r="DG283" s="8"/>
      <c r="DH283" s="8"/>
      <c r="DI283" s="8"/>
      <c r="DJ283" s="8"/>
      <c r="DK283" s="8"/>
      <c r="DL283" s="8"/>
      <c r="DM283" s="8"/>
      <c r="DN283" s="8"/>
    </row>
    <row r="284" spans="2:118" ht="15.75" customHeight="1">
      <c r="B284" s="8"/>
      <c r="CU284" s="8"/>
      <c r="CV284" s="8"/>
      <c r="CW284" s="8"/>
      <c r="CX284" s="8"/>
      <c r="CY284" s="8"/>
      <c r="CZ284" s="8"/>
      <c r="DA284" s="8"/>
      <c r="DB284" s="8"/>
      <c r="DC284" s="8"/>
      <c r="DD284" s="8"/>
      <c r="DE284" s="8"/>
      <c r="DF284" s="8"/>
      <c r="DG284" s="8"/>
      <c r="DH284" s="8"/>
      <c r="DI284" s="8"/>
      <c r="DJ284" s="8"/>
      <c r="DK284" s="8"/>
      <c r="DL284" s="8"/>
      <c r="DM284" s="8"/>
      <c r="DN284" s="8"/>
    </row>
    <row r="285" spans="2:118" ht="15.75" customHeight="1">
      <c r="B285" s="8"/>
      <c r="CU285" s="8"/>
      <c r="CV285" s="8"/>
      <c r="CW285" s="8"/>
      <c r="CX285" s="8"/>
      <c r="CY285" s="8"/>
      <c r="CZ285" s="8"/>
      <c r="DA285" s="8"/>
      <c r="DB285" s="8"/>
      <c r="DC285" s="8"/>
      <c r="DD285" s="8"/>
      <c r="DE285" s="8"/>
      <c r="DF285" s="8"/>
      <c r="DG285" s="8"/>
      <c r="DH285" s="8"/>
      <c r="DI285" s="8"/>
      <c r="DJ285" s="8"/>
      <c r="DK285" s="8"/>
      <c r="DL285" s="8"/>
      <c r="DM285" s="8"/>
      <c r="DN285" s="8"/>
    </row>
    <row r="286" spans="2:118" ht="15.75" customHeight="1">
      <c r="B286" s="8"/>
      <c r="CU286" s="8"/>
      <c r="CV286" s="8"/>
      <c r="CW286" s="8"/>
      <c r="CX286" s="8"/>
      <c r="CY286" s="8"/>
      <c r="CZ286" s="8"/>
      <c r="DA286" s="8"/>
      <c r="DB286" s="8"/>
      <c r="DC286" s="8"/>
      <c r="DD286" s="8"/>
      <c r="DE286" s="8"/>
      <c r="DF286" s="8"/>
      <c r="DG286" s="8"/>
      <c r="DH286" s="8"/>
      <c r="DI286" s="8"/>
      <c r="DJ286" s="8"/>
      <c r="DK286" s="8"/>
      <c r="DL286" s="8"/>
      <c r="DM286" s="8"/>
      <c r="DN286" s="8"/>
    </row>
    <row r="287" spans="2:118" ht="15.75" customHeight="1">
      <c r="B287" s="8"/>
      <c r="CU287" s="8"/>
      <c r="CV287" s="8"/>
      <c r="CW287" s="8"/>
      <c r="CX287" s="8"/>
      <c r="CY287" s="8"/>
      <c r="CZ287" s="8"/>
      <c r="DA287" s="8"/>
      <c r="DB287" s="8"/>
      <c r="DC287" s="8"/>
      <c r="DD287" s="8"/>
      <c r="DE287" s="8"/>
      <c r="DF287" s="8"/>
      <c r="DG287" s="8"/>
      <c r="DH287" s="8"/>
      <c r="DI287" s="8"/>
      <c r="DJ287" s="8"/>
      <c r="DK287" s="8"/>
      <c r="DL287" s="8"/>
      <c r="DM287" s="8"/>
      <c r="DN287" s="8"/>
    </row>
    <row r="288" spans="2:118" ht="15.75" customHeight="1">
      <c r="B288" s="8"/>
      <c r="CU288" s="8"/>
      <c r="CV288" s="8"/>
      <c r="CW288" s="8"/>
      <c r="CX288" s="8"/>
      <c r="CY288" s="8"/>
      <c r="CZ288" s="8"/>
      <c r="DA288" s="8"/>
      <c r="DB288" s="8"/>
      <c r="DC288" s="8"/>
      <c r="DD288" s="8"/>
      <c r="DE288" s="8"/>
      <c r="DF288" s="8"/>
      <c r="DG288" s="8"/>
      <c r="DH288" s="8"/>
      <c r="DI288" s="8"/>
      <c r="DJ288" s="8"/>
      <c r="DK288" s="8"/>
      <c r="DL288" s="8"/>
      <c r="DM288" s="8"/>
      <c r="DN288" s="8"/>
    </row>
    <row r="289" spans="2:118" ht="15.75" customHeight="1">
      <c r="B289" s="8"/>
      <c r="CU289" s="8"/>
      <c r="CV289" s="8"/>
      <c r="CW289" s="8"/>
      <c r="CX289" s="8"/>
      <c r="CY289" s="8"/>
      <c r="CZ289" s="8"/>
      <c r="DA289" s="8"/>
      <c r="DB289" s="8"/>
      <c r="DC289" s="8"/>
      <c r="DD289" s="8"/>
      <c r="DE289" s="8"/>
      <c r="DF289" s="8"/>
      <c r="DG289" s="8"/>
      <c r="DH289" s="8"/>
      <c r="DI289" s="8"/>
      <c r="DJ289" s="8"/>
      <c r="DK289" s="8"/>
      <c r="DL289" s="8"/>
      <c r="DM289" s="8"/>
      <c r="DN289" s="8"/>
    </row>
    <row r="290" spans="2:118" ht="15.75" customHeight="1">
      <c r="B290" s="8"/>
      <c r="CU290" s="8"/>
      <c r="CV290" s="8"/>
      <c r="CW290" s="8"/>
      <c r="CX290" s="8"/>
      <c r="CY290" s="8"/>
      <c r="CZ290" s="8"/>
      <c r="DA290" s="8"/>
      <c r="DB290" s="8"/>
      <c r="DC290" s="8"/>
      <c r="DD290" s="8"/>
      <c r="DE290" s="8"/>
      <c r="DF290" s="8"/>
      <c r="DG290" s="8"/>
      <c r="DH290" s="8"/>
      <c r="DI290" s="8"/>
      <c r="DJ290" s="8"/>
      <c r="DK290" s="8"/>
      <c r="DL290" s="8"/>
      <c r="DM290" s="8"/>
      <c r="DN290" s="8"/>
    </row>
    <row r="291" spans="2:118" ht="15.75" customHeight="1">
      <c r="B291" s="8"/>
      <c r="CU291" s="8"/>
      <c r="CV291" s="8"/>
      <c r="CW291" s="8"/>
      <c r="CX291" s="8"/>
      <c r="CY291" s="8"/>
      <c r="CZ291" s="8"/>
      <c r="DA291" s="8"/>
      <c r="DB291" s="8"/>
      <c r="DC291" s="8"/>
      <c r="DD291" s="8"/>
      <c r="DE291" s="8"/>
      <c r="DF291" s="8"/>
      <c r="DG291" s="8"/>
      <c r="DH291" s="8"/>
      <c r="DI291" s="8"/>
      <c r="DJ291" s="8"/>
      <c r="DK291" s="8"/>
      <c r="DL291" s="8"/>
      <c r="DM291" s="8"/>
      <c r="DN291" s="8"/>
    </row>
    <row r="292" spans="2:118" ht="15.75" customHeight="1">
      <c r="B292" s="8"/>
      <c r="CU292" s="8"/>
      <c r="CV292" s="8"/>
      <c r="CW292" s="8"/>
      <c r="CX292" s="8"/>
      <c r="CY292" s="8"/>
      <c r="CZ292" s="8"/>
      <c r="DA292" s="8"/>
      <c r="DB292" s="8"/>
      <c r="DC292" s="8"/>
      <c r="DD292" s="8"/>
      <c r="DE292" s="8"/>
      <c r="DF292" s="8"/>
      <c r="DG292" s="8"/>
      <c r="DH292" s="8"/>
      <c r="DI292" s="8"/>
      <c r="DJ292" s="8"/>
      <c r="DK292" s="8"/>
      <c r="DL292" s="8"/>
      <c r="DM292" s="8"/>
      <c r="DN292" s="8"/>
    </row>
    <row r="293" spans="2:118" ht="15.75" customHeight="1">
      <c r="B293" s="8"/>
      <c r="CU293" s="8"/>
      <c r="CV293" s="8"/>
      <c r="CW293" s="8"/>
      <c r="CX293" s="8"/>
      <c r="CY293" s="8"/>
      <c r="CZ293" s="8"/>
      <c r="DA293" s="8"/>
      <c r="DB293" s="8"/>
      <c r="DC293" s="8"/>
      <c r="DD293" s="8"/>
      <c r="DE293" s="8"/>
      <c r="DF293" s="8"/>
      <c r="DG293" s="8"/>
      <c r="DH293" s="8"/>
      <c r="DI293" s="8"/>
      <c r="DJ293" s="8"/>
      <c r="DK293" s="8"/>
      <c r="DL293" s="8"/>
      <c r="DM293" s="8"/>
      <c r="DN293" s="8"/>
    </row>
    <row r="294" spans="2:118" ht="15.75" customHeight="1">
      <c r="B294" s="8"/>
      <c r="CU294" s="8"/>
      <c r="CV294" s="8"/>
      <c r="CW294" s="8"/>
      <c r="CX294" s="8"/>
      <c r="CY294" s="8"/>
      <c r="CZ294" s="8"/>
      <c r="DA294" s="8"/>
      <c r="DB294" s="8"/>
      <c r="DC294" s="8"/>
      <c r="DD294" s="8"/>
      <c r="DE294" s="8"/>
      <c r="DF294" s="8"/>
      <c r="DG294" s="8"/>
      <c r="DH294" s="8"/>
      <c r="DI294" s="8"/>
      <c r="DJ294" s="8"/>
      <c r="DK294" s="8"/>
      <c r="DL294" s="8"/>
      <c r="DM294" s="8"/>
      <c r="DN294" s="8"/>
    </row>
    <row r="295" spans="2:118" ht="15.75" customHeight="1">
      <c r="B295" s="8"/>
      <c r="CU295" s="8"/>
      <c r="CV295" s="8"/>
      <c r="CW295" s="8"/>
      <c r="CX295" s="8"/>
      <c r="CY295" s="8"/>
      <c r="CZ295" s="8"/>
      <c r="DA295" s="8"/>
      <c r="DB295" s="8"/>
      <c r="DC295" s="8"/>
      <c r="DD295" s="8"/>
      <c r="DE295" s="8"/>
      <c r="DF295" s="8"/>
      <c r="DG295" s="8"/>
      <c r="DH295" s="8"/>
      <c r="DI295" s="8"/>
      <c r="DJ295" s="8"/>
      <c r="DK295" s="8"/>
      <c r="DL295" s="8"/>
      <c r="DM295" s="8"/>
      <c r="DN295" s="8"/>
    </row>
    <row r="296" spans="2:118" ht="15.75" customHeight="1">
      <c r="B296" s="8"/>
      <c r="CU296" s="8"/>
      <c r="CV296" s="8"/>
      <c r="CW296" s="8"/>
      <c r="CX296" s="8"/>
      <c r="CY296" s="8"/>
      <c r="CZ296" s="8"/>
      <c r="DA296" s="8"/>
      <c r="DB296" s="8"/>
      <c r="DC296" s="8"/>
      <c r="DD296" s="8"/>
      <c r="DE296" s="8"/>
      <c r="DF296" s="8"/>
      <c r="DG296" s="8"/>
      <c r="DH296" s="8"/>
      <c r="DI296" s="8"/>
      <c r="DJ296" s="8"/>
      <c r="DK296" s="8"/>
      <c r="DL296" s="8"/>
      <c r="DM296" s="8"/>
      <c r="DN296" s="8"/>
    </row>
    <row r="297" spans="2:118" ht="15.75" customHeight="1">
      <c r="B297" s="8"/>
      <c r="CU297" s="8"/>
      <c r="CV297" s="8"/>
      <c r="CW297" s="8"/>
      <c r="CX297" s="8"/>
      <c r="CY297" s="8"/>
      <c r="CZ297" s="8"/>
      <c r="DA297" s="8"/>
      <c r="DB297" s="8"/>
      <c r="DC297" s="8"/>
      <c r="DD297" s="8"/>
      <c r="DE297" s="8"/>
      <c r="DF297" s="8"/>
      <c r="DG297" s="8"/>
      <c r="DH297" s="8"/>
      <c r="DI297" s="8"/>
      <c r="DJ297" s="8"/>
      <c r="DK297" s="8"/>
      <c r="DL297" s="8"/>
      <c r="DM297" s="8"/>
      <c r="DN297" s="8"/>
    </row>
    <row r="298" spans="2:118" ht="15.75" customHeight="1">
      <c r="B298" s="8"/>
      <c r="CU298" s="8"/>
      <c r="CV298" s="8"/>
      <c r="CW298" s="8"/>
      <c r="CX298" s="8"/>
      <c r="CY298" s="8"/>
      <c r="CZ298" s="8"/>
      <c r="DA298" s="8"/>
      <c r="DB298" s="8"/>
      <c r="DC298" s="8"/>
      <c r="DD298" s="8"/>
      <c r="DE298" s="8"/>
      <c r="DF298" s="8"/>
      <c r="DG298" s="8"/>
      <c r="DH298" s="8"/>
      <c r="DI298" s="8"/>
      <c r="DJ298" s="8"/>
      <c r="DK298" s="8"/>
      <c r="DL298" s="8"/>
      <c r="DM298" s="8"/>
      <c r="DN298" s="8"/>
    </row>
    <row r="299" spans="2:118" ht="15.75" customHeight="1">
      <c r="B299" s="8"/>
      <c r="CU299" s="8"/>
      <c r="CV299" s="8"/>
      <c r="CW299" s="8"/>
      <c r="CX299" s="8"/>
      <c r="CY299" s="8"/>
      <c r="CZ299" s="8"/>
      <c r="DA299" s="8"/>
      <c r="DB299" s="8"/>
      <c r="DC299" s="8"/>
      <c r="DD299" s="8"/>
      <c r="DE299" s="8"/>
      <c r="DF299" s="8"/>
      <c r="DG299" s="8"/>
      <c r="DH299" s="8"/>
      <c r="DI299" s="8"/>
      <c r="DJ299" s="8"/>
      <c r="DK299" s="8"/>
      <c r="DL299" s="8"/>
      <c r="DM299" s="8"/>
      <c r="DN299" s="8"/>
    </row>
    <row r="300" spans="2:118" ht="15.75" customHeight="1">
      <c r="B300" s="8"/>
      <c r="CU300" s="8"/>
      <c r="CV300" s="8"/>
      <c r="CW300" s="8"/>
      <c r="CX300" s="8"/>
      <c r="CY300" s="8"/>
      <c r="CZ300" s="8"/>
      <c r="DA300" s="8"/>
      <c r="DB300" s="8"/>
      <c r="DC300" s="8"/>
      <c r="DD300" s="8"/>
      <c r="DE300" s="8"/>
      <c r="DF300" s="8"/>
      <c r="DG300" s="8"/>
      <c r="DH300" s="8"/>
      <c r="DI300" s="8"/>
      <c r="DJ300" s="8"/>
      <c r="DK300" s="8"/>
      <c r="DL300" s="8"/>
      <c r="DM300" s="8"/>
      <c r="DN300" s="8"/>
    </row>
    <row r="301" spans="2:118" ht="15.75" customHeight="1">
      <c r="B301" s="8"/>
      <c r="CU301" s="8"/>
      <c r="CV301" s="8"/>
      <c r="CW301" s="8"/>
      <c r="CX301" s="8"/>
      <c r="CY301" s="8"/>
      <c r="CZ301" s="8"/>
      <c r="DA301" s="8"/>
      <c r="DB301" s="8"/>
      <c r="DC301" s="8"/>
      <c r="DD301" s="8"/>
      <c r="DE301" s="8"/>
      <c r="DF301" s="8"/>
      <c r="DG301" s="8"/>
      <c r="DH301" s="8"/>
      <c r="DI301" s="8"/>
      <c r="DJ301" s="8"/>
      <c r="DK301" s="8"/>
      <c r="DL301" s="8"/>
      <c r="DM301" s="8"/>
      <c r="DN301" s="8"/>
    </row>
    <row r="302" spans="2:118" ht="15.75" customHeight="1">
      <c r="B302" s="8"/>
      <c r="CU302" s="8"/>
      <c r="CV302" s="8"/>
      <c r="CW302" s="8"/>
      <c r="CX302" s="8"/>
      <c r="CY302" s="8"/>
      <c r="CZ302" s="8"/>
      <c r="DA302" s="8"/>
      <c r="DB302" s="8"/>
      <c r="DC302" s="8"/>
      <c r="DD302" s="8"/>
      <c r="DE302" s="8"/>
      <c r="DF302" s="8"/>
      <c r="DG302" s="8"/>
      <c r="DH302" s="8"/>
      <c r="DI302" s="8"/>
      <c r="DJ302" s="8"/>
      <c r="DK302" s="8"/>
      <c r="DL302" s="8"/>
      <c r="DM302" s="8"/>
      <c r="DN302" s="8"/>
    </row>
    <row r="303" spans="2:118" ht="15.75" customHeight="1">
      <c r="B303" s="8"/>
      <c r="CU303" s="8"/>
      <c r="CV303" s="8"/>
      <c r="CW303" s="8"/>
      <c r="CX303" s="8"/>
      <c r="CY303" s="8"/>
      <c r="CZ303" s="8"/>
      <c r="DA303" s="8"/>
      <c r="DB303" s="8"/>
      <c r="DC303" s="8"/>
      <c r="DD303" s="8"/>
      <c r="DE303" s="8"/>
      <c r="DF303" s="8"/>
      <c r="DG303" s="8"/>
      <c r="DH303" s="8"/>
      <c r="DI303" s="8"/>
      <c r="DJ303" s="8"/>
      <c r="DK303" s="8"/>
      <c r="DL303" s="8"/>
      <c r="DM303" s="8"/>
      <c r="DN303" s="8"/>
    </row>
    <row r="304" spans="2:118" ht="15.75" customHeight="1">
      <c r="B304" s="8"/>
      <c r="CU304" s="8"/>
      <c r="CV304" s="8"/>
      <c r="CW304" s="8"/>
      <c r="CX304" s="8"/>
      <c r="CY304" s="8"/>
      <c r="CZ304" s="8"/>
      <c r="DA304" s="8"/>
      <c r="DB304" s="8"/>
      <c r="DC304" s="8"/>
      <c r="DD304" s="8"/>
      <c r="DE304" s="8"/>
      <c r="DF304" s="8"/>
      <c r="DG304" s="8"/>
      <c r="DH304" s="8"/>
      <c r="DI304" s="8"/>
      <c r="DJ304" s="8"/>
      <c r="DK304" s="8"/>
      <c r="DL304" s="8"/>
      <c r="DM304" s="8"/>
      <c r="DN304" s="8"/>
    </row>
    <row r="305" spans="2:118" ht="15.75" customHeight="1">
      <c r="B305" s="8"/>
      <c r="CU305" s="8"/>
      <c r="CV305" s="8"/>
      <c r="CW305" s="8"/>
      <c r="CX305" s="8"/>
      <c r="CY305" s="8"/>
      <c r="CZ305" s="8"/>
      <c r="DA305" s="8"/>
      <c r="DB305" s="8"/>
      <c r="DC305" s="8"/>
      <c r="DD305" s="8"/>
      <c r="DE305" s="8"/>
      <c r="DF305" s="8"/>
      <c r="DG305" s="8"/>
      <c r="DH305" s="8"/>
      <c r="DI305" s="8"/>
      <c r="DJ305" s="8"/>
      <c r="DK305" s="8"/>
      <c r="DL305" s="8"/>
      <c r="DM305" s="8"/>
      <c r="DN305" s="8"/>
    </row>
    <row r="306" spans="2:118" ht="15.75" customHeight="1">
      <c r="B306" s="8"/>
      <c r="CU306" s="8"/>
      <c r="CV306" s="8"/>
      <c r="CW306" s="8"/>
      <c r="CX306" s="8"/>
      <c r="CY306" s="8"/>
      <c r="CZ306" s="8"/>
      <c r="DA306" s="8"/>
      <c r="DB306" s="8"/>
      <c r="DC306" s="8"/>
      <c r="DD306" s="8"/>
      <c r="DE306" s="8"/>
      <c r="DF306" s="8"/>
      <c r="DG306" s="8"/>
      <c r="DH306" s="8"/>
      <c r="DI306" s="8"/>
      <c r="DJ306" s="8"/>
      <c r="DK306" s="8"/>
      <c r="DL306" s="8"/>
      <c r="DM306" s="8"/>
      <c r="DN306" s="8"/>
    </row>
    <row r="307" spans="2:118" ht="15.75" customHeight="1">
      <c r="B307" s="8"/>
      <c r="CU307" s="8"/>
      <c r="CV307" s="8"/>
      <c r="CW307" s="8"/>
      <c r="CX307" s="8"/>
      <c r="CY307" s="8"/>
      <c r="CZ307" s="8"/>
      <c r="DA307" s="8"/>
      <c r="DB307" s="8"/>
      <c r="DC307" s="8"/>
      <c r="DD307" s="8"/>
      <c r="DE307" s="8"/>
      <c r="DF307" s="8"/>
      <c r="DG307" s="8"/>
      <c r="DH307" s="8"/>
      <c r="DI307" s="8"/>
      <c r="DJ307" s="8"/>
      <c r="DK307" s="8"/>
      <c r="DL307" s="8"/>
      <c r="DM307" s="8"/>
      <c r="DN307" s="8"/>
    </row>
    <row r="308" spans="2:118" ht="15.75" customHeight="1">
      <c r="B308" s="8"/>
      <c r="CU308" s="8"/>
      <c r="CV308" s="8"/>
      <c r="CW308" s="8"/>
      <c r="CX308" s="8"/>
      <c r="CY308" s="8"/>
      <c r="CZ308" s="8"/>
      <c r="DA308" s="8"/>
      <c r="DB308" s="8"/>
      <c r="DC308" s="8"/>
      <c r="DD308" s="8"/>
      <c r="DE308" s="8"/>
      <c r="DF308" s="8"/>
      <c r="DG308" s="8"/>
      <c r="DH308" s="8"/>
      <c r="DI308" s="8"/>
      <c r="DJ308" s="8"/>
      <c r="DK308" s="8"/>
      <c r="DL308" s="8"/>
      <c r="DM308" s="8"/>
      <c r="DN308" s="8"/>
    </row>
    <row r="309" spans="2:118" ht="15.75" customHeight="1">
      <c r="B309" s="8"/>
      <c r="CU309" s="8"/>
      <c r="CV309" s="8"/>
      <c r="CW309" s="8"/>
      <c r="CX309" s="8"/>
      <c r="CY309" s="8"/>
      <c r="CZ309" s="8"/>
      <c r="DA309" s="8"/>
      <c r="DB309" s="8"/>
      <c r="DC309" s="8"/>
      <c r="DD309" s="8"/>
      <c r="DE309" s="8"/>
      <c r="DF309" s="8"/>
      <c r="DG309" s="8"/>
      <c r="DH309" s="8"/>
      <c r="DI309" s="8"/>
      <c r="DJ309" s="8"/>
      <c r="DK309" s="8"/>
      <c r="DL309" s="8"/>
      <c r="DM309" s="8"/>
      <c r="DN309" s="8"/>
    </row>
    <row r="310" spans="2:118" ht="15.75" customHeight="1">
      <c r="B310" s="8"/>
      <c r="CU310" s="8"/>
      <c r="CV310" s="8"/>
      <c r="CW310" s="8"/>
      <c r="CX310" s="8"/>
      <c r="CY310" s="8"/>
      <c r="CZ310" s="8"/>
      <c r="DA310" s="8"/>
      <c r="DB310" s="8"/>
      <c r="DC310" s="8"/>
      <c r="DD310" s="8"/>
      <c r="DE310" s="8"/>
      <c r="DF310" s="8"/>
      <c r="DG310" s="8"/>
      <c r="DH310" s="8"/>
      <c r="DI310" s="8"/>
      <c r="DJ310" s="8"/>
      <c r="DK310" s="8"/>
      <c r="DL310" s="8"/>
      <c r="DM310" s="8"/>
      <c r="DN310" s="8"/>
    </row>
    <row r="311" spans="2:118" ht="15.75" customHeight="1">
      <c r="B311" s="8"/>
      <c r="CU311" s="8"/>
      <c r="CV311" s="8"/>
      <c r="CW311" s="8"/>
      <c r="CX311" s="8"/>
      <c r="CY311" s="8"/>
      <c r="CZ311" s="8"/>
      <c r="DA311" s="8"/>
      <c r="DB311" s="8"/>
      <c r="DC311" s="8"/>
      <c r="DD311" s="8"/>
      <c r="DE311" s="8"/>
      <c r="DF311" s="8"/>
      <c r="DG311" s="8"/>
      <c r="DH311" s="8"/>
      <c r="DI311" s="8"/>
      <c r="DJ311" s="8"/>
      <c r="DK311" s="8"/>
      <c r="DL311" s="8"/>
      <c r="DM311" s="8"/>
      <c r="DN311" s="8"/>
    </row>
    <row r="312" spans="2:118" ht="15.75" customHeight="1">
      <c r="B312" s="8"/>
      <c r="CU312" s="8"/>
      <c r="CV312" s="8"/>
      <c r="CW312" s="8"/>
      <c r="CX312" s="8"/>
      <c r="CY312" s="8"/>
      <c r="CZ312" s="8"/>
      <c r="DA312" s="8"/>
      <c r="DB312" s="8"/>
      <c r="DC312" s="8"/>
      <c r="DD312" s="8"/>
      <c r="DE312" s="8"/>
      <c r="DF312" s="8"/>
      <c r="DG312" s="8"/>
      <c r="DH312" s="8"/>
      <c r="DI312" s="8"/>
      <c r="DJ312" s="8"/>
      <c r="DK312" s="8"/>
      <c r="DL312" s="8"/>
      <c r="DM312" s="8"/>
      <c r="DN312" s="8"/>
    </row>
    <row r="313" spans="2:118" ht="15.75" customHeight="1">
      <c r="B313" s="8"/>
      <c r="CU313" s="8"/>
      <c r="CV313" s="8"/>
      <c r="CW313" s="8"/>
      <c r="CX313" s="8"/>
      <c r="CY313" s="8"/>
      <c r="CZ313" s="8"/>
      <c r="DA313" s="8"/>
      <c r="DB313" s="8"/>
      <c r="DC313" s="8"/>
      <c r="DD313" s="8"/>
      <c r="DE313" s="8"/>
      <c r="DF313" s="8"/>
      <c r="DG313" s="8"/>
      <c r="DH313" s="8"/>
      <c r="DI313" s="8"/>
      <c r="DJ313" s="8"/>
      <c r="DK313" s="8"/>
      <c r="DL313" s="8"/>
      <c r="DM313" s="8"/>
      <c r="DN313" s="8"/>
    </row>
    <row r="314" spans="2:118" ht="15.75" customHeight="1">
      <c r="B314" s="8"/>
      <c r="CU314" s="8"/>
      <c r="CV314" s="8"/>
      <c r="CW314" s="8"/>
      <c r="CX314" s="8"/>
      <c r="CY314" s="8"/>
      <c r="CZ314" s="8"/>
      <c r="DA314" s="8"/>
      <c r="DB314" s="8"/>
      <c r="DC314" s="8"/>
      <c r="DD314" s="8"/>
      <c r="DE314" s="8"/>
      <c r="DF314" s="8"/>
      <c r="DG314" s="8"/>
      <c r="DH314" s="8"/>
      <c r="DI314" s="8"/>
      <c r="DJ314" s="8"/>
      <c r="DK314" s="8"/>
      <c r="DL314" s="8"/>
      <c r="DM314" s="8"/>
      <c r="DN314" s="8"/>
    </row>
    <row r="315" spans="2:118" ht="15.75" customHeight="1">
      <c r="B315" s="8"/>
      <c r="CU315" s="8"/>
      <c r="CV315" s="8"/>
      <c r="CW315" s="8"/>
      <c r="CX315" s="8"/>
      <c r="CY315" s="8"/>
      <c r="CZ315" s="8"/>
      <c r="DA315" s="8"/>
      <c r="DB315" s="8"/>
      <c r="DC315" s="8"/>
      <c r="DD315" s="8"/>
      <c r="DE315" s="8"/>
      <c r="DF315" s="8"/>
      <c r="DG315" s="8"/>
      <c r="DH315" s="8"/>
      <c r="DI315" s="8"/>
      <c r="DJ315" s="8"/>
      <c r="DK315" s="8"/>
      <c r="DL315" s="8"/>
      <c r="DM315" s="8"/>
      <c r="DN315" s="8"/>
    </row>
    <row r="316" spans="2:118" ht="15.75" customHeight="1">
      <c r="B316" s="8"/>
      <c r="CU316" s="8"/>
      <c r="CV316" s="8"/>
      <c r="CW316" s="8"/>
      <c r="CX316" s="8"/>
      <c r="CY316" s="8"/>
      <c r="CZ316" s="8"/>
      <c r="DA316" s="8"/>
      <c r="DB316" s="8"/>
      <c r="DC316" s="8"/>
      <c r="DD316" s="8"/>
      <c r="DE316" s="8"/>
      <c r="DF316" s="8"/>
      <c r="DG316" s="8"/>
      <c r="DH316" s="8"/>
      <c r="DI316" s="8"/>
      <c r="DJ316" s="8"/>
      <c r="DK316" s="8"/>
      <c r="DL316" s="8"/>
      <c r="DM316" s="8"/>
      <c r="DN316" s="8"/>
    </row>
    <row r="317" spans="2:118" ht="15.75" customHeight="1">
      <c r="B317" s="8"/>
      <c r="CU317" s="8"/>
      <c r="CV317" s="8"/>
      <c r="CW317" s="8"/>
      <c r="CX317" s="8"/>
      <c r="CY317" s="8"/>
      <c r="CZ317" s="8"/>
      <c r="DA317" s="8"/>
      <c r="DB317" s="8"/>
      <c r="DC317" s="8"/>
      <c r="DD317" s="8"/>
      <c r="DE317" s="8"/>
      <c r="DF317" s="8"/>
      <c r="DG317" s="8"/>
      <c r="DH317" s="8"/>
      <c r="DI317" s="8"/>
      <c r="DJ317" s="8"/>
      <c r="DK317" s="8"/>
      <c r="DL317" s="8"/>
      <c r="DM317" s="8"/>
      <c r="DN317" s="8"/>
    </row>
    <row r="318" spans="2:118" ht="15.75" customHeight="1">
      <c r="B318" s="8"/>
      <c r="CU318" s="8"/>
      <c r="CV318" s="8"/>
      <c r="CW318" s="8"/>
      <c r="CX318" s="8"/>
      <c r="CY318" s="8"/>
      <c r="CZ318" s="8"/>
      <c r="DA318" s="8"/>
      <c r="DB318" s="8"/>
      <c r="DC318" s="8"/>
      <c r="DD318" s="8"/>
      <c r="DE318" s="8"/>
      <c r="DF318" s="8"/>
      <c r="DG318" s="8"/>
      <c r="DH318" s="8"/>
      <c r="DI318" s="8"/>
      <c r="DJ318" s="8"/>
      <c r="DK318" s="8"/>
      <c r="DL318" s="8"/>
      <c r="DM318" s="8"/>
      <c r="DN318" s="8"/>
    </row>
    <row r="319" spans="2:118" ht="15.75" customHeight="1">
      <c r="B319" s="8"/>
      <c r="CU319" s="8"/>
      <c r="CV319" s="8"/>
      <c r="CW319" s="8"/>
      <c r="CX319" s="8"/>
      <c r="CY319" s="8"/>
      <c r="CZ319" s="8"/>
      <c r="DA319" s="8"/>
      <c r="DB319" s="8"/>
      <c r="DC319" s="8"/>
      <c r="DD319" s="8"/>
      <c r="DE319" s="8"/>
      <c r="DF319" s="8"/>
      <c r="DG319" s="8"/>
      <c r="DH319" s="8"/>
      <c r="DI319" s="8"/>
      <c r="DJ319" s="8"/>
      <c r="DK319" s="8"/>
      <c r="DL319" s="8"/>
      <c r="DM319" s="8"/>
      <c r="DN319" s="8"/>
    </row>
    <row r="320" spans="2:118" ht="15.75" customHeight="1">
      <c r="B320" s="8"/>
      <c r="CU320" s="8"/>
      <c r="CV320" s="8"/>
      <c r="CW320" s="8"/>
      <c r="CX320" s="8"/>
      <c r="CY320" s="8"/>
      <c r="CZ320" s="8"/>
      <c r="DA320" s="8"/>
      <c r="DB320" s="8"/>
      <c r="DC320" s="8"/>
      <c r="DD320" s="8"/>
      <c r="DE320" s="8"/>
      <c r="DF320" s="8"/>
      <c r="DG320" s="8"/>
      <c r="DH320" s="8"/>
      <c r="DI320" s="8"/>
      <c r="DJ320" s="8"/>
      <c r="DK320" s="8"/>
      <c r="DL320" s="8"/>
      <c r="DM320" s="8"/>
      <c r="DN320" s="8"/>
    </row>
    <row r="321" spans="2:118" ht="15.75" customHeight="1">
      <c r="B321" s="8"/>
      <c r="CU321" s="8"/>
      <c r="CV321" s="8"/>
      <c r="CW321" s="8"/>
      <c r="CX321" s="8"/>
      <c r="CY321" s="8"/>
      <c r="CZ321" s="8"/>
      <c r="DA321" s="8"/>
      <c r="DB321" s="8"/>
      <c r="DC321" s="8"/>
      <c r="DD321" s="8"/>
      <c r="DE321" s="8"/>
      <c r="DF321" s="8"/>
      <c r="DG321" s="8"/>
      <c r="DH321" s="8"/>
      <c r="DI321" s="8"/>
      <c r="DJ321" s="8"/>
      <c r="DK321" s="8"/>
      <c r="DL321" s="8"/>
      <c r="DM321" s="8"/>
      <c r="DN321" s="8"/>
    </row>
    <row r="322" spans="2:118" ht="15.75" customHeight="1">
      <c r="B322" s="8"/>
      <c r="CU322" s="8"/>
      <c r="CV322" s="8"/>
      <c r="CW322" s="8"/>
      <c r="CX322" s="8"/>
      <c r="CY322" s="8"/>
      <c r="CZ322" s="8"/>
      <c r="DA322" s="8"/>
      <c r="DB322" s="8"/>
      <c r="DC322" s="8"/>
      <c r="DD322" s="8"/>
      <c r="DE322" s="8"/>
      <c r="DF322" s="8"/>
      <c r="DG322" s="8"/>
      <c r="DH322" s="8"/>
      <c r="DI322" s="8"/>
      <c r="DJ322" s="8"/>
      <c r="DK322" s="8"/>
      <c r="DL322" s="8"/>
      <c r="DM322" s="8"/>
      <c r="DN322" s="8"/>
    </row>
    <row r="323" spans="2:118" ht="15.75" customHeight="1">
      <c r="B323" s="8"/>
      <c r="CU323" s="8"/>
      <c r="CV323" s="8"/>
      <c r="CW323" s="8"/>
      <c r="CX323" s="8"/>
      <c r="CY323" s="8"/>
      <c r="CZ323" s="8"/>
      <c r="DA323" s="8"/>
      <c r="DB323" s="8"/>
      <c r="DC323" s="8"/>
      <c r="DD323" s="8"/>
      <c r="DE323" s="8"/>
      <c r="DF323" s="8"/>
      <c r="DG323" s="8"/>
      <c r="DH323" s="8"/>
      <c r="DI323" s="8"/>
      <c r="DJ323" s="8"/>
      <c r="DK323" s="8"/>
      <c r="DL323" s="8"/>
      <c r="DM323" s="8"/>
      <c r="DN323" s="8"/>
    </row>
    <row r="324" spans="2:118" ht="15.75" customHeight="1">
      <c r="B324" s="8"/>
      <c r="CU324" s="8"/>
      <c r="CV324" s="8"/>
      <c r="CW324" s="8"/>
      <c r="CX324" s="8"/>
      <c r="CY324" s="8"/>
      <c r="CZ324" s="8"/>
      <c r="DA324" s="8"/>
      <c r="DB324" s="8"/>
      <c r="DC324" s="8"/>
      <c r="DD324" s="8"/>
      <c r="DE324" s="8"/>
      <c r="DF324" s="8"/>
      <c r="DG324" s="8"/>
      <c r="DH324" s="8"/>
      <c r="DI324" s="8"/>
      <c r="DJ324" s="8"/>
      <c r="DK324" s="8"/>
      <c r="DL324" s="8"/>
      <c r="DM324" s="8"/>
      <c r="DN324" s="8"/>
    </row>
    <row r="325" spans="2:118" ht="15.75" customHeight="1">
      <c r="B325" s="8"/>
      <c r="CU325" s="8"/>
      <c r="CV325" s="8"/>
      <c r="CW325" s="8"/>
      <c r="CX325" s="8"/>
      <c r="CY325" s="8"/>
      <c r="CZ325" s="8"/>
      <c r="DA325" s="8"/>
      <c r="DB325" s="8"/>
      <c r="DC325" s="8"/>
      <c r="DD325" s="8"/>
      <c r="DE325" s="8"/>
      <c r="DF325" s="8"/>
      <c r="DG325" s="8"/>
      <c r="DH325" s="8"/>
      <c r="DI325" s="8"/>
      <c r="DJ325" s="8"/>
      <c r="DK325" s="8"/>
      <c r="DL325" s="8"/>
      <c r="DM325" s="8"/>
      <c r="DN325" s="8"/>
    </row>
    <row r="326" spans="2:118" ht="15.75" customHeight="1">
      <c r="B326" s="8"/>
      <c r="CU326" s="8"/>
      <c r="CV326" s="8"/>
      <c r="CW326" s="8"/>
      <c r="CX326" s="8"/>
      <c r="CY326" s="8"/>
      <c r="CZ326" s="8"/>
      <c r="DA326" s="8"/>
      <c r="DB326" s="8"/>
      <c r="DC326" s="8"/>
      <c r="DD326" s="8"/>
      <c r="DE326" s="8"/>
      <c r="DF326" s="8"/>
      <c r="DG326" s="8"/>
      <c r="DH326" s="8"/>
      <c r="DI326" s="8"/>
      <c r="DJ326" s="8"/>
      <c r="DK326" s="8"/>
      <c r="DL326" s="8"/>
      <c r="DM326" s="8"/>
      <c r="DN326" s="8"/>
    </row>
    <row r="327" spans="2:118" ht="15.75" customHeight="1">
      <c r="B327" s="8"/>
      <c r="CU327" s="8"/>
      <c r="CV327" s="8"/>
      <c r="CW327" s="8"/>
      <c r="CX327" s="8"/>
      <c r="CY327" s="8"/>
      <c r="CZ327" s="8"/>
      <c r="DA327" s="8"/>
      <c r="DB327" s="8"/>
      <c r="DC327" s="8"/>
      <c r="DD327" s="8"/>
      <c r="DE327" s="8"/>
      <c r="DF327" s="8"/>
      <c r="DG327" s="8"/>
      <c r="DH327" s="8"/>
      <c r="DI327" s="8"/>
      <c r="DJ327" s="8"/>
      <c r="DK327" s="8"/>
      <c r="DL327" s="8"/>
      <c r="DM327" s="8"/>
      <c r="DN327" s="8"/>
    </row>
    <row r="328" spans="2:118" ht="15.75" customHeight="1">
      <c r="B328" s="8"/>
      <c r="CU328" s="8"/>
      <c r="CV328" s="8"/>
      <c r="CW328" s="8"/>
      <c r="CX328" s="8"/>
      <c r="CY328" s="8"/>
      <c r="CZ328" s="8"/>
      <c r="DA328" s="8"/>
      <c r="DB328" s="8"/>
      <c r="DC328" s="8"/>
      <c r="DD328" s="8"/>
      <c r="DE328" s="8"/>
      <c r="DF328" s="8"/>
      <c r="DG328" s="8"/>
      <c r="DH328" s="8"/>
      <c r="DI328" s="8"/>
      <c r="DJ328" s="8"/>
      <c r="DK328" s="8"/>
      <c r="DL328" s="8"/>
      <c r="DM328" s="8"/>
      <c r="DN328" s="8"/>
    </row>
    <row r="329" spans="2:118" ht="15.75" customHeight="1">
      <c r="B329" s="8"/>
      <c r="CU329" s="8"/>
      <c r="CV329" s="8"/>
      <c r="CW329" s="8"/>
      <c r="CX329" s="8"/>
      <c r="CY329" s="8"/>
      <c r="CZ329" s="8"/>
      <c r="DA329" s="8"/>
      <c r="DB329" s="8"/>
      <c r="DC329" s="8"/>
      <c r="DD329" s="8"/>
      <c r="DE329" s="8"/>
      <c r="DF329" s="8"/>
      <c r="DG329" s="8"/>
      <c r="DH329" s="8"/>
      <c r="DI329" s="8"/>
      <c r="DJ329" s="8"/>
      <c r="DK329" s="8"/>
      <c r="DL329" s="8"/>
      <c r="DM329" s="8"/>
      <c r="DN329" s="8"/>
    </row>
    <row r="330" spans="2:118" ht="15.75" customHeight="1">
      <c r="B330" s="8"/>
      <c r="CU330" s="8"/>
      <c r="CV330" s="8"/>
      <c r="CW330" s="8"/>
      <c r="CX330" s="8"/>
      <c r="CY330" s="8"/>
      <c r="CZ330" s="8"/>
      <c r="DA330" s="8"/>
      <c r="DB330" s="8"/>
      <c r="DC330" s="8"/>
      <c r="DD330" s="8"/>
      <c r="DE330" s="8"/>
      <c r="DF330" s="8"/>
      <c r="DG330" s="8"/>
      <c r="DH330" s="8"/>
      <c r="DI330" s="8"/>
      <c r="DJ330" s="8"/>
      <c r="DK330" s="8"/>
      <c r="DL330" s="8"/>
      <c r="DM330" s="8"/>
      <c r="DN330" s="8"/>
    </row>
    <row r="331" spans="2:118" ht="15.75" customHeight="1">
      <c r="B331" s="8"/>
      <c r="CU331" s="8"/>
      <c r="CV331" s="8"/>
      <c r="CW331" s="8"/>
      <c r="CX331" s="8"/>
      <c r="CY331" s="8"/>
      <c r="CZ331" s="8"/>
      <c r="DA331" s="8"/>
      <c r="DB331" s="8"/>
      <c r="DC331" s="8"/>
      <c r="DD331" s="8"/>
      <c r="DE331" s="8"/>
      <c r="DF331" s="8"/>
      <c r="DG331" s="8"/>
      <c r="DH331" s="8"/>
      <c r="DI331" s="8"/>
      <c r="DJ331" s="8"/>
      <c r="DK331" s="8"/>
      <c r="DL331" s="8"/>
      <c r="DM331" s="8"/>
      <c r="DN331" s="8"/>
    </row>
    <row r="332" spans="2:118" ht="15.75" customHeight="1">
      <c r="B332" s="8"/>
      <c r="CU332" s="8"/>
      <c r="CV332" s="8"/>
      <c r="CW332" s="8"/>
      <c r="CX332" s="8"/>
      <c r="CY332" s="8"/>
      <c r="CZ332" s="8"/>
      <c r="DA332" s="8"/>
      <c r="DB332" s="8"/>
      <c r="DC332" s="8"/>
      <c r="DD332" s="8"/>
      <c r="DE332" s="8"/>
      <c r="DF332" s="8"/>
      <c r="DG332" s="8"/>
      <c r="DH332" s="8"/>
      <c r="DI332" s="8"/>
      <c r="DJ332" s="8"/>
      <c r="DK332" s="8"/>
      <c r="DL332" s="8"/>
      <c r="DM332" s="8"/>
      <c r="DN332" s="8"/>
    </row>
    <row r="333" spans="2:118" ht="15.75" customHeight="1">
      <c r="B333" s="8"/>
      <c r="CU333" s="8"/>
      <c r="CV333" s="8"/>
      <c r="CW333" s="8"/>
      <c r="CX333" s="8"/>
      <c r="CY333" s="8"/>
      <c r="CZ333" s="8"/>
      <c r="DA333" s="8"/>
      <c r="DB333" s="8"/>
      <c r="DC333" s="8"/>
      <c r="DD333" s="8"/>
      <c r="DE333" s="8"/>
      <c r="DF333" s="8"/>
      <c r="DG333" s="8"/>
      <c r="DH333" s="8"/>
      <c r="DI333" s="8"/>
      <c r="DJ333" s="8"/>
      <c r="DK333" s="8"/>
      <c r="DL333" s="8"/>
      <c r="DM333" s="8"/>
      <c r="DN333" s="8"/>
    </row>
    <row r="334" spans="2:118" ht="15.75" customHeight="1">
      <c r="B334" s="8"/>
      <c r="CU334" s="8"/>
      <c r="CV334" s="8"/>
      <c r="CW334" s="8"/>
      <c r="CX334" s="8"/>
      <c r="CY334" s="8"/>
      <c r="CZ334" s="8"/>
      <c r="DA334" s="8"/>
      <c r="DB334" s="8"/>
      <c r="DC334" s="8"/>
      <c r="DD334" s="8"/>
      <c r="DE334" s="8"/>
      <c r="DF334" s="8"/>
      <c r="DG334" s="8"/>
      <c r="DH334" s="8"/>
      <c r="DI334" s="8"/>
      <c r="DJ334" s="8"/>
      <c r="DK334" s="8"/>
      <c r="DL334" s="8"/>
      <c r="DM334" s="8"/>
      <c r="DN334" s="8"/>
    </row>
    <row r="335" spans="2:118" ht="15.75" customHeight="1">
      <c r="B335" s="8"/>
      <c r="CU335" s="8"/>
      <c r="CV335" s="8"/>
      <c r="CW335" s="8"/>
      <c r="CX335" s="8"/>
      <c r="CY335" s="8"/>
      <c r="CZ335" s="8"/>
      <c r="DA335" s="8"/>
      <c r="DB335" s="8"/>
      <c r="DC335" s="8"/>
      <c r="DD335" s="8"/>
      <c r="DE335" s="8"/>
      <c r="DF335" s="8"/>
      <c r="DG335" s="8"/>
      <c r="DH335" s="8"/>
      <c r="DI335" s="8"/>
      <c r="DJ335" s="8"/>
      <c r="DK335" s="8"/>
      <c r="DL335" s="8"/>
      <c r="DM335" s="8"/>
      <c r="DN335" s="8"/>
    </row>
    <row r="336" spans="2:118" ht="15.75" customHeight="1">
      <c r="B336" s="8"/>
      <c r="CU336" s="8"/>
      <c r="CV336" s="8"/>
      <c r="CW336" s="8"/>
      <c r="CX336" s="8"/>
      <c r="CY336" s="8"/>
      <c r="CZ336" s="8"/>
      <c r="DA336" s="8"/>
      <c r="DB336" s="8"/>
      <c r="DC336" s="8"/>
      <c r="DD336" s="8"/>
      <c r="DE336" s="8"/>
      <c r="DF336" s="8"/>
      <c r="DG336" s="8"/>
      <c r="DH336" s="8"/>
      <c r="DI336" s="8"/>
      <c r="DJ336" s="8"/>
      <c r="DK336" s="8"/>
      <c r="DL336" s="8"/>
      <c r="DM336" s="8"/>
      <c r="DN336" s="8"/>
    </row>
    <row r="337" spans="2:118" ht="15.75" customHeight="1">
      <c r="B337" s="8"/>
      <c r="CU337" s="8"/>
      <c r="CV337" s="8"/>
      <c r="CW337" s="8"/>
      <c r="CX337" s="8"/>
      <c r="CY337" s="8"/>
      <c r="CZ337" s="8"/>
      <c r="DA337" s="8"/>
      <c r="DB337" s="8"/>
      <c r="DC337" s="8"/>
      <c r="DD337" s="8"/>
      <c r="DE337" s="8"/>
      <c r="DF337" s="8"/>
      <c r="DG337" s="8"/>
      <c r="DH337" s="8"/>
      <c r="DI337" s="8"/>
      <c r="DJ337" s="8"/>
      <c r="DK337" s="8"/>
      <c r="DL337" s="8"/>
      <c r="DM337" s="8"/>
      <c r="DN337" s="8"/>
    </row>
    <row r="338" spans="2:118" ht="15.75" customHeight="1">
      <c r="B338" s="8"/>
      <c r="CU338" s="8"/>
      <c r="CV338" s="8"/>
      <c r="CW338" s="8"/>
      <c r="CX338" s="8"/>
      <c r="CY338" s="8"/>
      <c r="CZ338" s="8"/>
      <c r="DA338" s="8"/>
      <c r="DB338" s="8"/>
      <c r="DC338" s="8"/>
      <c r="DD338" s="8"/>
      <c r="DE338" s="8"/>
      <c r="DF338" s="8"/>
      <c r="DG338" s="8"/>
      <c r="DH338" s="8"/>
      <c r="DI338" s="8"/>
      <c r="DJ338" s="8"/>
      <c r="DK338" s="8"/>
      <c r="DL338" s="8"/>
      <c r="DM338" s="8"/>
      <c r="DN338" s="8"/>
    </row>
    <row r="339" spans="2:118" ht="15.75" customHeight="1">
      <c r="B339" s="8"/>
      <c r="CU339" s="8"/>
      <c r="CV339" s="8"/>
      <c r="CW339" s="8"/>
      <c r="CX339" s="8"/>
      <c r="CY339" s="8"/>
      <c r="CZ339" s="8"/>
      <c r="DA339" s="8"/>
      <c r="DB339" s="8"/>
      <c r="DC339" s="8"/>
      <c r="DD339" s="8"/>
      <c r="DE339" s="8"/>
      <c r="DF339" s="8"/>
      <c r="DG339" s="8"/>
      <c r="DH339" s="8"/>
      <c r="DI339" s="8"/>
      <c r="DJ339" s="8"/>
      <c r="DK339" s="8"/>
      <c r="DL339" s="8"/>
      <c r="DM339" s="8"/>
      <c r="DN339" s="8"/>
    </row>
    <row r="340" spans="2:118" ht="15.75" customHeight="1">
      <c r="B340" s="8"/>
      <c r="CU340" s="8"/>
      <c r="CV340" s="8"/>
      <c r="CW340" s="8"/>
      <c r="CX340" s="8"/>
      <c r="CY340" s="8"/>
      <c r="CZ340" s="8"/>
      <c r="DA340" s="8"/>
      <c r="DB340" s="8"/>
      <c r="DC340" s="8"/>
      <c r="DD340" s="8"/>
      <c r="DE340" s="8"/>
      <c r="DF340" s="8"/>
      <c r="DG340" s="8"/>
      <c r="DH340" s="8"/>
      <c r="DI340" s="8"/>
      <c r="DJ340" s="8"/>
      <c r="DK340" s="8"/>
      <c r="DL340" s="8"/>
      <c r="DM340" s="8"/>
      <c r="DN340" s="8"/>
    </row>
    <row r="341" spans="2:118" ht="15.75" customHeight="1">
      <c r="B341" s="8"/>
      <c r="CU341" s="8"/>
      <c r="CV341" s="8"/>
      <c r="CW341" s="8"/>
      <c r="CX341" s="8"/>
      <c r="CY341" s="8"/>
      <c r="CZ341" s="8"/>
      <c r="DA341" s="8"/>
      <c r="DB341" s="8"/>
      <c r="DC341" s="8"/>
      <c r="DD341" s="8"/>
      <c r="DE341" s="8"/>
      <c r="DF341" s="8"/>
      <c r="DG341" s="8"/>
      <c r="DH341" s="8"/>
      <c r="DI341" s="8"/>
      <c r="DJ341" s="8"/>
      <c r="DK341" s="8"/>
      <c r="DL341" s="8"/>
      <c r="DM341" s="8"/>
      <c r="DN341" s="8"/>
    </row>
    <row r="342" spans="2:118" ht="15.75" customHeight="1">
      <c r="B342" s="8"/>
      <c r="CU342" s="8"/>
      <c r="CV342" s="8"/>
      <c r="CW342" s="8"/>
      <c r="CX342" s="8"/>
      <c r="CY342" s="8"/>
      <c r="CZ342" s="8"/>
      <c r="DA342" s="8"/>
      <c r="DB342" s="8"/>
      <c r="DC342" s="8"/>
      <c r="DD342" s="8"/>
      <c r="DE342" s="8"/>
      <c r="DF342" s="8"/>
      <c r="DG342" s="8"/>
      <c r="DH342" s="8"/>
      <c r="DI342" s="8"/>
      <c r="DJ342" s="8"/>
      <c r="DK342" s="8"/>
      <c r="DL342" s="8"/>
      <c r="DM342" s="8"/>
      <c r="DN342" s="8"/>
    </row>
    <row r="343" spans="2:118" ht="15.75" customHeight="1">
      <c r="B343" s="8"/>
      <c r="CU343" s="8"/>
      <c r="CV343" s="8"/>
      <c r="CW343" s="8"/>
      <c r="CX343" s="8"/>
      <c r="CY343" s="8"/>
      <c r="CZ343" s="8"/>
      <c r="DA343" s="8"/>
      <c r="DB343" s="8"/>
      <c r="DC343" s="8"/>
      <c r="DD343" s="8"/>
      <c r="DE343" s="8"/>
      <c r="DF343" s="8"/>
      <c r="DG343" s="8"/>
      <c r="DH343" s="8"/>
      <c r="DI343" s="8"/>
      <c r="DJ343" s="8"/>
      <c r="DK343" s="8"/>
      <c r="DL343" s="8"/>
      <c r="DM343" s="8"/>
      <c r="DN343" s="8"/>
    </row>
    <row r="344" spans="2:118" ht="15.75" customHeight="1">
      <c r="B344" s="8"/>
      <c r="CU344" s="8"/>
      <c r="CV344" s="8"/>
      <c r="CW344" s="8"/>
      <c r="CX344" s="8"/>
      <c r="CY344" s="8"/>
      <c r="CZ344" s="8"/>
      <c r="DA344" s="8"/>
      <c r="DB344" s="8"/>
      <c r="DC344" s="8"/>
      <c r="DD344" s="8"/>
      <c r="DE344" s="8"/>
      <c r="DF344" s="8"/>
      <c r="DG344" s="8"/>
      <c r="DH344" s="8"/>
      <c r="DI344" s="8"/>
      <c r="DJ344" s="8"/>
      <c r="DK344" s="8"/>
      <c r="DL344" s="8"/>
      <c r="DM344" s="8"/>
      <c r="DN344" s="8"/>
    </row>
    <row r="345" spans="2:118" ht="15.75" customHeight="1">
      <c r="B345" s="8"/>
      <c r="CU345" s="8"/>
      <c r="CV345" s="8"/>
      <c r="CW345" s="8"/>
      <c r="CX345" s="8"/>
      <c r="CY345" s="8"/>
      <c r="CZ345" s="8"/>
      <c r="DA345" s="8"/>
      <c r="DB345" s="8"/>
      <c r="DC345" s="8"/>
      <c r="DD345" s="8"/>
      <c r="DE345" s="8"/>
      <c r="DF345" s="8"/>
      <c r="DG345" s="8"/>
      <c r="DH345" s="8"/>
      <c r="DI345" s="8"/>
      <c r="DJ345" s="8"/>
      <c r="DK345" s="8"/>
      <c r="DL345" s="8"/>
      <c r="DM345" s="8"/>
      <c r="DN345" s="8"/>
    </row>
    <row r="346" spans="2:118" ht="15.75" customHeight="1">
      <c r="B346" s="8"/>
      <c r="CU346" s="8"/>
      <c r="CV346" s="8"/>
      <c r="CW346" s="8"/>
      <c r="CX346" s="8"/>
      <c r="CY346" s="8"/>
      <c r="CZ346" s="8"/>
      <c r="DA346" s="8"/>
      <c r="DB346" s="8"/>
      <c r="DC346" s="8"/>
      <c r="DD346" s="8"/>
      <c r="DE346" s="8"/>
      <c r="DF346" s="8"/>
      <c r="DG346" s="8"/>
      <c r="DH346" s="8"/>
      <c r="DI346" s="8"/>
      <c r="DJ346" s="8"/>
      <c r="DK346" s="8"/>
      <c r="DL346" s="8"/>
      <c r="DM346" s="8"/>
      <c r="DN346" s="8"/>
    </row>
    <row r="347" spans="2:118" ht="15.75" customHeight="1">
      <c r="B347" s="8"/>
      <c r="CU347" s="8"/>
      <c r="CV347" s="8"/>
      <c r="CW347" s="8"/>
      <c r="CX347" s="8"/>
      <c r="CY347" s="8"/>
      <c r="CZ347" s="8"/>
      <c r="DA347" s="8"/>
      <c r="DB347" s="8"/>
      <c r="DC347" s="8"/>
      <c r="DD347" s="8"/>
      <c r="DE347" s="8"/>
      <c r="DF347" s="8"/>
      <c r="DG347" s="8"/>
      <c r="DH347" s="8"/>
      <c r="DI347" s="8"/>
      <c r="DJ347" s="8"/>
      <c r="DK347" s="8"/>
      <c r="DL347" s="8"/>
      <c r="DM347" s="8"/>
      <c r="DN347" s="8"/>
    </row>
    <row r="348" spans="2:118" ht="15.75" customHeight="1">
      <c r="B348" s="8"/>
      <c r="CU348" s="8"/>
      <c r="CV348" s="8"/>
      <c r="CW348" s="8"/>
      <c r="CX348" s="8"/>
      <c r="CY348" s="8"/>
      <c r="CZ348" s="8"/>
      <c r="DA348" s="8"/>
      <c r="DB348" s="8"/>
      <c r="DC348" s="8"/>
      <c r="DD348" s="8"/>
      <c r="DE348" s="8"/>
      <c r="DF348" s="8"/>
      <c r="DG348" s="8"/>
      <c r="DH348" s="8"/>
      <c r="DI348" s="8"/>
      <c r="DJ348" s="8"/>
      <c r="DK348" s="8"/>
      <c r="DL348" s="8"/>
      <c r="DM348" s="8"/>
      <c r="DN348" s="8"/>
    </row>
    <row r="349" spans="2:118" ht="15.75" customHeight="1">
      <c r="B349" s="8"/>
      <c r="CU349" s="8"/>
      <c r="CV349" s="8"/>
      <c r="CW349" s="8"/>
      <c r="CX349" s="8"/>
      <c r="CY349" s="8"/>
      <c r="CZ349" s="8"/>
      <c r="DA349" s="8"/>
      <c r="DB349" s="8"/>
      <c r="DC349" s="8"/>
      <c r="DD349" s="8"/>
      <c r="DE349" s="8"/>
      <c r="DF349" s="8"/>
      <c r="DG349" s="8"/>
      <c r="DH349" s="8"/>
      <c r="DI349" s="8"/>
      <c r="DJ349" s="8"/>
      <c r="DK349" s="8"/>
      <c r="DL349" s="8"/>
      <c r="DM349" s="8"/>
      <c r="DN349" s="8"/>
    </row>
    <row r="350" spans="2:118" ht="15.75" customHeight="1">
      <c r="B350" s="8"/>
      <c r="CU350" s="8"/>
      <c r="CV350" s="8"/>
      <c r="CW350" s="8"/>
      <c r="CX350" s="8"/>
      <c r="CY350" s="8"/>
      <c r="CZ350" s="8"/>
      <c r="DA350" s="8"/>
      <c r="DB350" s="8"/>
      <c r="DC350" s="8"/>
      <c r="DD350" s="8"/>
      <c r="DE350" s="8"/>
      <c r="DF350" s="8"/>
      <c r="DG350" s="8"/>
      <c r="DH350" s="8"/>
      <c r="DI350" s="8"/>
      <c r="DJ350" s="8"/>
      <c r="DK350" s="8"/>
      <c r="DL350" s="8"/>
      <c r="DM350" s="8"/>
      <c r="DN350" s="8"/>
    </row>
    <row r="351" spans="2:118" ht="15.75" customHeight="1">
      <c r="B351" s="8"/>
      <c r="CU351" s="8"/>
      <c r="CV351" s="8"/>
      <c r="CW351" s="8"/>
      <c r="CX351" s="8"/>
      <c r="CY351" s="8"/>
      <c r="CZ351" s="8"/>
      <c r="DA351" s="8"/>
      <c r="DB351" s="8"/>
      <c r="DC351" s="8"/>
      <c r="DD351" s="8"/>
      <c r="DE351" s="8"/>
      <c r="DF351" s="8"/>
      <c r="DG351" s="8"/>
      <c r="DH351" s="8"/>
      <c r="DI351" s="8"/>
      <c r="DJ351" s="8"/>
      <c r="DK351" s="8"/>
      <c r="DL351" s="8"/>
      <c r="DM351" s="8"/>
      <c r="DN351" s="8"/>
    </row>
    <row r="352" spans="2:118" ht="15.75" customHeight="1">
      <c r="B352" s="8"/>
      <c r="CU352" s="8"/>
      <c r="CV352" s="8"/>
      <c r="CW352" s="8"/>
      <c r="CX352" s="8"/>
      <c r="CY352" s="8"/>
      <c r="CZ352" s="8"/>
      <c r="DA352" s="8"/>
      <c r="DB352" s="8"/>
      <c r="DC352" s="8"/>
      <c r="DD352" s="8"/>
      <c r="DE352" s="8"/>
      <c r="DF352" s="8"/>
      <c r="DG352" s="8"/>
      <c r="DH352" s="8"/>
      <c r="DI352" s="8"/>
      <c r="DJ352" s="8"/>
      <c r="DK352" s="8"/>
      <c r="DL352" s="8"/>
      <c r="DM352" s="8"/>
      <c r="DN352" s="8"/>
    </row>
    <row r="353" spans="2:118" ht="15.75" customHeight="1">
      <c r="B353" s="8"/>
      <c r="CU353" s="8"/>
      <c r="CV353" s="8"/>
      <c r="CW353" s="8"/>
      <c r="CX353" s="8"/>
      <c r="CY353" s="8"/>
      <c r="CZ353" s="8"/>
      <c r="DA353" s="8"/>
      <c r="DB353" s="8"/>
      <c r="DC353" s="8"/>
      <c r="DD353" s="8"/>
      <c r="DE353" s="8"/>
      <c r="DF353" s="8"/>
      <c r="DG353" s="8"/>
      <c r="DH353" s="8"/>
      <c r="DI353" s="8"/>
      <c r="DJ353" s="8"/>
      <c r="DK353" s="8"/>
      <c r="DL353" s="8"/>
      <c r="DM353" s="8"/>
      <c r="DN353" s="8"/>
    </row>
    <row r="354" spans="2:118" ht="15.75" customHeight="1">
      <c r="B354" s="8"/>
      <c r="CU354" s="8"/>
      <c r="CV354" s="8"/>
      <c r="CW354" s="8"/>
      <c r="CX354" s="8"/>
      <c r="CY354" s="8"/>
      <c r="CZ354" s="8"/>
      <c r="DA354" s="8"/>
      <c r="DB354" s="8"/>
      <c r="DC354" s="8"/>
      <c r="DD354" s="8"/>
      <c r="DE354" s="8"/>
      <c r="DF354" s="8"/>
      <c r="DG354" s="8"/>
      <c r="DH354" s="8"/>
      <c r="DI354" s="8"/>
      <c r="DJ354" s="8"/>
      <c r="DK354" s="8"/>
      <c r="DL354" s="8"/>
      <c r="DM354" s="8"/>
      <c r="DN354" s="8"/>
    </row>
    <row r="355" spans="2:118" ht="15.75" customHeight="1">
      <c r="B355" s="8"/>
      <c r="CU355" s="8"/>
      <c r="CV355" s="8"/>
      <c r="CW355" s="8"/>
      <c r="CX355" s="8"/>
      <c r="CY355" s="8"/>
      <c r="CZ355" s="8"/>
      <c r="DA355" s="8"/>
      <c r="DB355" s="8"/>
      <c r="DC355" s="8"/>
      <c r="DD355" s="8"/>
      <c r="DE355" s="8"/>
      <c r="DF355" s="8"/>
      <c r="DG355" s="8"/>
      <c r="DH355" s="8"/>
      <c r="DI355" s="8"/>
      <c r="DJ355" s="8"/>
      <c r="DK355" s="8"/>
      <c r="DL355" s="8"/>
      <c r="DM355" s="8"/>
      <c r="DN355" s="8"/>
    </row>
    <row r="356" spans="2:118" ht="15.75" customHeight="1">
      <c r="B356" s="8"/>
      <c r="CU356" s="8"/>
      <c r="CV356" s="8"/>
      <c r="CW356" s="8"/>
      <c r="CX356" s="8"/>
      <c r="CY356" s="8"/>
      <c r="CZ356" s="8"/>
      <c r="DA356" s="8"/>
      <c r="DB356" s="8"/>
      <c r="DC356" s="8"/>
      <c r="DD356" s="8"/>
      <c r="DE356" s="8"/>
      <c r="DF356" s="8"/>
      <c r="DG356" s="8"/>
      <c r="DH356" s="8"/>
      <c r="DI356" s="8"/>
      <c r="DJ356" s="8"/>
      <c r="DK356" s="8"/>
      <c r="DL356" s="8"/>
      <c r="DM356" s="8"/>
      <c r="DN356" s="8"/>
    </row>
    <row r="357" spans="2:118" ht="15.75" customHeight="1">
      <c r="B357" s="8"/>
      <c r="CU357" s="8"/>
      <c r="CV357" s="8"/>
      <c r="CW357" s="8"/>
      <c r="CX357" s="8"/>
      <c r="CY357" s="8"/>
      <c r="CZ357" s="8"/>
      <c r="DA357" s="8"/>
      <c r="DB357" s="8"/>
      <c r="DC357" s="8"/>
      <c r="DD357" s="8"/>
      <c r="DE357" s="8"/>
      <c r="DF357" s="8"/>
      <c r="DG357" s="8"/>
      <c r="DH357" s="8"/>
      <c r="DI357" s="8"/>
      <c r="DJ357" s="8"/>
      <c r="DK357" s="8"/>
      <c r="DL357" s="8"/>
      <c r="DM357" s="8"/>
      <c r="DN357" s="8"/>
    </row>
    <row r="358" spans="2:118" ht="15.75" customHeight="1">
      <c r="B358" s="8"/>
      <c r="CU358" s="8"/>
      <c r="CV358" s="8"/>
      <c r="CW358" s="8"/>
      <c r="CX358" s="8"/>
      <c r="CY358" s="8"/>
      <c r="CZ358" s="8"/>
      <c r="DA358" s="8"/>
      <c r="DB358" s="8"/>
      <c r="DC358" s="8"/>
      <c r="DD358" s="8"/>
      <c r="DE358" s="8"/>
      <c r="DF358" s="8"/>
      <c r="DG358" s="8"/>
      <c r="DH358" s="8"/>
      <c r="DI358" s="8"/>
      <c r="DJ358" s="8"/>
      <c r="DK358" s="8"/>
      <c r="DL358" s="8"/>
      <c r="DM358" s="8"/>
      <c r="DN358" s="8"/>
    </row>
    <row r="359" spans="2:118" ht="15.75" customHeight="1">
      <c r="B359" s="8"/>
      <c r="CU359" s="8"/>
      <c r="CV359" s="8"/>
      <c r="CW359" s="8"/>
      <c r="CX359" s="8"/>
      <c r="CY359" s="8"/>
      <c r="CZ359" s="8"/>
      <c r="DA359" s="8"/>
      <c r="DB359" s="8"/>
      <c r="DC359" s="8"/>
      <c r="DD359" s="8"/>
      <c r="DE359" s="8"/>
      <c r="DF359" s="8"/>
      <c r="DG359" s="8"/>
      <c r="DH359" s="8"/>
      <c r="DI359" s="8"/>
      <c r="DJ359" s="8"/>
      <c r="DK359" s="8"/>
      <c r="DL359" s="8"/>
      <c r="DM359" s="8"/>
      <c r="DN359" s="8"/>
    </row>
    <row r="360" spans="2:118" ht="15.75" customHeight="1">
      <c r="B360" s="8"/>
      <c r="CU360" s="8"/>
      <c r="CV360" s="8"/>
      <c r="CW360" s="8"/>
      <c r="CX360" s="8"/>
      <c r="CY360" s="8"/>
      <c r="CZ360" s="8"/>
      <c r="DA360" s="8"/>
      <c r="DB360" s="8"/>
      <c r="DC360" s="8"/>
      <c r="DD360" s="8"/>
      <c r="DE360" s="8"/>
      <c r="DF360" s="8"/>
      <c r="DG360" s="8"/>
      <c r="DH360" s="8"/>
      <c r="DI360" s="8"/>
      <c r="DJ360" s="8"/>
      <c r="DK360" s="8"/>
      <c r="DL360" s="8"/>
      <c r="DM360" s="8"/>
      <c r="DN360" s="8"/>
    </row>
    <row r="361" spans="2:118" ht="15.75" customHeight="1">
      <c r="B361" s="8"/>
      <c r="CU361" s="8"/>
      <c r="CV361" s="8"/>
      <c r="CW361" s="8"/>
      <c r="CX361" s="8"/>
      <c r="CY361" s="8"/>
      <c r="CZ361" s="8"/>
      <c r="DA361" s="8"/>
      <c r="DB361" s="8"/>
      <c r="DC361" s="8"/>
      <c r="DD361" s="8"/>
      <c r="DE361" s="8"/>
      <c r="DF361" s="8"/>
      <c r="DG361" s="8"/>
      <c r="DH361" s="8"/>
      <c r="DI361" s="8"/>
      <c r="DJ361" s="8"/>
      <c r="DK361" s="8"/>
      <c r="DL361" s="8"/>
      <c r="DM361" s="8"/>
      <c r="DN361" s="8"/>
    </row>
    <row r="362" spans="2:118" ht="15.75" customHeight="1">
      <c r="B362" s="8"/>
      <c r="CU362" s="8"/>
      <c r="CV362" s="8"/>
      <c r="CW362" s="8"/>
      <c r="CX362" s="8"/>
      <c r="CY362" s="8"/>
      <c r="CZ362" s="8"/>
      <c r="DA362" s="8"/>
      <c r="DB362" s="8"/>
      <c r="DC362" s="8"/>
      <c r="DD362" s="8"/>
      <c r="DE362" s="8"/>
      <c r="DF362" s="8"/>
      <c r="DG362" s="8"/>
      <c r="DH362" s="8"/>
      <c r="DI362" s="8"/>
      <c r="DJ362" s="8"/>
      <c r="DK362" s="8"/>
      <c r="DL362" s="8"/>
      <c r="DM362" s="8"/>
      <c r="DN362" s="8"/>
    </row>
    <row r="363" spans="2:118" ht="15.75" customHeight="1">
      <c r="B363" s="8"/>
      <c r="CU363" s="8"/>
      <c r="CV363" s="8"/>
      <c r="CW363" s="8"/>
      <c r="CX363" s="8"/>
      <c r="CY363" s="8"/>
      <c r="CZ363" s="8"/>
      <c r="DA363" s="8"/>
      <c r="DB363" s="8"/>
      <c r="DC363" s="8"/>
      <c r="DD363" s="8"/>
      <c r="DE363" s="8"/>
      <c r="DF363" s="8"/>
      <c r="DG363" s="8"/>
      <c r="DH363" s="8"/>
      <c r="DI363" s="8"/>
      <c r="DJ363" s="8"/>
      <c r="DK363" s="8"/>
      <c r="DL363" s="8"/>
      <c r="DM363" s="8"/>
      <c r="DN363" s="8"/>
    </row>
    <row r="364" spans="2:118" ht="15.75" customHeight="1">
      <c r="B364" s="8"/>
      <c r="CU364" s="8"/>
      <c r="CV364" s="8"/>
      <c r="CW364" s="8"/>
      <c r="CX364" s="8"/>
      <c r="CY364" s="8"/>
      <c r="CZ364" s="8"/>
      <c r="DA364" s="8"/>
      <c r="DB364" s="8"/>
      <c r="DC364" s="8"/>
      <c r="DD364" s="8"/>
      <c r="DE364" s="8"/>
      <c r="DF364" s="8"/>
      <c r="DG364" s="8"/>
      <c r="DH364" s="8"/>
      <c r="DI364" s="8"/>
      <c r="DJ364" s="8"/>
      <c r="DK364" s="8"/>
      <c r="DL364" s="8"/>
      <c r="DM364" s="8"/>
      <c r="DN364" s="8"/>
    </row>
    <row r="365" spans="2:118" ht="15.75" customHeight="1">
      <c r="B365" s="8"/>
      <c r="CU365" s="8"/>
      <c r="CV365" s="8"/>
      <c r="CW365" s="8"/>
      <c r="CX365" s="8"/>
      <c r="CY365" s="8"/>
      <c r="CZ365" s="8"/>
      <c r="DA365" s="8"/>
      <c r="DB365" s="8"/>
      <c r="DC365" s="8"/>
      <c r="DD365" s="8"/>
      <c r="DE365" s="8"/>
      <c r="DF365" s="8"/>
      <c r="DG365" s="8"/>
      <c r="DH365" s="8"/>
      <c r="DI365" s="8"/>
      <c r="DJ365" s="8"/>
      <c r="DK365" s="8"/>
      <c r="DL365" s="8"/>
      <c r="DM365" s="8"/>
      <c r="DN365" s="8"/>
    </row>
    <row r="366" spans="2:118" ht="15.75" customHeight="1">
      <c r="B366" s="8"/>
      <c r="CU366" s="8"/>
      <c r="CV366" s="8"/>
      <c r="CW366" s="8"/>
      <c r="CX366" s="8"/>
      <c r="CY366" s="8"/>
      <c r="CZ366" s="8"/>
      <c r="DA366" s="8"/>
      <c r="DB366" s="8"/>
      <c r="DC366" s="8"/>
      <c r="DD366" s="8"/>
      <c r="DE366" s="8"/>
      <c r="DF366" s="8"/>
      <c r="DG366" s="8"/>
      <c r="DH366" s="8"/>
      <c r="DI366" s="8"/>
      <c r="DJ366" s="8"/>
      <c r="DK366" s="8"/>
      <c r="DL366" s="8"/>
      <c r="DM366" s="8"/>
      <c r="DN366" s="8"/>
    </row>
    <row r="367" spans="2:118" ht="15.75" customHeight="1">
      <c r="B367" s="8"/>
      <c r="CU367" s="8"/>
      <c r="CV367" s="8"/>
      <c r="CW367" s="8"/>
      <c r="CX367" s="8"/>
      <c r="CY367" s="8"/>
      <c r="CZ367" s="8"/>
      <c r="DA367" s="8"/>
      <c r="DB367" s="8"/>
      <c r="DC367" s="8"/>
      <c r="DD367" s="8"/>
      <c r="DE367" s="8"/>
      <c r="DF367" s="8"/>
      <c r="DG367" s="8"/>
      <c r="DH367" s="8"/>
      <c r="DI367" s="8"/>
      <c r="DJ367" s="8"/>
      <c r="DK367" s="8"/>
      <c r="DL367" s="8"/>
      <c r="DM367" s="8"/>
      <c r="DN367" s="8"/>
    </row>
    <row r="368" spans="2:118" ht="15.75" customHeight="1">
      <c r="B368" s="8"/>
      <c r="CU368" s="8"/>
      <c r="CV368" s="8"/>
      <c r="CW368" s="8"/>
      <c r="CX368" s="8"/>
      <c r="CY368" s="8"/>
      <c r="CZ368" s="8"/>
      <c r="DA368" s="8"/>
      <c r="DB368" s="8"/>
      <c r="DC368" s="8"/>
      <c r="DD368" s="8"/>
      <c r="DE368" s="8"/>
      <c r="DF368" s="8"/>
      <c r="DG368" s="8"/>
      <c r="DH368" s="8"/>
      <c r="DI368" s="8"/>
      <c r="DJ368" s="8"/>
      <c r="DK368" s="8"/>
      <c r="DL368" s="8"/>
      <c r="DM368" s="8"/>
      <c r="DN368" s="8"/>
    </row>
    <row r="369" spans="2:118" ht="15.75" customHeight="1">
      <c r="B369" s="8"/>
      <c r="CU369" s="8"/>
      <c r="CV369" s="8"/>
      <c r="CW369" s="8"/>
      <c r="CX369" s="8"/>
      <c r="CY369" s="8"/>
      <c r="CZ369" s="8"/>
      <c r="DA369" s="8"/>
      <c r="DB369" s="8"/>
      <c r="DC369" s="8"/>
      <c r="DD369" s="8"/>
      <c r="DE369" s="8"/>
      <c r="DF369" s="8"/>
      <c r="DG369" s="8"/>
      <c r="DH369" s="8"/>
      <c r="DI369" s="8"/>
      <c r="DJ369" s="8"/>
      <c r="DK369" s="8"/>
      <c r="DL369" s="8"/>
      <c r="DM369" s="8"/>
      <c r="DN369" s="8"/>
    </row>
    <row r="370" spans="2:118" ht="15.75" customHeight="1">
      <c r="B370" s="8"/>
      <c r="CU370" s="8"/>
      <c r="CV370" s="8"/>
      <c r="CW370" s="8"/>
      <c r="CX370" s="8"/>
      <c r="CY370" s="8"/>
      <c r="CZ370" s="8"/>
      <c r="DA370" s="8"/>
      <c r="DB370" s="8"/>
      <c r="DC370" s="8"/>
      <c r="DD370" s="8"/>
      <c r="DE370" s="8"/>
      <c r="DF370" s="8"/>
      <c r="DG370" s="8"/>
      <c r="DH370" s="8"/>
      <c r="DI370" s="8"/>
      <c r="DJ370" s="8"/>
      <c r="DK370" s="8"/>
      <c r="DL370" s="8"/>
      <c r="DM370" s="8"/>
      <c r="DN370" s="8"/>
    </row>
    <row r="371" spans="2:118" ht="15.75" customHeight="1">
      <c r="B371" s="8"/>
      <c r="CU371" s="8"/>
      <c r="CV371" s="8"/>
      <c r="CW371" s="8"/>
      <c r="CX371" s="8"/>
      <c r="CY371" s="8"/>
      <c r="CZ371" s="8"/>
      <c r="DA371" s="8"/>
      <c r="DB371" s="8"/>
      <c r="DC371" s="8"/>
      <c r="DD371" s="8"/>
      <c r="DE371" s="8"/>
      <c r="DF371" s="8"/>
      <c r="DG371" s="8"/>
      <c r="DH371" s="8"/>
      <c r="DI371" s="8"/>
      <c r="DJ371" s="8"/>
      <c r="DK371" s="8"/>
      <c r="DL371" s="8"/>
      <c r="DM371" s="8"/>
      <c r="DN371" s="8"/>
    </row>
    <row r="372" spans="2:118" ht="15.75" customHeight="1">
      <c r="B372" s="8"/>
      <c r="CU372" s="8"/>
      <c r="CV372" s="8"/>
      <c r="CW372" s="8"/>
      <c r="CX372" s="8"/>
      <c r="CY372" s="8"/>
      <c r="CZ372" s="8"/>
      <c r="DA372" s="8"/>
      <c r="DB372" s="8"/>
      <c r="DC372" s="8"/>
      <c r="DD372" s="8"/>
      <c r="DE372" s="8"/>
      <c r="DF372" s="8"/>
      <c r="DG372" s="8"/>
      <c r="DH372" s="8"/>
      <c r="DI372" s="8"/>
      <c r="DJ372" s="8"/>
      <c r="DK372" s="8"/>
      <c r="DL372" s="8"/>
      <c r="DM372" s="8"/>
      <c r="DN372" s="8"/>
    </row>
    <row r="373" spans="2:118" ht="15.75" customHeight="1">
      <c r="B373" s="8"/>
      <c r="CU373" s="8"/>
      <c r="CV373" s="8"/>
      <c r="CW373" s="8"/>
      <c r="CX373" s="8"/>
      <c r="CY373" s="8"/>
      <c r="CZ373" s="8"/>
      <c r="DA373" s="8"/>
      <c r="DB373" s="8"/>
      <c r="DC373" s="8"/>
      <c r="DD373" s="8"/>
      <c r="DE373" s="8"/>
      <c r="DF373" s="8"/>
      <c r="DG373" s="8"/>
      <c r="DH373" s="8"/>
      <c r="DI373" s="8"/>
      <c r="DJ373" s="8"/>
      <c r="DK373" s="8"/>
      <c r="DL373" s="8"/>
      <c r="DM373" s="8"/>
      <c r="DN373" s="8"/>
    </row>
    <row r="374" spans="2:118" ht="15.75" customHeight="1">
      <c r="B374" s="8"/>
      <c r="CU374" s="8"/>
      <c r="CV374" s="8"/>
      <c r="CW374" s="8"/>
      <c r="CX374" s="8"/>
      <c r="CY374" s="8"/>
      <c r="CZ374" s="8"/>
      <c r="DA374" s="8"/>
      <c r="DB374" s="8"/>
      <c r="DC374" s="8"/>
      <c r="DD374" s="8"/>
      <c r="DE374" s="8"/>
      <c r="DF374" s="8"/>
      <c r="DG374" s="8"/>
      <c r="DH374" s="8"/>
      <c r="DI374" s="8"/>
      <c r="DJ374" s="8"/>
      <c r="DK374" s="8"/>
      <c r="DL374" s="8"/>
      <c r="DM374" s="8"/>
      <c r="DN374" s="8"/>
    </row>
    <row r="375" spans="2:118" ht="15.75" customHeight="1">
      <c r="B375" s="8"/>
      <c r="CU375" s="8"/>
      <c r="CV375" s="8"/>
      <c r="CW375" s="8"/>
      <c r="CX375" s="8"/>
      <c r="CY375" s="8"/>
      <c r="CZ375" s="8"/>
      <c r="DA375" s="8"/>
      <c r="DB375" s="8"/>
      <c r="DC375" s="8"/>
      <c r="DD375" s="8"/>
      <c r="DE375" s="8"/>
      <c r="DF375" s="8"/>
      <c r="DG375" s="8"/>
      <c r="DH375" s="8"/>
      <c r="DI375" s="8"/>
      <c r="DJ375" s="8"/>
      <c r="DK375" s="8"/>
      <c r="DL375" s="8"/>
      <c r="DM375" s="8"/>
      <c r="DN375" s="8"/>
    </row>
    <row r="376" spans="2:118" ht="15.75" customHeight="1">
      <c r="B376" s="8"/>
      <c r="CU376" s="8"/>
      <c r="CV376" s="8"/>
      <c r="CW376" s="8"/>
      <c r="CX376" s="8"/>
      <c r="CY376" s="8"/>
      <c r="CZ376" s="8"/>
      <c r="DA376" s="8"/>
      <c r="DB376" s="8"/>
      <c r="DC376" s="8"/>
      <c r="DD376" s="8"/>
      <c r="DE376" s="8"/>
      <c r="DF376" s="8"/>
      <c r="DG376" s="8"/>
      <c r="DH376" s="8"/>
      <c r="DI376" s="8"/>
      <c r="DJ376" s="8"/>
      <c r="DK376" s="8"/>
      <c r="DL376" s="8"/>
      <c r="DM376" s="8"/>
      <c r="DN376" s="8"/>
    </row>
    <row r="377" spans="2:118" ht="15.75" customHeight="1">
      <c r="B377" s="8"/>
      <c r="CU377" s="8"/>
      <c r="CV377" s="8"/>
      <c r="CW377" s="8"/>
      <c r="CX377" s="8"/>
      <c r="CY377" s="8"/>
      <c r="CZ377" s="8"/>
      <c r="DA377" s="8"/>
      <c r="DB377" s="8"/>
      <c r="DC377" s="8"/>
      <c r="DD377" s="8"/>
      <c r="DE377" s="8"/>
      <c r="DF377" s="8"/>
      <c r="DG377" s="8"/>
      <c r="DH377" s="8"/>
      <c r="DI377" s="8"/>
      <c r="DJ377" s="8"/>
      <c r="DK377" s="8"/>
      <c r="DL377" s="8"/>
      <c r="DM377" s="8"/>
      <c r="DN377" s="8"/>
    </row>
    <row r="378" spans="2:118" ht="15.75" customHeight="1">
      <c r="B378" s="8"/>
      <c r="CU378" s="8"/>
      <c r="CV378" s="8"/>
      <c r="CW378" s="8"/>
      <c r="CX378" s="8"/>
      <c r="CY378" s="8"/>
      <c r="CZ378" s="8"/>
      <c r="DA378" s="8"/>
      <c r="DB378" s="8"/>
      <c r="DC378" s="8"/>
      <c r="DD378" s="8"/>
      <c r="DE378" s="8"/>
      <c r="DF378" s="8"/>
      <c r="DG378" s="8"/>
      <c r="DH378" s="8"/>
      <c r="DI378" s="8"/>
      <c r="DJ378" s="8"/>
      <c r="DK378" s="8"/>
      <c r="DL378" s="8"/>
      <c r="DM378" s="8"/>
      <c r="DN378" s="8"/>
    </row>
    <row r="379" spans="2:118" ht="15.75" customHeight="1">
      <c r="B379" s="8"/>
      <c r="CU379" s="8"/>
      <c r="CV379" s="8"/>
      <c r="CW379" s="8"/>
      <c r="CX379" s="8"/>
      <c r="CY379" s="8"/>
      <c r="CZ379" s="8"/>
      <c r="DA379" s="8"/>
      <c r="DB379" s="8"/>
      <c r="DC379" s="8"/>
      <c r="DD379" s="8"/>
      <c r="DE379" s="8"/>
      <c r="DF379" s="8"/>
      <c r="DG379" s="8"/>
      <c r="DH379" s="8"/>
      <c r="DI379" s="8"/>
      <c r="DJ379" s="8"/>
      <c r="DK379" s="8"/>
      <c r="DL379" s="8"/>
      <c r="DM379" s="8"/>
      <c r="DN379" s="8"/>
    </row>
    <row r="380" spans="2:118" ht="15.75" customHeight="1">
      <c r="B380" s="8"/>
      <c r="CU380" s="8"/>
      <c r="CV380" s="8"/>
      <c r="CW380" s="8"/>
      <c r="CX380" s="8"/>
      <c r="CY380" s="8"/>
      <c r="CZ380" s="8"/>
      <c r="DA380" s="8"/>
      <c r="DB380" s="8"/>
      <c r="DC380" s="8"/>
      <c r="DD380" s="8"/>
      <c r="DE380" s="8"/>
      <c r="DF380" s="8"/>
      <c r="DG380" s="8"/>
      <c r="DH380" s="8"/>
      <c r="DI380" s="8"/>
      <c r="DJ380" s="8"/>
      <c r="DK380" s="8"/>
      <c r="DL380" s="8"/>
      <c r="DM380" s="8"/>
      <c r="DN380" s="8"/>
    </row>
    <row r="381" spans="2:118" ht="15.75" customHeight="1">
      <c r="B381" s="8"/>
      <c r="CU381" s="8"/>
      <c r="CV381" s="8"/>
      <c r="CW381" s="8"/>
      <c r="CX381" s="8"/>
      <c r="CY381" s="8"/>
      <c r="CZ381" s="8"/>
      <c r="DA381" s="8"/>
      <c r="DB381" s="8"/>
      <c r="DC381" s="8"/>
      <c r="DD381" s="8"/>
      <c r="DE381" s="8"/>
      <c r="DF381" s="8"/>
      <c r="DG381" s="8"/>
      <c r="DH381" s="8"/>
      <c r="DI381" s="8"/>
      <c r="DJ381" s="8"/>
      <c r="DK381" s="8"/>
      <c r="DL381" s="8"/>
      <c r="DM381" s="8"/>
      <c r="DN381" s="8"/>
    </row>
    <row r="382" spans="2:118" ht="15.75" customHeight="1">
      <c r="B382" s="8"/>
      <c r="CU382" s="8"/>
      <c r="CV382" s="8"/>
      <c r="CW382" s="8"/>
      <c r="CX382" s="8"/>
      <c r="CY382" s="8"/>
      <c r="CZ382" s="8"/>
      <c r="DA382" s="8"/>
      <c r="DB382" s="8"/>
      <c r="DC382" s="8"/>
      <c r="DD382" s="8"/>
      <c r="DE382" s="8"/>
      <c r="DF382" s="8"/>
      <c r="DG382" s="8"/>
      <c r="DH382" s="8"/>
      <c r="DI382" s="8"/>
      <c r="DJ382" s="8"/>
      <c r="DK382" s="8"/>
      <c r="DL382" s="8"/>
      <c r="DM382" s="8"/>
      <c r="DN382" s="8"/>
    </row>
    <row r="383" spans="2:118" ht="15.75" customHeight="1">
      <c r="B383" s="8"/>
      <c r="CU383" s="8"/>
      <c r="CV383" s="8"/>
      <c r="CW383" s="8"/>
      <c r="CX383" s="8"/>
      <c r="CY383" s="8"/>
      <c r="CZ383" s="8"/>
      <c r="DA383" s="8"/>
      <c r="DB383" s="8"/>
      <c r="DC383" s="8"/>
      <c r="DD383" s="8"/>
      <c r="DE383" s="8"/>
      <c r="DF383" s="8"/>
      <c r="DG383" s="8"/>
      <c r="DH383" s="8"/>
      <c r="DI383" s="8"/>
      <c r="DJ383" s="8"/>
      <c r="DK383" s="8"/>
      <c r="DL383" s="8"/>
      <c r="DM383" s="8"/>
      <c r="DN383" s="8"/>
    </row>
    <row r="384" spans="2:118" ht="15.75" customHeight="1">
      <c r="B384" s="8"/>
      <c r="CU384" s="8"/>
      <c r="CV384" s="8"/>
      <c r="CW384" s="8"/>
      <c r="CX384" s="8"/>
      <c r="CY384" s="8"/>
      <c r="CZ384" s="8"/>
      <c r="DA384" s="8"/>
      <c r="DB384" s="8"/>
      <c r="DC384" s="8"/>
      <c r="DD384" s="8"/>
      <c r="DE384" s="8"/>
      <c r="DF384" s="8"/>
      <c r="DG384" s="8"/>
      <c r="DH384" s="8"/>
      <c r="DI384" s="8"/>
      <c r="DJ384" s="8"/>
      <c r="DK384" s="8"/>
      <c r="DL384" s="8"/>
      <c r="DM384" s="8"/>
      <c r="DN384" s="8"/>
    </row>
    <row r="385" spans="2:118" ht="15.75" customHeight="1">
      <c r="B385" s="8"/>
      <c r="CU385" s="8"/>
      <c r="CV385" s="8"/>
      <c r="CW385" s="8"/>
      <c r="CX385" s="8"/>
      <c r="CY385" s="8"/>
      <c r="CZ385" s="8"/>
      <c r="DA385" s="8"/>
      <c r="DB385" s="8"/>
      <c r="DC385" s="8"/>
      <c r="DD385" s="8"/>
      <c r="DE385" s="8"/>
      <c r="DF385" s="8"/>
      <c r="DG385" s="8"/>
      <c r="DH385" s="8"/>
      <c r="DI385" s="8"/>
      <c r="DJ385" s="8"/>
      <c r="DK385" s="8"/>
      <c r="DL385" s="8"/>
      <c r="DM385" s="8"/>
      <c r="DN385" s="8"/>
    </row>
    <row r="386" spans="2:118" ht="15.75" customHeight="1">
      <c r="B386" s="8"/>
      <c r="CU386" s="8"/>
      <c r="CV386" s="8"/>
      <c r="CW386" s="8"/>
      <c r="CX386" s="8"/>
      <c r="CY386" s="8"/>
      <c r="CZ386" s="8"/>
      <c r="DA386" s="8"/>
      <c r="DB386" s="8"/>
      <c r="DC386" s="8"/>
      <c r="DD386" s="8"/>
      <c r="DE386" s="8"/>
      <c r="DF386" s="8"/>
      <c r="DG386" s="8"/>
      <c r="DH386" s="8"/>
      <c r="DI386" s="8"/>
      <c r="DJ386" s="8"/>
      <c r="DK386" s="8"/>
      <c r="DL386" s="8"/>
      <c r="DM386" s="8"/>
      <c r="DN386" s="8"/>
    </row>
    <row r="387" spans="2:118" ht="15.75" customHeight="1">
      <c r="B387" s="8"/>
      <c r="CU387" s="8"/>
      <c r="CV387" s="8"/>
      <c r="CW387" s="8"/>
      <c r="CX387" s="8"/>
      <c r="CY387" s="8"/>
      <c r="CZ387" s="8"/>
      <c r="DA387" s="8"/>
      <c r="DB387" s="8"/>
      <c r="DC387" s="8"/>
      <c r="DD387" s="8"/>
      <c r="DE387" s="8"/>
      <c r="DF387" s="8"/>
      <c r="DG387" s="8"/>
      <c r="DH387" s="8"/>
      <c r="DI387" s="8"/>
      <c r="DJ387" s="8"/>
      <c r="DK387" s="8"/>
      <c r="DL387" s="8"/>
      <c r="DM387" s="8"/>
      <c r="DN387" s="8"/>
    </row>
    <row r="388" spans="2:118" ht="15.75" customHeight="1">
      <c r="B388" s="8"/>
      <c r="CU388" s="8"/>
      <c r="CV388" s="8"/>
      <c r="CW388" s="8"/>
      <c r="CX388" s="8"/>
      <c r="CY388" s="8"/>
      <c r="CZ388" s="8"/>
      <c r="DA388" s="8"/>
      <c r="DB388" s="8"/>
      <c r="DC388" s="8"/>
      <c r="DD388" s="8"/>
      <c r="DE388" s="8"/>
      <c r="DF388" s="8"/>
      <c r="DG388" s="8"/>
      <c r="DH388" s="8"/>
      <c r="DI388" s="8"/>
      <c r="DJ388" s="8"/>
      <c r="DK388" s="8"/>
      <c r="DL388" s="8"/>
      <c r="DM388" s="8"/>
      <c r="DN388" s="8"/>
    </row>
    <row r="389" spans="2:118" ht="15.75" customHeight="1">
      <c r="B389" s="8"/>
      <c r="CU389" s="8"/>
      <c r="CV389" s="8"/>
      <c r="CW389" s="8"/>
      <c r="CX389" s="8"/>
      <c r="CY389" s="8"/>
      <c r="CZ389" s="8"/>
      <c r="DA389" s="8"/>
      <c r="DB389" s="8"/>
      <c r="DC389" s="8"/>
      <c r="DD389" s="8"/>
      <c r="DE389" s="8"/>
      <c r="DF389" s="8"/>
      <c r="DG389" s="8"/>
      <c r="DH389" s="8"/>
      <c r="DI389" s="8"/>
      <c r="DJ389" s="8"/>
      <c r="DK389" s="8"/>
      <c r="DL389" s="8"/>
      <c r="DM389" s="8"/>
      <c r="DN389" s="8"/>
    </row>
    <row r="390" spans="2:118" ht="15.75" customHeight="1">
      <c r="B390" s="8"/>
      <c r="CU390" s="8"/>
      <c r="CV390" s="8"/>
      <c r="CW390" s="8"/>
      <c r="CX390" s="8"/>
      <c r="CY390" s="8"/>
      <c r="CZ390" s="8"/>
      <c r="DA390" s="8"/>
      <c r="DB390" s="8"/>
      <c r="DC390" s="8"/>
      <c r="DD390" s="8"/>
      <c r="DE390" s="8"/>
      <c r="DF390" s="8"/>
      <c r="DG390" s="8"/>
      <c r="DH390" s="8"/>
      <c r="DI390" s="8"/>
      <c r="DJ390" s="8"/>
      <c r="DK390" s="8"/>
      <c r="DL390" s="8"/>
      <c r="DM390" s="8"/>
      <c r="DN390" s="8"/>
    </row>
    <row r="391" spans="2:118" ht="15.75" customHeight="1">
      <c r="B391" s="8"/>
      <c r="CU391" s="8"/>
      <c r="CV391" s="8"/>
      <c r="CW391" s="8"/>
      <c r="CX391" s="8"/>
      <c r="CY391" s="8"/>
      <c r="CZ391" s="8"/>
      <c r="DA391" s="8"/>
      <c r="DB391" s="8"/>
      <c r="DC391" s="8"/>
      <c r="DD391" s="8"/>
      <c r="DE391" s="8"/>
      <c r="DF391" s="8"/>
      <c r="DG391" s="8"/>
      <c r="DH391" s="8"/>
      <c r="DI391" s="8"/>
      <c r="DJ391" s="8"/>
      <c r="DK391" s="8"/>
      <c r="DL391" s="8"/>
      <c r="DM391" s="8"/>
      <c r="DN391" s="8"/>
    </row>
    <row r="392" spans="2:118" ht="15.75" customHeight="1">
      <c r="B392" s="8"/>
      <c r="CU392" s="8"/>
      <c r="CV392" s="8"/>
      <c r="CW392" s="8"/>
      <c r="CX392" s="8"/>
      <c r="CY392" s="8"/>
      <c r="CZ392" s="8"/>
      <c r="DA392" s="8"/>
      <c r="DB392" s="8"/>
      <c r="DC392" s="8"/>
      <c r="DD392" s="8"/>
      <c r="DE392" s="8"/>
      <c r="DF392" s="8"/>
      <c r="DG392" s="8"/>
      <c r="DH392" s="8"/>
      <c r="DI392" s="8"/>
      <c r="DJ392" s="8"/>
      <c r="DK392" s="8"/>
      <c r="DL392" s="8"/>
      <c r="DM392" s="8"/>
      <c r="DN392" s="8"/>
    </row>
    <row r="393" spans="2:118" ht="15.75" customHeight="1">
      <c r="B393" s="8"/>
      <c r="CU393" s="8"/>
      <c r="CV393" s="8"/>
      <c r="CW393" s="8"/>
      <c r="CX393" s="8"/>
      <c r="CY393" s="8"/>
      <c r="CZ393" s="8"/>
      <c r="DA393" s="8"/>
      <c r="DB393" s="8"/>
      <c r="DC393" s="8"/>
      <c r="DD393" s="8"/>
      <c r="DE393" s="8"/>
      <c r="DF393" s="8"/>
      <c r="DG393" s="8"/>
      <c r="DH393" s="8"/>
      <c r="DI393" s="8"/>
      <c r="DJ393" s="8"/>
      <c r="DK393" s="8"/>
      <c r="DL393" s="8"/>
      <c r="DM393" s="8"/>
      <c r="DN393" s="8"/>
    </row>
    <row r="394" spans="2:118" ht="15.75" customHeight="1">
      <c r="B394" s="8"/>
      <c r="CU394" s="8"/>
      <c r="CV394" s="8"/>
      <c r="CW394" s="8"/>
      <c r="CX394" s="8"/>
      <c r="CY394" s="8"/>
      <c r="CZ394" s="8"/>
      <c r="DA394" s="8"/>
      <c r="DB394" s="8"/>
      <c r="DC394" s="8"/>
      <c r="DD394" s="8"/>
      <c r="DE394" s="8"/>
      <c r="DF394" s="8"/>
      <c r="DG394" s="8"/>
      <c r="DH394" s="8"/>
      <c r="DI394" s="8"/>
      <c r="DJ394" s="8"/>
      <c r="DK394" s="8"/>
      <c r="DL394" s="8"/>
      <c r="DM394" s="8"/>
      <c r="DN394" s="8"/>
    </row>
    <row r="395" spans="2:118" ht="15.75" customHeight="1">
      <c r="B395" s="8"/>
      <c r="CU395" s="8"/>
      <c r="CV395" s="8"/>
      <c r="CW395" s="8"/>
      <c r="CX395" s="8"/>
      <c r="CY395" s="8"/>
      <c r="CZ395" s="8"/>
      <c r="DA395" s="8"/>
      <c r="DB395" s="8"/>
      <c r="DC395" s="8"/>
      <c r="DD395" s="8"/>
      <c r="DE395" s="8"/>
      <c r="DF395" s="8"/>
      <c r="DG395" s="8"/>
      <c r="DH395" s="8"/>
      <c r="DI395" s="8"/>
      <c r="DJ395" s="8"/>
      <c r="DK395" s="8"/>
      <c r="DL395" s="8"/>
      <c r="DM395" s="8"/>
      <c r="DN395" s="8"/>
    </row>
    <row r="396" spans="2:118" ht="15.75" customHeight="1">
      <c r="B396" s="8"/>
      <c r="CU396" s="8"/>
      <c r="CV396" s="8"/>
      <c r="CW396" s="8"/>
      <c r="CX396" s="8"/>
      <c r="CY396" s="8"/>
      <c r="CZ396" s="8"/>
      <c r="DA396" s="8"/>
      <c r="DB396" s="8"/>
      <c r="DC396" s="8"/>
      <c r="DD396" s="8"/>
      <c r="DE396" s="8"/>
      <c r="DF396" s="8"/>
      <c r="DG396" s="8"/>
      <c r="DH396" s="8"/>
      <c r="DI396" s="8"/>
      <c r="DJ396" s="8"/>
      <c r="DK396" s="8"/>
      <c r="DL396" s="8"/>
      <c r="DM396" s="8"/>
      <c r="DN396" s="8"/>
    </row>
    <row r="397" spans="2:118" ht="15.75" customHeight="1">
      <c r="B397" s="8"/>
      <c r="CU397" s="8"/>
      <c r="CV397" s="8"/>
      <c r="CW397" s="8"/>
      <c r="CX397" s="8"/>
      <c r="CY397" s="8"/>
      <c r="CZ397" s="8"/>
      <c r="DA397" s="8"/>
      <c r="DB397" s="8"/>
      <c r="DC397" s="8"/>
      <c r="DD397" s="8"/>
      <c r="DE397" s="8"/>
      <c r="DF397" s="8"/>
      <c r="DG397" s="8"/>
      <c r="DH397" s="8"/>
      <c r="DI397" s="8"/>
      <c r="DJ397" s="8"/>
      <c r="DK397" s="8"/>
      <c r="DL397" s="8"/>
      <c r="DM397" s="8"/>
      <c r="DN397" s="8"/>
    </row>
    <row r="398" spans="2:118" ht="15.75" customHeight="1">
      <c r="B398" s="8"/>
      <c r="CU398" s="8"/>
      <c r="CV398" s="8"/>
      <c r="CW398" s="8"/>
      <c r="CX398" s="8"/>
      <c r="CY398" s="8"/>
      <c r="CZ398" s="8"/>
      <c r="DA398" s="8"/>
      <c r="DB398" s="8"/>
      <c r="DC398" s="8"/>
      <c r="DD398" s="8"/>
      <c r="DE398" s="8"/>
      <c r="DF398" s="8"/>
      <c r="DG398" s="8"/>
      <c r="DH398" s="8"/>
      <c r="DI398" s="8"/>
      <c r="DJ398" s="8"/>
      <c r="DK398" s="8"/>
      <c r="DL398" s="8"/>
      <c r="DM398" s="8"/>
      <c r="DN398" s="8"/>
    </row>
    <row r="399" spans="2:118" ht="15.75" customHeight="1">
      <c r="B399" s="8"/>
      <c r="CU399" s="8"/>
      <c r="CV399" s="8"/>
      <c r="CW399" s="8"/>
      <c r="CX399" s="8"/>
      <c r="CY399" s="8"/>
      <c r="CZ399" s="8"/>
      <c r="DA399" s="8"/>
      <c r="DB399" s="8"/>
      <c r="DC399" s="8"/>
      <c r="DD399" s="8"/>
      <c r="DE399" s="8"/>
      <c r="DF399" s="8"/>
      <c r="DG399" s="8"/>
      <c r="DH399" s="8"/>
      <c r="DI399" s="8"/>
      <c r="DJ399" s="8"/>
      <c r="DK399" s="8"/>
      <c r="DL399" s="8"/>
      <c r="DM399" s="8"/>
      <c r="DN399" s="8"/>
    </row>
    <row r="400" spans="2:118" ht="15.75" customHeight="1">
      <c r="B400" s="8"/>
      <c r="CU400" s="8"/>
      <c r="CV400" s="8"/>
      <c r="CW400" s="8"/>
      <c r="CX400" s="8"/>
      <c r="CY400" s="8"/>
      <c r="CZ400" s="8"/>
      <c r="DA400" s="8"/>
      <c r="DB400" s="8"/>
      <c r="DC400" s="8"/>
      <c r="DD400" s="8"/>
      <c r="DE400" s="8"/>
      <c r="DF400" s="8"/>
      <c r="DG400" s="8"/>
      <c r="DH400" s="8"/>
      <c r="DI400" s="8"/>
      <c r="DJ400" s="8"/>
      <c r="DK400" s="8"/>
      <c r="DL400" s="8"/>
      <c r="DM400" s="8"/>
      <c r="DN400" s="8"/>
    </row>
    <row r="401" spans="2:118" ht="15.75" customHeight="1">
      <c r="B401" s="8"/>
      <c r="CU401" s="8"/>
      <c r="CV401" s="8"/>
      <c r="CW401" s="8"/>
      <c r="CX401" s="8"/>
      <c r="CY401" s="8"/>
      <c r="CZ401" s="8"/>
      <c r="DA401" s="8"/>
      <c r="DB401" s="8"/>
      <c r="DC401" s="8"/>
      <c r="DD401" s="8"/>
      <c r="DE401" s="8"/>
      <c r="DF401" s="8"/>
      <c r="DG401" s="8"/>
      <c r="DH401" s="8"/>
      <c r="DI401" s="8"/>
      <c r="DJ401" s="8"/>
      <c r="DK401" s="8"/>
      <c r="DL401" s="8"/>
      <c r="DM401" s="8"/>
      <c r="DN401" s="8"/>
    </row>
    <row r="402" spans="2:118" ht="15.75" customHeight="1">
      <c r="B402" s="8"/>
      <c r="CU402" s="8"/>
      <c r="CV402" s="8"/>
      <c r="CW402" s="8"/>
      <c r="CX402" s="8"/>
      <c r="CY402" s="8"/>
      <c r="CZ402" s="8"/>
      <c r="DA402" s="8"/>
      <c r="DB402" s="8"/>
      <c r="DC402" s="8"/>
      <c r="DD402" s="8"/>
      <c r="DE402" s="8"/>
      <c r="DF402" s="8"/>
      <c r="DG402" s="8"/>
      <c r="DH402" s="8"/>
      <c r="DI402" s="8"/>
      <c r="DJ402" s="8"/>
      <c r="DK402" s="8"/>
      <c r="DL402" s="8"/>
      <c r="DM402" s="8"/>
      <c r="DN402" s="8"/>
    </row>
    <row r="403" spans="2:118" ht="15.75" customHeight="1">
      <c r="B403" s="8"/>
      <c r="CU403" s="8"/>
      <c r="CV403" s="8"/>
      <c r="CW403" s="8"/>
      <c r="CX403" s="8"/>
      <c r="CY403" s="8"/>
      <c r="CZ403" s="8"/>
      <c r="DA403" s="8"/>
      <c r="DB403" s="8"/>
      <c r="DC403" s="8"/>
      <c r="DD403" s="8"/>
      <c r="DE403" s="8"/>
      <c r="DF403" s="8"/>
      <c r="DG403" s="8"/>
      <c r="DH403" s="8"/>
      <c r="DI403" s="8"/>
      <c r="DJ403" s="8"/>
      <c r="DK403" s="8"/>
      <c r="DL403" s="8"/>
      <c r="DM403" s="8"/>
      <c r="DN403" s="8"/>
    </row>
    <row r="404" spans="2:118" ht="15.75" customHeight="1">
      <c r="B404" s="8"/>
      <c r="CU404" s="8"/>
      <c r="CV404" s="8"/>
      <c r="CW404" s="8"/>
      <c r="CX404" s="8"/>
      <c r="CY404" s="8"/>
      <c r="CZ404" s="8"/>
      <c r="DA404" s="8"/>
      <c r="DB404" s="8"/>
      <c r="DC404" s="8"/>
      <c r="DD404" s="8"/>
      <c r="DE404" s="8"/>
      <c r="DF404" s="8"/>
      <c r="DG404" s="8"/>
      <c r="DH404" s="8"/>
      <c r="DI404" s="8"/>
      <c r="DJ404" s="8"/>
      <c r="DK404" s="8"/>
      <c r="DL404" s="8"/>
      <c r="DM404" s="8"/>
      <c r="DN404" s="8"/>
    </row>
    <row r="405" spans="2:118" ht="15.75" customHeight="1">
      <c r="B405" s="8"/>
      <c r="CU405" s="8"/>
      <c r="CV405" s="8"/>
      <c r="CW405" s="8"/>
      <c r="CX405" s="8"/>
      <c r="CY405" s="8"/>
      <c r="CZ405" s="8"/>
      <c r="DA405" s="8"/>
      <c r="DB405" s="8"/>
      <c r="DC405" s="8"/>
      <c r="DD405" s="8"/>
      <c r="DE405" s="8"/>
      <c r="DF405" s="8"/>
      <c r="DG405" s="8"/>
      <c r="DH405" s="8"/>
      <c r="DI405" s="8"/>
      <c r="DJ405" s="8"/>
      <c r="DK405" s="8"/>
      <c r="DL405" s="8"/>
      <c r="DM405" s="8"/>
      <c r="DN405" s="8"/>
    </row>
    <row r="406" spans="2:118" ht="15.75" customHeight="1">
      <c r="B406" s="8"/>
      <c r="CU406" s="8"/>
      <c r="CV406" s="8"/>
      <c r="CW406" s="8"/>
      <c r="CX406" s="8"/>
      <c r="CY406" s="8"/>
      <c r="CZ406" s="8"/>
      <c r="DA406" s="8"/>
      <c r="DB406" s="8"/>
      <c r="DC406" s="8"/>
      <c r="DD406" s="8"/>
      <c r="DE406" s="8"/>
      <c r="DF406" s="8"/>
      <c r="DG406" s="8"/>
      <c r="DH406" s="8"/>
      <c r="DI406" s="8"/>
      <c r="DJ406" s="8"/>
      <c r="DK406" s="8"/>
      <c r="DL406" s="8"/>
      <c r="DM406" s="8"/>
      <c r="DN406" s="8"/>
    </row>
    <row r="407" spans="2:118" ht="15.75" customHeight="1">
      <c r="B407" s="8"/>
      <c r="CU407" s="8"/>
      <c r="CV407" s="8"/>
      <c r="CW407" s="8"/>
      <c r="CX407" s="8"/>
      <c r="CY407" s="8"/>
      <c r="CZ407" s="8"/>
      <c r="DA407" s="8"/>
      <c r="DB407" s="8"/>
      <c r="DC407" s="8"/>
      <c r="DD407" s="8"/>
      <c r="DE407" s="8"/>
      <c r="DF407" s="8"/>
      <c r="DG407" s="8"/>
      <c r="DH407" s="8"/>
      <c r="DI407" s="8"/>
      <c r="DJ407" s="8"/>
      <c r="DK407" s="8"/>
      <c r="DL407" s="8"/>
      <c r="DM407" s="8"/>
      <c r="DN407" s="8"/>
    </row>
    <row r="408" spans="2:118" ht="15.75" customHeight="1">
      <c r="B408" s="8"/>
      <c r="CU408" s="8"/>
      <c r="CV408" s="8"/>
      <c r="CW408" s="8"/>
      <c r="CX408" s="8"/>
      <c r="CY408" s="8"/>
      <c r="CZ408" s="8"/>
      <c r="DA408" s="8"/>
      <c r="DB408" s="8"/>
      <c r="DC408" s="8"/>
      <c r="DD408" s="8"/>
      <c r="DE408" s="8"/>
      <c r="DF408" s="8"/>
      <c r="DG408" s="8"/>
      <c r="DH408" s="8"/>
      <c r="DI408" s="8"/>
      <c r="DJ408" s="8"/>
      <c r="DK408" s="8"/>
      <c r="DL408" s="8"/>
      <c r="DM408" s="8"/>
      <c r="DN408" s="8"/>
    </row>
    <row r="409" spans="2:118" ht="15.75" customHeight="1">
      <c r="B409" s="8"/>
      <c r="CU409" s="8"/>
      <c r="CV409" s="8"/>
      <c r="CW409" s="8"/>
      <c r="CX409" s="8"/>
      <c r="CY409" s="8"/>
      <c r="CZ409" s="8"/>
      <c r="DA409" s="8"/>
      <c r="DB409" s="8"/>
      <c r="DC409" s="8"/>
      <c r="DD409" s="8"/>
      <c r="DE409" s="8"/>
      <c r="DF409" s="8"/>
      <c r="DG409" s="8"/>
      <c r="DH409" s="8"/>
      <c r="DI409" s="8"/>
      <c r="DJ409" s="8"/>
      <c r="DK409" s="8"/>
      <c r="DL409" s="8"/>
      <c r="DM409" s="8"/>
      <c r="DN409" s="8"/>
    </row>
    <row r="410" spans="2:118" ht="15.75" customHeight="1">
      <c r="B410" s="8"/>
      <c r="CU410" s="8"/>
      <c r="CV410" s="8"/>
      <c r="CW410" s="8"/>
      <c r="CX410" s="8"/>
      <c r="CY410" s="8"/>
      <c r="CZ410" s="8"/>
      <c r="DA410" s="8"/>
      <c r="DB410" s="8"/>
      <c r="DC410" s="8"/>
      <c r="DD410" s="8"/>
      <c r="DE410" s="8"/>
      <c r="DF410" s="8"/>
      <c r="DG410" s="8"/>
      <c r="DH410" s="8"/>
      <c r="DI410" s="8"/>
      <c r="DJ410" s="8"/>
      <c r="DK410" s="8"/>
      <c r="DL410" s="8"/>
      <c r="DM410" s="8"/>
      <c r="DN410" s="8"/>
    </row>
    <row r="411" spans="2:118" ht="15.75" customHeight="1">
      <c r="B411" s="8"/>
      <c r="CU411" s="8"/>
      <c r="CV411" s="8"/>
      <c r="CW411" s="8"/>
      <c r="CX411" s="8"/>
      <c r="CY411" s="8"/>
      <c r="CZ411" s="8"/>
      <c r="DA411" s="8"/>
      <c r="DB411" s="8"/>
      <c r="DC411" s="8"/>
      <c r="DD411" s="8"/>
      <c r="DE411" s="8"/>
      <c r="DF411" s="8"/>
      <c r="DG411" s="8"/>
      <c r="DH411" s="8"/>
      <c r="DI411" s="8"/>
      <c r="DJ411" s="8"/>
      <c r="DK411" s="8"/>
      <c r="DL411" s="8"/>
      <c r="DM411" s="8"/>
      <c r="DN411" s="8"/>
    </row>
    <row r="412" spans="2:118" ht="15.75" customHeight="1">
      <c r="B412" s="8"/>
      <c r="CU412" s="8"/>
      <c r="CV412" s="8"/>
      <c r="CW412" s="8"/>
      <c r="CX412" s="8"/>
      <c r="CY412" s="8"/>
      <c r="CZ412" s="8"/>
      <c r="DA412" s="8"/>
      <c r="DB412" s="8"/>
      <c r="DC412" s="8"/>
      <c r="DD412" s="8"/>
      <c r="DE412" s="8"/>
      <c r="DF412" s="8"/>
      <c r="DG412" s="8"/>
      <c r="DH412" s="8"/>
      <c r="DI412" s="8"/>
      <c r="DJ412" s="8"/>
      <c r="DK412" s="8"/>
      <c r="DL412" s="8"/>
      <c r="DM412" s="8"/>
      <c r="DN412" s="8"/>
    </row>
    <row r="413" spans="2:118" ht="15.75" customHeight="1">
      <c r="B413" s="8"/>
      <c r="CU413" s="8"/>
      <c r="CV413" s="8"/>
      <c r="CW413" s="8"/>
      <c r="CX413" s="8"/>
      <c r="CY413" s="8"/>
      <c r="CZ413" s="8"/>
      <c r="DA413" s="8"/>
      <c r="DB413" s="8"/>
      <c r="DC413" s="8"/>
      <c r="DD413" s="8"/>
      <c r="DE413" s="8"/>
      <c r="DF413" s="8"/>
      <c r="DG413" s="8"/>
      <c r="DH413" s="8"/>
      <c r="DI413" s="8"/>
      <c r="DJ413" s="8"/>
      <c r="DK413" s="8"/>
      <c r="DL413" s="8"/>
      <c r="DM413" s="8"/>
      <c r="DN413" s="8"/>
    </row>
    <row r="414" spans="2:118" ht="15.75" customHeight="1">
      <c r="B414" s="8"/>
      <c r="CU414" s="8"/>
      <c r="CV414" s="8"/>
      <c r="CW414" s="8"/>
      <c r="CX414" s="8"/>
      <c r="CY414" s="8"/>
      <c r="CZ414" s="8"/>
      <c r="DA414" s="8"/>
      <c r="DB414" s="8"/>
      <c r="DC414" s="8"/>
      <c r="DD414" s="8"/>
      <c r="DE414" s="8"/>
      <c r="DF414" s="8"/>
      <c r="DG414" s="8"/>
      <c r="DH414" s="8"/>
      <c r="DI414" s="8"/>
      <c r="DJ414" s="8"/>
      <c r="DK414" s="8"/>
      <c r="DL414" s="8"/>
      <c r="DM414" s="8"/>
      <c r="DN414" s="8"/>
    </row>
    <row r="415" spans="2:118" ht="15.75" customHeight="1">
      <c r="B415" s="8"/>
      <c r="CU415" s="8"/>
      <c r="CV415" s="8"/>
      <c r="CW415" s="8"/>
      <c r="CX415" s="8"/>
      <c r="CY415" s="8"/>
      <c r="CZ415" s="8"/>
      <c r="DA415" s="8"/>
      <c r="DB415" s="8"/>
      <c r="DC415" s="8"/>
      <c r="DD415" s="8"/>
      <c r="DE415" s="8"/>
      <c r="DF415" s="8"/>
      <c r="DG415" s="8"/>
      <c r="DH415" s="8"/>
      <c r="DI415" s="8"/>
      <c r="DJ415" s="8"/>
      <c r="DK415" s="8"/>
      <c r="DL415" s="8"/>
      <c r="DM415" s="8"/>
      <c r="DN415" s="8"/>
    </row>
    <row r="416" spans="2:118" ht="15.75" customHeight="1">
      <c r="B416" s="8"/>
      <c r="CU416" s="8"/>
      <c r="CV416" s="8"/>
      <c r="CW416" s="8"/>
      <c r="CX416" s="8"/>
      <c r="CY416" s="8"/>
      <c r="CZ416" s="8"/>
      <c r="DA416" s="8"/>
      <c r="DB416" s="8"/>
      <c r="DC416" s="8"/>
      <c r="DD416" s="8"/>
      <c r="DE416" s="8"/>
      <c r="DF416" s="8"/>
      <c r="DG416" s="8"/>
      <c r="DH416" s="8"/>
      <c r="DI416" s="8"/>
      <c r="DJ416" s="8"/>
      <c r="DK416" s="8"/>
      <c r="DL416" s="8"/>
      <c r="DM416" s="8"/>
      <c r="DN416" s="8"/>
    </row>
    <row r="417" spans="2:118" ht="15.75" customHeight="1">
      <c r="B417" s="8"/>
      <c r="CU417" s="8"/>
      <c r="CV417" s="8"/>
      <c r="CW417" s="8"/>
      <c r="CX417" s="8"/>
      <c r="CY417" s="8"/>
      <c r="CZ417" s="8"/>
      <c r="DA417" s="8"/>
      <c r="DB417" s="8"/>
      <c r="DC417" s="8"/>
      <c r="DD417" s="8"/>
      <c r="DE417" s="8"/>
      <c r="DF417" s="8"/>
      <c r="DG417" s="8"/>
      <c r="DH417" s="8"/>
      <c r="DI417" s="8"/>
      <c r="DJ417" s="8"/>
      <c r="DK417" s="8"/>
      <c r="DL417" s="8"/>
      <c r="DM417" s="8"/>
      <c r="DN417" s="8"/>
    </row>
    <row r="418" spans="2:118" ht="15.75" customHeight="1">
      <c r="B418" s="8"/>
      <c r="CU418" s="8"/>
      <c r="CV418" s="8"/>
      <c r="CW418" s="8"/>
      <c r="CX418" s="8"/>
      <c r="CY418" s="8"/>
      <c r="CZ418" s="8"/>
      <c r="DA418" s="8"/>
      <c r="DB418" s="8"/>
      <c r="DC418" s="8"/>
      <c r="DD418" s="8"/>
      <c r="DE418" s="8"/>
      <c r="DF418" s="8"/>
      <c r="DG418" s="8"/>
      <c r="DH418" s="8"/>
      <c r="DI418" s="8"/>
      <c r="DJ418" s="8"/>
      <c r="DK418" s="8"/>
      <c r="DL418" s="8"/>
      <c r="DM418" s="8"/>
      <c r="DN418" s="8"/>
    </row>
    <row r="419" spans="2:118" ht="15.75" customHeight="1">
      <c r="B419" s="8"/>
      <c r="CU419" s="8"/>
      <c r="CV419" s="8"/>
      <c r="CW419" s="8"/>
      <c r="CX419" s="8"/>
      <c r="CY419" s="8"/>
      <c r="CZ419" s="8"/>
      <c r="DA419" s="8"/>
      <c r="DB419" s="8"/>
      <c r="DC419" s="8"/>
      <c r="DD419" s="8"/>
      <c r="DE419" s="8"/>
      <c r="DF419" s="8"/>
      <c r="DG419" s="8"/>
      <c r="DH419" s="8"/>
      <c r="DI419" s="8"/>
      <c r="DJ419" s="8"/>
      <c r="DK419" s="8"/>
      <c r="DL419" s="8"/>
      <c r="DM419" s="8"/>
      <c r="DN419" s="8"/>
    </row>
    <row r="420" spans="2:118" ht="15.75" customHeight="1">
      <c r="B420" s="8"/>
      <c r="CU420" s="8"/>
      <c r="CV420" s="8"/>
      <c r="CW420" s="8"/>
      <c r="CX420" s="8"/>
      <c r="CY420" s="8"/>
      <c r="CZ420" s="8"/>
      <c r="DA420" s="8"/>
      <c r="DB420" s="8"/>
      <c r="DC420" s="8"/>
      <c r="DD420" s="8"/>
      <c r="DE420" s="8"/>
      <c r="DF420" s="8"/>
      <c r="DG420" s="8"/>
      <c r="DH420" s="8"/>
      <c r="DI420" s="8"/>
      <c r="DJ420" s="8"/>
      <c r="DK420" s="8"/>
      <c r="DL420" s="8"/>
      <c r="DM420" s="8"/>
      <c r="DN420" s="8"/>
    </row>
    <row r="421" spans="2:118" ht="15.75" customHeight="1">
      <c r="B421" s="8"/>
      <c r="CU421" s="8"/>
      <c r="CV421" s="8"/>
      <c r="CW421" s="8"/>
      <c r="CX421" s="8"/>
      <c r="CY421" s="8"/>
      <c r="CZ421" s="8"/>
      <c r="DA421" s="8"/>
      <c r="DB421" s="8"/>
      <c r="DC421" s="8"/>
      <c r="DD421" s="8"/>
      <c r="DE421" s="8"/>
      <c r="DF421" s="8"/>
      <c r="DG421" s="8"/>
      <c r="DH421" s="8"/>
      <c r="DI421" s="8"/>
      <c r="DJ421" s="8"/>
      <c r="DK421" s="8"/>
      <c r="DL421" s="8"/>
      <c r="DM421" s="8"/>
      <c r="DN421" s="8"/>
    </row>
    <row r="422" spans="2:118" ht="15.75" customHeight="1">
      <c r="B422" s="8"/>
      <c r="CU422" s="8"/>
      <c r="CV422" s="8"/>
      <c r="CW422" s="8"/>
      <c r="CX422" s="8"/>
      <c r="CY422" s="8"/>
      <c r="CZ422" s="8"/>
      <c r="DA422" s="8"/>
      <c r="DB422" s="8"/>
      <c r="DC422" s="8"/>
      <c r="DD422" s="8"/>
      <c r="DE422" s="8"/>
      <c r="DF422" s="8"/>
      <c r="DG422" s="8"/>
      <c r="DH422" s="8"/>
      <c r="DI422" s="8"/>
      <c r="DJ422" s="8"/>
      <c r="DK422" s="8"/>
      <c r="DL422" s="8"/>
      <c r="DM422" s="8"/>
      <c r="DN422" s="8"/>
    </row>
    <row r="423" spans="2:118" ht="15.75" customHeight="1">
      <c r="B423" s="8"/>
      <c r="CU423" s="8"/>
      <c r="CV423" s="8"/>
      <c r="CW423" s="8"/>
      <c r="CX423" s="8"/>
      <c r="CY423" s="8"/>
      <c r="CZ423" s="8"/>
      <c r="DA423" s="8"/>
      <c r="DB423" s="8"/>
      <c r="DC423" s="8"/>
      <c r="DD423" s="8"/>
      <c r="DE423" s="8"/>
      <c r="DF423" s="8"/>
      <c r="DG423" s="8"/>
      <c r="DH423" s="8"/>
      <c r="DI423" s="8"/>
      <c r="DJ423" s="8"/>
      <c r="DK423" s="8"/>
      <c r="DL423" s="8"/>
      <c r="DM423" s="8"/>
      <c r="DN423" s="8"/>
    </row>
    <row r="424" spans="2:118" ht="15.75" customHeight="1">
      <c r="B424" s="8"/>
      <c r="CU424" s="8"/>
      <c r="CV424" s="8"/>
      <c r="CW424" s="8"/>
      <c r="CX424" s="8"/>
      <c r="CY424" s="8"/>
      <c r="CZ424" s="8"/>
      <c r="DA424" s="8"/>
      <c r="DB424" s="8"/>
      <c r="DC424" s="8"/>
      <c r="DD424" s="8"/>
      <c r="DE424" s="8"/>
      <c r="DF424" s="8"/>
      <c r="DG424" s="8"/>
      <c r="DH424" s="8"/>
      <c r="DI424" s="8"/>
      <c r="DJ424" s="8"/>
      <c r="DK424" s="8"/>
      <c r="DL424" s="8"/>
      <c r="DM424" s="8"/>
      <c r="DN424" s="8"/>
    </row>
    <row r="425" spans="2:118" ht="15.75" customHeight="1">
      <c r="B425" s="8"/>
      <c r="CU425" s="8"/>
      <c r="CV425" s="8"/>
      <c r="CW425" s="8"/>
      <c r="CX425" s="8"/>
      <c r="CY425" s="8"/>
      <c r="CZ425" s="8"/>
      <c r="DA425" s="8"/>
      <c r="DB425" s="8"/>
      <c r="DC425" s="8"/>
      <c r="DD425" s="8"/>
      <c r="DE425" s="8"/>
      <c r="DF425" s="8"/>
      <c r="DG425" s="8"/>
      <c r="DH425" s="8"/>
      <c r="DI425" s="8"/>
      <c r="DJ425" s="8"/>
      <c r="DK425" s="8"/>
      <c r="DL425" s="8"/>
      <c r="DM425" s="8"/>
      <c r="DN425" s="8"/>
    </row>
    <row r="426" spans="2:118" ht="15.75" customHeight="1">
      <c r="B426" s="8"/>
      <c r="CU426" s="8"/>
      <c r="CV426" s="8"/>
      <c r="CW426" s="8"/>
      <c r="CX426" s="8"/>
      <c r="CY426" s="8"/>
      <c r="CZ426" s="8"/>
      <c r="DA426" s="8"/>
      <c r="DB426" s="8"/>
      <c r="DC426" s="8"/>
      <c r="DD426" s="8"/>
      <c r="DE426" s="8"/>
      <c r="DF426" s="8"/>
      <c r="DG426" s="8"/>
      <c r="DH426" s="8"/>
      <c r="DI426" s="8"/>
      <c r="DJ426" s="8"/>
      <c r="DK426" s="8"/>
      <c r="DL426" s="8"/>
      <c r="DM426" s="8"/>
      <c r="DN426" s="8"/>
    </row>
    <row r="427" spans="2:118" ht="15.75" customHeight="1">
      <c r="B427" s="8"/>
      <c r="CU427" s="8"/>
      <c r="CV427" s="8"/>
      <c r="CW427" s="8"/>
      <c r="CX427" s="8"/>
      <c r="CY427" s="8"/>
      <c r="CZ427" s="8"/>
      <c r="DA427" s="8"/>
      <c r="DB427" s="8"/>
      <c r="DC427" s="8"/>
      <c r="DD427" s="8"/>
      <c r="DE427" s="8"/>
      <c r="DF427" s="8"/>
      <c r="DG427" s="8"/>
      <c r="DH427" s="8"/>
      <c r="DI427" s="8"/>
      <c r="DJ427" s="8"/>
      <c r="DK427" s="8"/>
      <c r="DL427" s="8"/>
      <c r="DM427" s="8"/>
      <c r="DN427" s="8"/>
    </row>
    <row r="428" spans="2:118" ht="15.75" customHeight="1">
      <c r="B428" s="8"/>
      <c r="CU428" s="8"/>
      <c r="CV428" s="8"/>
      <c r="CW428" s="8"/>
      <c r="CX428" s="8"/>
      <c r="CY428" s="8"/>
      <c r="CZ428" s="8"/>
      <c r="DA428" s="8"/>
      <c r="DB428" s="8"/>
      <c r="DC428" s="8"/>
      <c r="DD428" s="8"/>
      <c r="DE428" s="8"/>
      <c r="DF428" s="8"/>
      <c r="DG428" s="8"/>
      <c r="DH428" s="8"/>
      <c r="DI428" s="8"/>
      <c r="DJ428" s="8"/>
      <c r="DK428" s="8"/>
      <c r="DL428" s="8"/>
      <c r="DM428" s="8"/>
      <c r="DN428" s="8"/>
    </row>
    <row r="429" spans="2:118" ht="15.75" customHeight="1">
      <c r="B429" s="8"/>
      <c r="CU429" s="8"/>
      <c r="CV429" s="8"/>
      <c r="CW429" s="8"/>
      <c r="CX429" s="8"/>
      <c r="CY429" s="8"/>
      <c r="CZ429" s="8"/>
      <c r="DA429" s="8"/>
      <c r="DB429" s="8"/>
      <c r="DC429" s="8"/>
      <c r="DD429" s="8"/>
      <c r="DE429" s="8"/>
      <c r="DF429" s="8"/>
      <c r="DG429" s="8"/>
      <c r="DH429" s="8"/>
      <c r="DI429" s="8"/>
      <c r="DJ429" s="8"/>
      <c r="DK429" s="8"/>
      <c r="DL429" s="8"/>
      <c r="DM429" s="8"/>
      <c r="DN429" s="8"/>
    </row>
    <row r="430" spans="2:118" ht="15.75" customHeight="1">
      <c r="B430" s="8"/>
      <c r="CU430" s="8"/>
      <c r="CV430" s="8"/>
      <c r="CW430" s="8"/>
      <c r="CX430" s="8"/>
      <c r="CY430" s="8"/>
      <c r="CZ430" s="8"/>
      <c r="DA430" s="8"/>
      <c r="DB430" s="8"/>
      <c r="DC430" s="8"/>
      <c r="DD430" s="8"/>
      <c r="DE430" s="8"/>
      <c r="DF430" s="8"/>
      <c r="DG430" s="8"/>
      <c r="DH430" s="8"/>
      <c r="DI430" s="8"/>
      <c r="DJ430" s="8"/>
      <c r="DK430" s="8"/>
      <c r="DL430" s="8"/>
      <c r="DM430" s="8"/>
      <c r="DN430" s="8"/>
    </row>
    <row r="431" spans="2:118" ht="15.75" customHeight="1">
      <c r="B431" s="8"/>
      <c r="CU431" s="8"/>
      <c r="CV431" s="8"/>
      <c r="CW431" s="8"/>
      <c r="CX431" s="8"/>
      <c r="CY431" s="8"/>
      <c r="CZ431" s="8"/>
      <c r="DA431" s="8"/>
      <c r="DB431" s="8"/>
      <c r="DC431" s="8"/>
      <c r="DD431" s="8"/>
      <c r="DE431" s="8"/>
      <c r="DF431" s="8"/>
      <c r="DG431" s="8"/>
      <c r="DH431" s="8"/>
      <c r="DI431" s="8"/>
      <c r="DJ431" s="8"/>
      <c r="DK431" s="8"/>
      <c r="DL431" s="8"/>
      <c r="DM431" s="8"/>
      <c r="DN431" s="8"/>
    </row>
    <row r="432" spans="2:118" ht="15.75" customHeight="1">
      <c r="B432" s="8"/>
      <c r="CU432" s="8"/>
      <c r="CV432" s="8"/>
      <c r="CW432" s="8"/>
      <c r="CX432" s="8"/>
      <c r="CY432" s="8"/>
      <c r="CZ432" s="8"/>
      <c r="DA432" s="8"/>
      <c r="DB432" s="8"/>
      <c r="DC432" s="8"/>
      <c r="DD432" s="8"/>
      <c r="DE432" s="8"/>
      <c r="DF432" s="8"/>
      <c r="DG432" s="8"/>
      <c r="DH432" s="8"/>
      <c r="DI432" s="8"/>
      <c r="DJ432" s="8"/>
      <c r="DK432" s="8"/>
      <c r="DL432" s="8"/>
      <c r="DM432" s="8"/>
      <c r="DN432" s="8"/>
    </row>
    <row r="433" spans="2:118" ht="15.75" customHeight="1">
      <c r="B433" s="8"/>
      <c r="CU433" s="8"/>
      <c r="CV433" s="8"/>
      <c r="CW433" s="8"/>
      <c r="CX433" s="8"/>
      <c r="CY433" s="8"/>
      <c r="CZ433" s="8"/>
      <c r="DA433" s="8"/>
      <c r="DB433" s="8"/>
      <c r="DC433" s="8"/>
      <c r="DD433" s="8"/>
      <c r="DE433" s="8"/>
      <c r="DF433" s="8"/>
      <c r="DG433" s="8"/>
      <c r="DH433" s="8"/>
      <c r="DI433" s="8"/>
      <c r="DJ433" s="8"/>
      <c r="DK433" s="8"/>
      <c r="DL433" s="8"/>
      <c r="DM433" s="8"/>
      <c r="DN433" s="8"/>
    </row>
    <row r="434" spans="2:118" ht="15.75" customHeight="1">
      <c r="B434" s="8"/>
      <c r="CU434" s="8"/>
      <c r="CV434" s="8"/>
      <c r="CW434" s="8"/>
      <c r="CX434" s="8"/>
      <c r="CY434" s="8"/>
      <c r="CZ434" s="8"/>
      <c r="DA434" s="8"/>
      <c r="DB434" s="8"/>
      <c r="DC434" s="8"/>
      <c r="DD434" s="8"/>
      <c r="DE434" s="8"/>
      <c r="DF434" s="8"/>
      <c r="DG434" s="8"/>
      <c r="DH434" s="8"/>
      <c r="DI434" s="8"/>
      <c r="DJ434" s="8"/>
      <c r="DK434" s="8"/>
      <c r="DL434" s="8"/>
      <c r="DM434" s="8"/>
      <c r="DN434" s="8"/>
    </row>
    <row r="435" spans="2:118" ht="15.75" customHeight="1">
      <c r="B435" s="8"/>
      <c r="CU435" s="8"/>
      <c r="CV435" s="8"/>
      <c r="CW435" s="8"/>
      <c r="CX435" s="8"/>
      <c r="CY435" s="8"/>
      <c r="CZ435" s="8"/>
      <c r="DA435" s="8"/>
      <c r="DB435" s="8"/>
      <c r="DC435" s="8"/>
      <c r="DD435" s="8"/>
      <c r="DE435" s="8"/>
      <c r="DF435" s="8"/>
      <c r="DG435" s="8"/>
      <c r="DH435" s="8"/>
      <c r="DI435" s="8"/>
      <c r="DJ435" s="8"/>
      <c r="DK435" s="8"/>
      <c r="DL435" s="8"/>
      <c r="DM435" s="8"/>
      <c r="DN435" s="8"/>
    </row>
    <row r="436" spans="2:118" ht="15.75" customHeight="1">
      <c r="B436" s="8"/>
      <c r="CU436" s="8"/>
      <c r="CV436" s="8"/>
      <c r="CW436" s="8"/>
      <c r="CX436" s="8"/>
      <c r="CY436" s="8"/>
      <c r="CZ436" s="8"/>
      <c r="DA436" s="8"/>
      <c r="DB436" s="8"/>
      <c r="DC436" s="8"/>
      <c r="DD436" s="8"/>
      <c r="DE436" s="8"/>
      <c r="DF436" s="8"/>
      <c r="DG436" s="8"/>
      <c r="DH436" s="8"/>
      <c r="DI436" s="8"/>
      <c r="DJ436" s="8"/>
      <c r="DK436" s="8"/>
      <c r="DL436" s="8"/>
      <c r="DM436" s="8"/>
      <c r="DN436" s="8"/>
    </row>
    <row r="437" spans="2:118" ht="15.75" customHeight="1">
      <c r="B437" s="8"/>
      <c r="CU437" s="8"/>
      <c r="CV437" s="8"/>
      <c r="CW437" s="8"/>
      <c r="CX437" s="8"/>
      <c r="CY437" s="8"/>
      <c r="CZ437" s="8"/>
      <c r="DA437" s="8"/>
      <c r="DB437" s="8"/>
      <c r="DC437" s="8"/>
      <c r="DD437" s="8"/>
      <c r="DE437" s="8"/>
      <c r="DF437" s="8"/>
      <c r="DG437" s="8"/>
      <c r="DH437" s="8"/>
      <c r="DI437" s="8"/>
      <c r="DJ437" s="8"/>
      <c r="DK437" s="8"/>
      <c r="DL437" s="8"/>
      <c r="DM437" s="8"/>
      <c r="DN437" s="8"/>
    </row>
    <row r="438" spans="2:118" ht="15.75" customHeight="1">
      <c r="B438" s="8"/>
      <c r="CU438" s="8"/>
      <c r="CV438" s="8"/>
      <c r="CW438" s="8"/>
      <c r="CX438" s="8"/>
      <c r="CY438" s="8"/>
      <c r="CZ438" s="8"/>
      <c r="DA438" s="8"/>
      <c r="DB438" s="8"/>
      <c r="DC438" s="8"/>
      <c r="DD438" s="8"/>
      <c r="DE438" s="8"/>
      <c r="DF438" s="8"/>
      <c r="DG438" s="8"/>
      <c r="DH438" s="8"/>
      <c r="DI438" s="8"/>
      <c r="DJ438" s="8"/>
      <c r="DK438" s="8"/>
      <c r="DL438" s="8"/>
      <c r="DM438" s="8"/>
      <c r="DN438" s="8"/>
    </row>
    <row r="439" spans="2:118" ht="15.75" customHeight="1">
      <c r="B439" s="8"/>
      <c r="CU439" s="8"/>
      <c r="CV439" s="8"/>
      <c r="CW439" s="8"/>
      <c r="CX439" s="8"/>
      <c r="CY439" s="8"/>
      <c r="CZ439" s="8"/>
      <c r="DA439" s="8"/>
      <c r="DB439" s="8"/>
      <c r="DC439" s="8"/>
      <c r="DD439" s="8"/>
      <c r="DE439" s="8"/>
      <c r="DF439" s="8"/>
      <c r="DG439" s="8"/>
      <c r="DH439" s="8"/>
      <c r="DI439" s="8"/>
      <c r="DJ439" s="8"/>
      <c r="DK439" s="8"/>
      <c r="DL439" s="8"/>
      <c r="DM439" s="8"/>
      <c r="DN439" s="8"/>
    </row>
    <row r="440" spans="2:118" ht="15.75" customHeight="1">
      <c r="B440" s="8"/>
      <c r="CU440" s="8"/>
      <c r="CV440" s="8"/>
      <c r="CW440" s="8"/>
      <c r="CX440" s="8"/>
      <c r="CY440" s="8"/>
      <c r="CZ440" s="8"/>
      <c r="DA440" s="8"/>
      <c r="DB440" s="8"/>
      <c r="DC440" s="8"/>
      <c r="DD440" s="8"/>
      <c r="DE440" s="8"/>
      <c r="DF440" s="8"/>
      <c r="DG440" s="8"/>
      <c r="DH440" s="8"/>
      <c r="DI440" s="8"/>
      <c r="DJ440" s="8"/>
      <c r="DK440" s="8"/>
      <c r="DL440" s="8"/>
      <c r="DM440" s="8"/>
      <c r="DN440" s="8"/>
    </row>
    <row r="441" spans="2:118" ht="15.75" customHeight="1">
      <c r="B441" s="8"/>
      <c r="CU441" s="8"/>
      <c r="CV441" s="8"/>
      <c r="CW441" s="8"/>
      <c r="CX441" s="8"/>
      <c r="CY441" s="8"/>
      <c r="CZ441" s="8"/>
      <c r="DA441" s="8"/>
      <c r="DB441" s="8"/>
      <c r="DC441" s="8"/>
      <c r="DD441" s="8"/>
      <c r="DE441" s="8"/>
      <c r="DF441" s="8"/>
      <c r="DG441" s="8"/>
      <c r="DH441" s="8"/>
      <c r="DI441" s="8"/>
      <c r="DJ441" s="8"/>
      <c r="DK441" s="8"/>
      <c r="DL441" s="8"/>
      <c r="DM441" s="8"/>
      <c r="DN441" s="8"/>
    </row>
    <row r="442" spans="2:118" ht="15.75" customHeight="1">
      <c r="B442" s="8"/>
      <c r="CU442" s="8"/>
      <c r="CV442" s="8"/>
      <c r="CW442" s="8"/>
      <c r="CX442" s="8"/>
      <c r="CY442" s="8"/>
      <c r="CZ442" s="8"/>
      <c r="DA442" s="8"/>
      <c r="DB442" s="8"/>
      <c r="DC442" s="8"/>
      <c r="DD442" s="8"/>
      <c r="DE442" s="8"/>
      <c r="DF442" s="8"/>
      <c r="DG442" s="8"/>
      <c r="DH442" s="8"/>
      <c r="DI442" s="8"/>
      <c r="DJ442" s="8"/>
      <c r="DK442" s="8"/>
      <c r="DL442" s="8"/>
      <c r="DM442" s="8"/>
      <c r="DN442" s="8"/>
    </row>
    <row r="443" spans="2:118" ht="15.75" customHeight="1">
      <c r="B443" s="8"/>
      <c r="CU443" s="8"/>
      <c r="CV443" s="8"/>
      <c r="CW443" s="8"/>
      <c r="CX443" s="8"/>
      <c r="CY443" s="8"/>
      <c r="CZ443" s="8"/>
      <c r="DA443" s="8"/>
      <c r="DB443" s="8"/>
      <c r="DC443" s="8"/>
      <c r="DD443" s="8"/>
      <c r="DE443" s="8"/>
      <c r="DF443" s="8"/>
      <c r="DG443" s="8"/>
      <c r="DH443" s="8"/>
      <c r="DI443" s="8"/>
      <c r="DJ443" s="8"/>
      <c r="DK443" s="8"/>
      <c r="DL443" s="8"/>
      <c r="DM443" s="8"/>
      <c r="DN443" s="8"/>
    </row>
    <row r="444" spans="2:118" ht="15.75" customHeight="1">
      <c r="B444" s="8"/>
      <c r="CU444" s="8"/>
      <c r="CV444" s="8"/>
      <c r="CW444" s="8"/>
      <c r="CX444" s="8"/>
      <c r="CY444" s="8"/>
      <c r="CZ444" s="8"/>
      <c r="DA444" s="8"/>
      <c r="DB444" s="8"/>
      <c r="DC444" s="8"/>
      <c r="DD444" s="8"/>
      <c r="DE444" s="8"/>
      <c r="DF444" s="8"/>
      <c r="DG444" s="8"/>
      <c r="DH444" s="8"/>
      <c r="DI444" s="8"/>
      <c r="DJ444" s="8"/>
      <c r="DK444" s="8"/>
      <c r="DL444" s="8"/>
      <c r="DM444" s="8"/>
      <c r="DN444" s="8"/>
    </row>
    <row r="445" spans="2:118" ht="15.75" customHeight="1">
      <c r="B445" s="8"/>
      <c r="CU445" s="8"/>
      <c r="CV445" s="8"/>
      <c r="CW445" s="8"/>
      <c r="CX445" s="8"/>
      <c r="CY445" s="8"/>
      <c r="CZ445" s="8"/>
      <c r="DA445" s="8"/>
      <c r="DB445" s="8"/>
      <c r="DC445" s="8"/>
      <c r="DD445" s="8"/>
      <c r="DE445" s="8"/>
      <c r="DF445" s="8"/>
      <c r="DG445" s="8"/>
      <c r="DH445" s="8"/>
      <c r="DI445" s="8"/>
      <c r="DJ445" s="8"/>
      <c r="DK445" s="8"/>
      <c r="DL445" s="8"/>
      <c r="DM445" s="8"/>
      <c r="DN445" s="8"/>
    </row>
    <row r="446" spans="2:118" ht="15.75" customHeight="1">
      <c r="B446" s="8"/>
      <c r="CU446" s="8"/>
      <c r="CV446" s="8"/>
      <c r="CW446" s="8"/>
      <c r="CX446" s="8"/>
      <c r="CY446" s="8"/>
      <c r="CZ446" s="8"/>
      <c r="DA446" s="8"/>
      <c r="DB446" s="8"/>
      <c r="DC446" s="8"/>
      <c r="DD446" s="8"/>
      <c r="DE446" s="8"/>
      <c r="DF446" s="8"/>
      <c r="DG446" s="8"/>
      <c r="DH446" s="8"/>
      <c r="DI446" s="8"/>
      <c r="DJ446" s="8"/>
      <c r="DK446" s="8"/>
      <c r="DL446" s="8"/>
      <c r="DM446" s="8"/>
      <c r="DN446" s="8"/>
    </row>
    <row r="447" spans="2:118" ht="15.75" customHeight="1">
      <c r="B447" s="8"/>
      <c r="CU447" s="8"/>
      <c r="CV447" s="8"/>
      <c r="CW447" s="8"/>
      <c r="CX447" s="8"/>
      <c r="CY447" s="8"/>
      <c r="CZ447" s="8"/>
      <c r="DA447" s="8"/>
      <c r="DB447" s="8"/>
      <c r="DC447" s="8"/>
      <c r="DD447" s="8"/>
      <c r="DE447" s="8"/>
      <c r="DF447" s="8"/>
      <c r="DG447" s="8"/>
      <c r="DH447" s="8"/>
      <c r="DI447" s="8"/>
      <c r="DJ447" s="8"/>
      <c r="DK447" s="8"/>
      <c r="DL447" s="8"/>
      <c r="DM447" s="8"/>
      <c r="DN447" s="8"/>
    </row>
    <row r="448" spans="2:118" ht="15.75" customHeight="1">
      <c r="B448" s="8"/>
      <c r="CU448" s="8"/>
      <c r="CV448" s="8"/>
      <c r="CW448" s="8"/>
      <c r="CX448" s="8"/>
      <c r="CY448" s="8"/>
      <c r="CZ448" s="8"/>
      <c r="DA448" s="8"/>
      <c r="DB448" s="8"/>
      <c r="DC448" s="8"/>
      <c r="DD448" s="8"/>
      <c r="DE448" s="8"/>
      <c r="DF448" s="8"/>
      <c r="DG448" s="8"/>
      <c r="DH448" s="8"/>
      <c r="DI448" s="8"/>
      <c r="DJ448" s="8"/>
      <c r="DK448" s="8"/>
      <c r="DL448" s="8"/>
      <c r="DM448" s="8"/>
      <c r="DN448" s="8"/>
    </row>
    <row r="449" spans="2:118" ht="15.75" customHeight="1">
      <c r="B449" s="8"/>
      <c r="CU449" s="8"/>
      <c r="CV449" s="8"/>
      <c r="CW449" s="8"/>
      <c r="CX449" s="8"/>
      <c r="CY449" s="8"/>
      <c r="CZ449" s="8"/>
      <c r="DA449" s="8"/>
      <c r="DB449" s="8"/>
      <c r="DC449" s="8"/>
      <c r="DD449" s="8"/>
      <c r="DE449" s="8"/>
      <c r="DF449" s="8"/>
      <c r="DG449" s="8"/>
      <c r="DH449" s="8"/>
      <c r="DI449" s="8"/>
      <c r="DJ449" s="8"/>
      <c r="DK449" s="8"/>
      <c r="DL449" s="8"/>
      <c r="DM449" s="8"/>
      <c r="DN449" s="8"/>
    </row>
    <row r="450" spans="2:118" ht="15.75" customHeight="1">
      <c r="B450" s="8"/>
      <c r="CU450" s="8"/>
      <c r="CV450" s="8"/>
      <c r="CW450" s="8"/>
      <c r="CX450" s="8"/>
      <c r="CY450" s="8"/>
      <c r="CZ450" s="8"/>
      <c r="DA450" s="8"/>
      <c r="DB450" s="8"/>
      <c r="DC450" s="8"/>
      <c r="DD450" s="8"/>
      <c r="DE450" s="8"/>
      <c r="DF450" s="8"/>
      <c r="DG450" s="8"/>
      <c r="DH450" s="8"/>
      <c r="DI450" s="8"/>
      <c r="DJ450" s="8"/>
      <c r="DK450" s="8"/>
      <c r="DL450" s="8"/>
      <c r="DM450" s="8"/>
      <c r="DN450" s="8"/>
    </row>
    <row r="451" spans="2:118" ht="15.75" customHeight="1">
      <c r="B451" s="8"/>
      <c r="CU451" s="8"/>
      <c r="CV451" s="8"/>
      <c r="CW451" s="8"/>
      <c r="CX451" s="8"/>
      <c r="CY451" s="8"/>
      <c r="CZ451" s="8"/>
      <c r="DA451" s="8"/>
      <c r="DB451" s="8"/>
      <c r="DC451" s="8"/>
      <c r="DD451" s="8"/>
      <c r="DE451" s="8"/>
      <c r="DF451" s="8"/>
      <c r="DG451" s="8"/>
      <c r="DH451" s="8"/>
      <c r="DI451" s="8"/>
      <c r="DJ451" s="8"/>
      <c r="DK451" s="8"/>
      <c r="DL451" s="8"/>
      <c r="DM451" s="8"/>
      <c r="DN451" s="8"/>
    </row>
    <row r="452" spans="2:118" ht="15.75" customHeight="1">
      <c r="B452" s="8"/>
      <c r="CU452" s="8"/>
      <c r="CV452" s="8"/>
      <c r="CW452" s="8"/>
      <c r="CX452" s="8"/>
      <c r="CY452" s="8"/>
      <c r="CZ452" s="8"/>
      <c r="DA452" s="8"/>
      <c r="DB452" s="8"/>
      <c r="DC452" s="8"/>
      <c r="DD452" s="8"/>
      <c r="DE452" s="8"/>
      <c r="DF452" s="8"/>
      <c r="DG452" s="8"/>
      <c r="DH452" s="8"/>
      <c r="DI452" s="8"/>
      <c r="DJ452" s="8"/>
      <c r="DK452" s="8"/>
      <c r="DL452" s="8"/>
      <c r="DM452" s="8"/>
      <c r="DN452" s="8"/>
    </row>
    <row r="453" spans="2:118" ht="15.75" customHeight="1">
      <c r="B453" s="8"/>
      <c r="CU453" s="8"/>
      <c r="CV453" s="8"/>
      <c r="CW453" s="8"/>
      <c r="CX453" s="8"/>
      <c r="CY453" s="8"/>
      <c r="CZ453" s="8"/>
      <c r="DA453" s="8"/>
      <c r="DB453" s="8"/>
      <c r="DC453" s="8"/>
      <c r="DD453" s="8"/>
      <c r="DE453" s="8"/>
      <c r="DF453" s="8"/>
      <c r="DG453" s="8"/>
      <c r="DH453" s="8"/>
      <c r="DI453" s="8"/>
      <c r="DJ453" s="8"/>
      <c r="DK453" s="8"/>
      <c r="DL453" s="8"/>
      <c r="DM453" s="8"/>
      <c r="DN453" s="8"/>
    </row>
    <row r="454" spans="2:118" ht="15.75" customHeight="1">
      <c r="B454" s="8"/>
      <c r="CU454" s="8"/>
      <c r="CV454" s="8"/>
      <c r="CW454" s="8"/>
      <c r="CX454" s="8"/>
      <c r="CY454" s="8"/>
      <c r="CZ454" s="8"/>
      <c r="DA454" s="8"/>
      <c r="DB454" s="8"/>
      <c r="DC454" s="8"/>
      <c r="DD454" s="8"/>
      <c r="DE454" s="8"/>
      <c r="DF454" s="8"/>
      <c r="DG454" s="8"/>
      <c r="DH454" s="8"/>
      <c r="DI454" s="8"/>
      <c r="DJ454" s="8"/>
      <c r="DK454" s="8"/>
      <c r="DL454" s="8"/>
      <c r="DM454" s="8"/>
      <c r="DN454" s="8"/>
    </row>
    <row r="455" spans="2:118" ht="15.75" customHeight="1">
      <c r="B455" s="8"/>
      <c r="CU455" s="8"/>
      <c r="CV455" s="8"/>
      <c r="CW455" s="8"/>
      <c r="CX455" s="8"/>
      <c r="CY455" s="8"/>
      <c r="CZ455" s="8"/>
      <c r="DA455" s="8"/>
      <c r="DB455" s="8"/>
      <c r="DC455" s="8"/>
      <c r="DD455" s="8"/>
      <c r="DE455" s="8"/>
      <c r="DF455" s="8"/>
      <c r="DG455" s="8"/>
      <c r="DH455" s="8"/>
      <c r="DI455" s="8"/>
      <c r="DJ455" s="8"/>
      <c r="DK455" s="8"/>
      <c r="DL455" s="8"/>
      <c r="DM455" s="8"/>
      <c r="DN455" s="8"/>
    </row>
    <row r="456" spans="2:118" ht="15.75" customHeight="1">
      <c r="B456" s="8"/>
      <c r="CU456" s="8"/>
      <c r="CV456" s="8"/>
      <c r="CW456" s="8"/>
      <c r="CX456" s="8"/>
      <c r="CY456" s="8"/>
      <c r="CZ456" s="8"/>
      <c r="DA456" s="8"/>
      <c r="DB456" s="8"/>
      <c r="DC456" s="8"/>
      <c r="DD456" s="8"/>
      <c r="DE456" s="8"/>
      <c r="DF456" s="8"/>
      <c r="DG456" s="8"/>
      <c r="DH456" s="8"/>
      <c r="DI456" s="8"/>
      <c r="DJ456" s="8"/>
      <c r="DK456" s="8"/>
      <c r="DL456" s="8"/>
      <c r="DM456" s="8"/>
      <c r="DN456" s="8"/>
    </row>
    <row r="457" spans="2:118" ht="15.75" customHeight="1">
      <c r="B457" s="8"/>
      <c r="CU457" s="8"/>
      <c r="CV457" s="8"/>
      <c r="CW457" s="8"/>
      <c r="CX457" s="8"/>
      <c r="CY457" s="8"/>
      <c r="CZ457" s="8"/>
      <c r="DA457" s="8"/>
      <c r="DB457" s="8"/>
      <c r="DC457" s="8"/>
      <c r="DD457" s="8"/>
      <c r="DE457" s="8"/>
      <c r="DF457" s="8"/>
      <c r="DG457" s="8"/>
      <c r="DH457" s="8"/>
      <c r="DI457" s="8"/>
      <c r="DJ457" s="8"/>
      <c r="DK457" s="8"/>
      <c r="DL457" s="8"/>
      <c r="DM457" s="8"/>
      <c r="DN457" s="8"/>
    </row>
    <row r="458" spans="2:118" ht="15.75" customHeight="1">
      <c r="B458" s="8"/>
      <c r="CU458" s="8"/>
      <c r="CV458" s="8"/>
      <c r="CW458" s="8"/>
      <c r="CX458" s="8"/>
      <c r="CY458" s="8"/>
      <c r="CZ458" s="8"/>
      <c r="DA458" s="8"/>
      <c r="DB458" s="8"/>
      <c r="DC458" s="8"/>
      <c r="DD458" s="8"/>
      <c r="DE458" s="8"/>
      <c r="DF458" s="8"/>
      <c r="DG458" s="8"/>
      <c r="DH458" s="8"/>
      <c r="DI458" s="8"/>
      <c r="DJ458" s="8"/>
      <c r="DK458" s="8"/>
      <c r="DL458" s="8"/>
      <c r="DM458" s="8"/>
      <c r="DN458" s="8"/>
    </row>
    <row r="459" spans="2:118" ht="15.75" customHeight="1">
      <c r="B459" s="8"/>
      <c r="CU459" s="8"/>
      <c r="CV459" s="8"/>
      <c r="CW459" s="8"/>
      <c r="CX459" s="8"/>
      <c r="CY459" s="8"/>
      <c r="CZ459" s="8"/>
      <c r="DA459" s="8"/>
      <c r="DB459" s="8"/>
      <c r="DC459" s="8"/>
      <c r="DD459" s="8"/>
      <c r="DE459" s="8"/>
      <c r="DF459" s="8"/>
      <c r="DG459" s="8"/>
      <c r="DH459" s="8"/>
      <c r="DI459" s="8"/>
      <c r="DJ459" s="8"/>
      <c r="DK459" s="8"/>
      <c r="DL459" s="8"/>
      <c r="DM459" s="8"/>
      <c r="DN459" s="8"/>
    </row>
    <row r="460" spans="2:118" ht="15.75" customHeight="1">
      <c r="B460" s="8"/>
      <c r="CU460" s="8"/>
      <c r="CV460" s="8"/>
      <c r="CW460" s="8"/>
      <c r="CX460" s="8"/>
      <c r="CY460" s="8"/>
      <c r="CZ460" s="8"/>
      <c r="DA460" s="8"/>
      <c r="DB460" s="8"/>
      <c r="DC460" s="8"/>
      <c r="DD460" s="8"/>
      <c r="DE460" s="8"/>
      <c r="DF460" s="8"/>
      <c r="DG460" s="8"/>
      <c r="DH460" s="8"/>
      <c r="DI460" s="8"/>
      <c r="DJ460" s="8"/>
      <c r="DK460" s="8"/>
      <c r="DL460" s="8"/>
      <c r="DM460" s="8"/>
      <c r="DN460" s="8"/>
    </row>
    <row r="461" spans="2:118" ht="15.75" customHeight="1">
      <c r="B461" s="8"/>
      <c r="CU461" s="8"/>
      <c r="CV461" s="8"/>
      <c r="CW461" s="8"/>
      <c r="CX461" s="8"/>
      <c r="CY461" s="8"/>
      <c r="CZ461" s="8"/>
      <c r="DA461" s="8"/>
      <c r="DB461" s="8"/>
      <c r="DC461" s="8"/>
      <c r="DD461" s="8"/>
      <c r="DE461" s="8"/>
      <c r="DF461" s="8"/>
      <c r="DG461" s="8"/>
      <c r="DH461" s="8"/>
      <c r="DI461" s="8"/>
      <c r="DJ461" s="8"/>
      <c r="DK461" s="8"/>
      <c r="DL461" s="8"/>
      <c r="DM461" s="8"/>
      <c r="DN461" s="8"/>
    </row>
    <row r="462" spans="2:118" ht="15.75" customHeight="1">
      <c r="B462" s="8"/>
      <c r="CU462" s="8"/>
      <c r="CV462" s="8"/>
      <c r="CW462" s="8"/>
      <c r="CX462" s="8"/>
      <c r="CY462" s="8"/>
      <c r="CZ462" s="8"/>
      <c r="DA462" s="8"/>
      <c r="DB462" s="8"/>
      <c r="DC462" s="8"/>
      <c r="DD462" s="8"/>
      <c r="DE462" s="8"/>
      <c r="DF462" s="8"/>
      <c r="DG462" s="8"/>
      <c r="DH462" s="8"/>
      <c r="DI462" s="8"/>
      <c r="DJ462" s="8"/>
      <c r="DK462" s="8"/>
      <c r="DL462" s="8"/>
      <c r="DM462" s="8"/>
      <c r="DN462" s="8"/>
    </row>
    <row r="463" spans="2:118" ht="15.75" customHeight="1">
      <c r="B463" s="8"/>
      <c r="CU463" s="8"/>
      <c r="CV463" s="8"/>
      <c r="CW463" s="8"/>
      <c r="CX463" s="8"/>
      <c r="CY463" s="8"/>
      <c r="CZ463" s="8"/>
      <c r="DA463" s="8"/>
      <c r="DB463" s="8"/>
      <c r="DC463" s="8"/>
      <c r="DD463" s="8"/>
      <c r="DE463" s="8"/>
      <c r="DF463" s="8"/>
      <c r="DG463" s="8"/>
      <c r="DH463" s="8"/>
      <c r="DI463" s="8"/>
      <c r="DJ463" s="8"/>
      <c r="DK463" s="8"/>
      <c r="DL463" s="8"/>
      <c r="DM463" s="8"/>
      <c r="DN463" s="8"/>
    </row>
    <row r="464" spans="2:118" ht="15.75" customHeight="1">
      <c r="B464" s="8"/>
      <c r="CU464" s="8"/>
      <c r="CV464" s="8"/>
      <c r="CW464" s="8"/>
      <c r="CX464" s="8"/>
      <c r="CY464" s="8"/>
      <c r="CZ464" s="8"/>
      <c r="DA464" s="8"/>
      <c r="DB464" s="8"/>
      <c r="DC464" s="8"/>
      <c r="DD464" s="8"/>
      <c r="DE464" s="8"/>
      <c r="DF464" s="8"/>
      <c r="DG464" s="8"/>
      <c r="DH464" s="8"/>
      <c r="DI464" s="8"/>
      <c r="DJ464" s="8"/>
      <c r="DK464" s="8"/>
      <c r="DL464" s="8"/>
      <c r="DM464" s="8"/>
      <c r="DN464" s="8"/>
    </row>
    <row r="465" spans="2:118" ht="15.75" customHeight="1">
      <c r="B465" s="8"/>
      <c r="CU465" s="8"/>
      <c r="CV465" s="8"/>
      <c r="CW465" s="8"/>
      <c r="CX465" s="8"/>
      <c r="CY465" s="8"/>
      <c r="CZ465" s="8"/>
      <c r="DA465" s="8"/>
      <c r="DB465" s="8"/>
      <c r="DC465" s="8"/>
      <c r="DD465" s="8"/>
      <c r="DE465" s="8"/>
      <c r="DF465" s="8"/>
      <c r="DG465" s="8"/>
      <c r="DH465" s="8"/>
      <c r="DI465" s="8"/>
      <c r="DJ465" s="8"/>
      <c r="DK465" s="8"/>
      <c r="DL465" s="8"/>
      <c r="DM465" s="8"/>
      <c r="DN465" s="8"/>
    </row>
    <row r="466" spans="2:118" ht="15.75" customHeight="1">
      <c r="B466" s="8"/>
      <c r="CU466" s="8"/>
      <c r="CV466" s="8"/>
      <c r="CW466" s="8"/>
      <c r="CX466" s="8"/>
      <c r="CY466" s="8"/>
      <c r="CZ466" s="8"/>
      <c r="DA466" s="8"/>
      <c r="DB466" s="8"/>
      <c r="DC466" s="8"/>
      <c r="DD466" s="8"/>
      <c r="DE466" s="8"/>
      <c r="DF466" s="8"/>
      <c r="DG466" s="8"/>
      <c r="DH466" s="8"/>
      <c r="DI466" s="8"/>
      <c r="DJ466" s="8"/>
      <c r="DK466" s="8"/>
      <c r="DL466" s="8"/>
      <c r="DM466" s="8"/>
      <c r="DN466" s="8"/>
    </row>
    <row r="467" spans="2:118" ht="15.75" customHeight="1">
      <c r="B467" s="8"/>
      <c r="CU467" s="8"/>
      <c r="CV467" s="8"/>
      <c r="CW467" s="8"/>
      <c r="CX467" s="8"/>
      <c r="CY467" s="8"/>
      <c r="CZ467" s="8"/>
      <c r="DA467" s="8"/>
      <c r="DB467" s="8"/>
      <c r="DC467" s="8"/>
      <c r="DD467" s="8"/>
      <c r="DE467" s="8"/>
      <c r="DF467" s="8"/>
      <c r="DG467" s="8"/>
      <c r="DH467" s="8"/>
      <c r="DI467" s="8"/>
      <c r="DJ467" s="8"/>
      <c r="DK467" s="8"/>
      <c r="DL467" s="8"/>
      <c r="DM467" s="8"/>
      <c r="DN467" s="8"/>
    </row>
    <row r="468" spans="2:118" ht="15.75" customHeight="1">
      <c r="B468" s="8"/>
      <c r="CU468" s="8"/>
      <c r="CV468" s="8"/>
      <c r="CW468" s="8"/>
      <c r="CX468" s="8"/>
      <c r="CY468" s="8"/>
      <c r="CZ468" s="8"/>
      <c r="DA468" s="8"/>
      <c r="DB468" s="8"/>
      <c r="DC468" s="8"/>
      <c r="DD468" s="8"/>
      <c r="DE468" s="8"/>
      <c r="DF468" s="8"/>
      <c r="DG468" s="8"/>
      <c r="DH468" s="8"/>
      <c r="DI468" s="8"/>
      <c r="DJ468" s="8"/>
      <c r="DK468" s="8"/>
      <c r="DL468" s="8"/>
      <c r="DM468" s="8"/>
      <c r="DN468" s="8"/>
    </row>
    <row r="469" spans="2:118" ht="15.75" customHeight="1">
      <c r="B469" s="8"/>
      <c r="CU469" s="8"/>
      <c r="CV469" s="8"/>
      <c r="CW469" s="8"/>
      <c r="CX469" s="8"/>
      <c r="CY469" s="8"/>
      <c r="CZ469" s="8"/>
      <c r="DA469" s="8"/>
      <c r="DB469" s="8"/>
      <c r="DC469" s="8"/>
      <c r="DD469" s="8"/>
      <c r="DE469" s="8"/>
      <c r="DF469" s="8"/>
      <c r="DG469" s="8"/>
      <c r="DH469" s="8"/>
      <c r="DI469" s="8"/>
      <c r="DJ469" s="8"/>
      <c r="DK469" s="8"/>
      <c r="DL469" s="8"/>
      <c r="DM469" s="8"/>
      <c r="DN469" s="8"/>
    </row>
    <row r="470" spans="2:118" ht="15.75" customHeight="1">
      <c r="B470" s="8"/>
      <c r="CU470" s="8"/>
      <c r="CV470" s="8"/>
      <c r="CW470" s="8"/>
      <c r="CX470" s="8"/>
      <c r="CY470" s="8"/>
      <c r="CZ470" s="8"/>
      <c r="DA470" s="8"/>
      <c r="DB470" s="8"/>
      <c r="DC470" s="8"/>
      <c r="DD470" s="8"/>
      <c r="DE470" s="8"/>
      <c r="DF470" s="8"/>
      <c r="DG470" s="8"/>
      <c r="DH470" s="8"/>
      <c r="DI470" s="8"/>
      <c r="DJ470" s="8"/>
      <c r="DK470" s="8"/>
      <c r="DL470" s="8"/>
      <c r="DM470" s="8"/>
      <c r="DN470" s="8"/>
    </row>
    <row r="471" spans="2:118" ht="15.75" customHeight="1">
      <c r="B471" s="8"/>
      <c r="CU471" s="8"/>
      <c r="CV471" s="8"/>
      <c r="CW471" s="8"/>
      <c r="CX471" s="8"/>
      <c r="CY471" s="8"/>
      <c r="CZ471" s="8"/>
      <c r="DA471" s="8"/>
      <c r="DB471" s="8"/>
      <c r="DC471" s="8"/>
      <c r="DD471" s="8"/>
      <c r="DE471" s="8"/>
      <c r="DF471" s="8"/>
      <c r="DG471" s="8"/>
      <c r="DH471" s="8"/>
      <c r="DI471" s="8"/>
      <c r="DJ471" s="8"/>
      <c r="DK471" s="8"/>
      <c r="DL471" s="8"/>
      <c r="DM471" s="8"/>
      <c r="DN471" s="8"/>
    </row>
    <row r="472" spans="2:118" ht="15.75" customHeight="1">
      <c r="B472" s="8"/>
      <c r="CU472" s="8"/>
      <c r="CV472" s="8"/>
      <c r="CW472" s="8"/>
      <c r="CX472" s="8"/>
      <c r="CY472" s="8"/>
      <c r="CZ472" s="8"/>
      <c r="DA472" s="8"/>
      <c r="DB472" s="8"/>
      <c r="DC472" s="8"/>
      <c r="DD472" s="8"/>
      <c r="DE472" s="8"/>
      <c r="DF472" s="8"/>
      <c r="DG472" s="8"/>
      <c r="DH472" s="8"/>
      <c r="DI472" s="8"/>
      <c r="DJ472" s="8"/>
      <c r="DK472" s="8"/>
      <c r="DL472" s="8"/>
      <c r="DM472" s="8"/>
      <c r="DN472" s="8"/>
    </row>
    <row r="473" spans="2:118" ht="15.75" customHeight="1">
      <c r="B473" s="8"/>
      <c r="CU473" s="8"/>
      <c r="CV473" s="8"/>
      <c r="CW473" s="8"/>
      <c r="CX473" s="8"/>
      <c r="CY473" s="8"/>
      <c r="CZ473" s="8"/>
      <c r="DA473" s="8"/>
      <c r="DB473" s="8"/>
      <c r="DC473" s="8"/>
      <c r="DD473" s="8"/>
      <c r="DE473" s="8"/>
      <c r="DF473" s="8"/>
      <c r="DG473" s="8"/>
      <c r="DH473" s="8"/>
      <c r="DI473" s="8"/>
      <c r="DJ473" s="8"/>
      <c r="DK473" s="8"/>
      <c r="DL473" s="8"/>
      <c r="DM473" s="8"/>
      <c r="DN473" s="8"/>
    </row>
    <row r="474" spans="2:118" ht="15.75" customHeight="1">
      <c r="B474" s="8"/>
      <c r="CU474" s="8"/>
      <c r="CV474" s="8"/>
      <c r="CW474" s="8"/>
      <c r="CX474" s="8"/>
      <c r="CY474" s="8"/>
      <c r="CZ474" s="8"/>
      <c r="DA474" s="8"/>
      <c r="DB474" s="8"/>
      <c r="DC474" s="8"/>
      <c r="DD474" s="8"/>
      <c r="DE474" s="8"/>
      <c r="DF474" s="8"/>
      <c r="DG474" s="8"/>
      <c r="DH474" s="8"/>
      <c r="DI474" s="8"/>
      <c r="DJ474" s="8"/>
      <c r="DK474" s="8"/>
      <c r="DL474" s="8"/>
      <c r="DM474" s="8"/>
      <c r="DN474" s="8"/>
    </row>
    <row r="475" spans="2:118" ht="15.75" customHeight="1">
      <c r="B475" s="8"/>
      <c r="CU475" s="8"/>
      <c r="CV475" s="8"/>
      <c r="CW475" s="8"/>
      <c r="CX475" s="8"/>
      <c r="CY475" s="8"/>
      <c r="CZ475" s="8"/>
      <c r="DA475" s="8"/>
      <c r="DB475" s="8"/>
      <c r="DC475" s="8"/>
      <c r="DD475" s="8"/>
      <c r="DE475" s="8"/>
      <c r="DF475" s="8"/>
      <c r="DG475" s="8"/>
      <c r="DH475" s="8"/>
      <c r="DI475" s="8"/>
      <c r="DJ475" s="8"/>
      <c r="DK475" s="8"/>
      <c r="DL475" s="8"/>
      <c r="DM475" s="8"/>
      <c r="DN475" s="8"/>
    </row>
    <row r="476" spans="2:118" ht="15.75" customHeight="1">
      <c r="B476" s="8"/>
      <c r="CU476" s="8"/>
      <c r="CV476" s="8"/>
      <c r="CW476" s="8"/>
      <c r="CX476" s="8"/>
      <c r="CY476" s="8"/>
      <c r="CZ476" s="8"/>
      <c r="DA476" s="8"/>
      <c r="DB476" s="8"/>
      <c r="DC476" s="8"/>
      <c r="DD476" s="8"/>
      <c r="DE476" s="8"/>
      <c r="DF476" s="8"/>
      <c r="DG476" s="8"/>
      <c r="DH476" s="8"/>
      <c r="DI476" s="8"/>
      <c r="DJ476" s="8"/>
      <c r="DK476" s="8"/>
      <c r="DL476" s="8"/>
      <c r="DM476" s="8"/>
      <c r="DN476" s="8"/>
    </row>
    <row r="477" spans="2:118" ht="15.75" customHeight="1">
      <c r="B477" s="8"/>
      <c r="CU477" s="8"/>
      <c r="CV477" s="8"/>
      <c r="CW477" s="8"/>
      <c r="CX477" s="8"/>
      <c r="CY477" s="8"/>
      <c r="CZ477" s="8"/>
      <c r="DA477" s="8"/>
      <c r="DB477" s="8"/>
      <c r="DC477" s="8"/>
      <c r="DD477" s="8"/>
      <c r="DE477" s="8"/>
      <c r="DF477" s="8"/>
      <c r="DG477" s="8"/>
      <c r="DH477" s="8"/>
      <c r="DI477" s="8"/>
      <c r="DJ477" s="8"/>
      <c r="DK477" s="8"/>
      <c r="DL477" s="8"/>
      <c r="DM477" s="8"/>
      <c r="DN477" s="8"/>
    </row>
    <row r="478" spans="2:118" ht="15.75" customHeight="1">
      <c r="B478" s="8"/>
      <c r="CU478" s="8"/>
      <c r="CV478" s="8"/>
      <c r="CW478" s="8"/>
      <c r="CX478" s="8"/>
      <c r="CY478" s="8"/>
      <c r="CZ478" s="8"/>
      <c r="DA478" s="8"/>
      <c r="DB478" s="8"/>
      <c r="DC478" s="8"/>
      <c r="DD478" s="8"/>
      <c r="DE478" s="8"/>
      <c r="DF478" s="8"/>
      <c r="DG478" s="8"/>
      <c r="DH478" s="8"/>
      <c r="DI478" s="8"/>
      <c r="DJ478" s="8"/>
      <c r="DK478" s="8"/>
      <c r="DL478" s="8"/>
      <c r="DM478" s="8"/>
      <c r="DN478" s="8"/>
    </row>
    <row r="479" spans="2:118" ht="15.75" customHeight="1">
      <c r="B479" s="8"/>
      <c r="CU479" s="8"/>
      <c r="CV479" s="8"/>
      <c r="CW479" s="8"/>
      <c r="CX479" s="8"/>
      <c r="CY479" s="8"/>
      <c r="CZ479" s="8"/>
      <c r="DA479" s="8"/>
      <c r="DB479" s="8"/>
      <c r="DC479" s="8"/>
      <c r="DD479" s="8"/>
      <c r="DE479" s="8"/>
      <c r="DF479" s="8"/>
      <c r="DG479" s="8"/>
      <c r="DH479" s="8"/>
      <c r="DI479" s="8"/>
      <c r="DJ479" s="8"/>
      <c r="DK479" s="8"/>
      <c r="DL479" s="8"/>
      <c r="DM479" s="8"/>
      <c r="DN479" s="8"/>
    </row>
    <row r="480" spans="2:118" ht="15.75" customHeight="1">
      <c r="B480" s="8"/>
      <c r="CU480" s="8"/>
      <c r="CV480" s="8"/>
      <c r="CW480" s="8"/>
      <c r="CX480" s="8"/>
      <c r="CY480" s="8"/>
      <c r="CZ480" s="8"/>
      <c r="DA480" s="8"/>
      <c r="DB480" s="8"/>
      <c r="DC480" s="8"/>
      <c r="DD480" s="8"/>
      <c r="DE480" s="8"/>
      <c r="DF480" s="8"/>
      <c r="DG480" s="8"/>
      <c r="DH480" s="8"/>
      <c r="DI480" s="8"/>
      <c r="DJ480" s="8"/>
      <c r="DK480" s="8"/>
      <c r="DL480" s="8"/>
      <c r="DM480" s="8"/>
      <c r="DN480" s="8"/>
    </row>
    <row r="481" spans="2:118" ht="15.75" customHeight="1">
      <c r="B481" s="8"/>
      <c r="CU481" s="8"/>
      <c r="CV481" s="8"/>
      <c r="CW481" s="8"/>
      <c r="CX481" s="8"/>
      <c r="CY481" s="8"/>
      <c r="CZ481" s="8"/>
      <c r="DA481" s="8"/>
      <c r="DB481" s="8"/>
      <c r="DC481" s="8"/>
      <c r="DD481" s="8"/>
      <c r="DE481" s="8"/>
      <c r="DF481" s="8"/>
      <c r="DG481" s="8"/>
      <c r="DH481" s="8"/>
      <c r="DI481" s="8"/>
      <c r="DJ481" s="8"/>
      <c r="DK481" s="8"/>
      <c r="DL481" s="8"/>
      <c r="DM481" s="8"/>
      <c r="DN481" s="8"/>
    </row>
    <row r="482" spans="2:118" ht="15.75" customHeight="1">
      <c r="B482" s="8"/>
      <c r="CU482" s="8"/>
      <c r="CV482" s="8"/>
      <c r="CW482" s="8"/>
      <c r="CX482" s="8"/>
      <c r="CY482" s="8"/>
      <c r="CZ482" s="8"/>
      <c r="DA482" s="8"/>
      <c r="DB482" s="8"/>
      <c r="DC482" s="8"/>
      <c r="DD482" s="8"/>
      <c r="DE482" s="8"/>
      <c r="DF482" s="8"/>
      <c r="DG482" s="8"/>
      <c r="DH482" s="8"/>
      <c r="DI482" s="8"/>
      <c r="DJ482" s="8"/>
      <c r="DK482" s="8"/>
      <c r="DL482" s="8"/>
      <c r="DM482" s="8"/>
      <c r="DN482" s="8"/>
    </row>
    <row r="483" spans="2:118" ht="15.75" customHeight="1">
      <c r="B483" s="8"/>
      <c r="CU483" s="8"/>
      <c r="CV483" s="8"/>
      <c r="CW483" s="8"/>
      <c r="CX483" s="8"/>
      <c r="CY483" s="8"/>
      <c r="CZ483" s="8"/>
      <c r="DA483" s="8"/>
      <c r="DB483" s="8"/>
      <c r="DC483" s="8"/>
      <c r="DD483" s="8"/>
      <c r="DE483" s="8"/>
      <c r="DF483" s="8"/>
      <c r="DG483" s="8"/>
      <c r="DH483" s="8"/>
      <c r="DI483" s="8"/>
      <c r="DJ483" s="8"/>
      <c r="DK483" s="8"/>
      <c r="DL483" s="8"/>
      <c r="DM483" s="8"/>
      <c r="DN483" s="8"/>
    </row>
    <row r="484" spans="2:118" ht="15.75" customHeight="1">
      <c r="B484" s="8"/>
      <c r="CU484" s="8"/>
      <c r="CV484" s="8"/>
      <c r="CW484" s="8"/>
      <c r="CX484" s="8"/>
      <c r="CY484" s="8"/>
      <c r="CZ484" s="8"/>
      <c r="DA484" s="8"/>
      <c r="DB484" s="8"/>
      <c r="DC484" s="8"/>
      <c r="DD484" s="8"/>
      <c r="DE484" s="8"/>
      <c r="DF484" s="8"/>
      <c r="DG484" s="8"/>
      <c r="DH484" s="8"/>
      <c r="DI484" s="8"/>
      <c r="DJ484" s="8"/>
      <c r="DK484" s="8"/>
      <c r="DL484" s="8"/>
      <c r="DM484" s="8"/>
      <c r="DN484" s="8"/>
    </row>
    <row r="485" spans="2:118" ht="15.75" customHeight="1">
      <c r="B485" s="8"/>
      <c r="CU485" s="8"/>
      <c r="CV485" s="8"/>
      <c r="CW485" s="8"/>
      <c r="CX485" s="8"/>
      <c r="CY485" s="8"/>
      <c r="CZ485" s="8"/>
      <c r="DA485" s="8"/>
      <c r="DB485" s="8"/>
      <c r="DC485" s="8"/>
      <c r="DD485" s="8"/>
      <c r="DE485" s="8"/>
      <c r="DF485" s="8"/>
      <c r="DG485" s="8"/>
      <c r="DH485" s="8"/>
      <c r="DI485" s="8"/>
      <c r="DJ485" s="8"/>
      <c r="DK485" s="8"/>
      <c r="DL485" s="8"/>
      <c r="DM485" s="8"/>
      <c r="DN485" s="8"/>
    </row>
    <row r="486" spans="2:118" ht="15.75" customHeight="1">
      <c r="B486" s="8"/>
      <c r="CU486" s="8"/>
      <c r="CV486" s="8"/>
      <c r="CW486" s="8"/>
      <c r="CX486" s="8"/>
      <c r="CY486" s="8"/>
      <c r="CZ486" s="8"/>
      <c r="DA486" s="8"/>
      <c r="DB486" s="8"/>
      <c r="DC486" s="8"/>
      <c r="DD486" s="8"/>
      <c r="DE486" s="8"/>
      <c r="DF486" s="8"/>
      <c r="DG486" s="8"/>
      <c r="DH486" s="8"/>
      <c r="DI486" s="8"/>
      <c r="DJ486" s="8"/>
      <c r="DK486" s="8"/>
      <c r="DL486" s="8"/>
      <c r="DM486" s="8"/>
      <c r="DN486" s="8"/>
    </row>
    <row r="487" spans="2:118" ht="15.75" customHeight="1">
      <c r="B487" s="8"/>
      <c r="CU487" s="8"/>
      <c r="CV487" s="8"/>
      <c r="CW487" s="8"/>
      <c r="CX487" s="8"/>
      <c r="CY487" s="8"/>
      <c r="CZ487" s="8"/>
      <c r="DA487" s="8"/>
      <c r="DB487" s="8"/>
      <c r="DC487" s="8"/>
      <c r="DD487" s="8"/>
      <c r="DE487" s="8"/>
      <c r="DF487" s="8"/>
      <c r="DG487" s="8"/>
      <c r="DH487" s="8"/>
      <c r="DI487" s="8"/>
      <c r="DJ487" s="8"/>
      <c r="DK487" s="8"/>
      <c r="DL487" s="8"/>
      <c r="DM487" s="8"/>
      <c r="DN487" s="8"/>
    </row>
    <row r="488" spans="2:118" ht="15.75" customHeight="1">
      <c r="B488" s="8"/>
      <c r="CU488" s="8"/>
      <c r="CV488" s="8"/>
      <c r="CW488" s="8"/>
      <c r="CX488" s="8"/>
      <c r="CY488" s="8"/>
      <c r="CZ488" s="8"/>
      <c r="DA488" s="8"/>
      <c r="DB488" s="8"/>
      <c r="DC488" s="8"/>
      <c r="DD488" s="8"/>
      <c r="DE488" s="8"/>
      <c r="DF488" s="8"/>
      <c r="DG488" s="8"/>
      <c r="DH488" s="8"/>
      <c r="DI488" s="8"/>
      <c r="DJ488" s="8"/>
      <c r="DK488" s="8"/>
      <c r="DL488" s="8"/>
      <c r="DM488" s="8"/>
      <c r="DN488" s="8"/>
    </row>
    <row r="489" spans="2:118" ht="15.75" customHeight="1">
      <c r="B489" s="8"/>
      <c r="CU489" s="8"/>
      <c r="CV489" s="8"/>
      <c r="CW489" s="8"/>
      <c r="CX489" s="8"/>
      <c r="CY489" s="8"/>
      <c r="CZ489" s="8"/>
      <c r="DA489" s="8"/>
      <c r="DB489" s="8"/>
      <c r="DC489" s="8"/>
      <c r="DD489" s="8"/>
      <c r="DE489" s="8"/>
      <c r="DF489" s="8"/>
      <c r="DG489" s="8"/>
      <c r="DH489" s="8"/>
      <c r="DI489" s="8"/>
      <c r="DJ489" s="8"/>
      <c r="DK489" s="8"/>
      <c r="DL489" s="8"/>
      <c r="DM489" s="8"/>
      <c r="DN489" s="8"/>
    </row>
    <row r="490" spans="2:118" ht="15.75" customHeight="1">
      <c r="B490" s="8"/>
      <c r="CU490" s="8"/>
      <c r="CV490" s="8"/>
      <c r="CW490" s="8"/>
      <c r="CX490" s="8"/>
      <c r="CY490" s="8"/>
      <c r="CZ490" s="8"/>
      <c r="DA490" s="8"/>
      <c r="DB490" s="8"/>
      <c r="DC490" s="8"/>
      <c r="DD490" s="8"/>
      <c r="DE490" s="8"/>
      <c r="DF490" s="8"/>
      <c r="DG490" s="8"/>
      <c r="DH490" s="8"/>
      <c r="DI490" s="8"/>
      <c r="DJ490" s="8"/>
      <c r="DK490" s="8"/>
      <c r="DL490" s="8"/>
      <c r="DM490" s="8"/>
      <c r="DN490" s="8"/>
    </row>
    <row r="491" spans="2:118" ht="15.75" customHeight="1">
      <c r="B491" s="8"/>
      <c r="CU491" s="8"/>
      <c r="CV491" s="8"/>
      <c r="CW491" s="8"/>
      <c r="CX491" s="8"/>
      <c r="CY491" s="8"/>
      <c r="CZ491" s="8"/>
      <c r="DA491" s="8"/>
      <c r="DB491" s="8"/>
      <c r="DC491" s="8"/>
      <c r="DD491" s="8"/>
      <c r="DE491" s="8"/>
      <c r="DF491" s="8"/>
      <c r="DG491" s="8"/>
      <c r="DH491" s="8"/>
      <c r="DI491" s="8"/>
      <c r="DJ491" s="8"/>
      <c r="DK491" s="8"/>
      <c r="DL491" s="8"/>
      <c r="DM491" s="8"/>
      <c r="DN491" s="8"/>
    </row>
    <row r="492" spans="2:118" ht="15.75" customHeight="1">
      <c r="B492" s="8"/>
      <c r="CU492" s="8"/>
      <c r="CV492" s="8"/>
      <c r="CW492" s="8"/>
      <c r="CX492" s="8"/>
      <c r="CY492" s="8"/>
      <c r="CZ492" s="8"/>
      <c r="DA492" s="8"/>
      <c r="DB492" s="8"/>
      <c r="DC492" s="8"/>
      <c r="DD492" s="8"/>
      <c r="DE492" s="8"/>
      <c r="DF492" s="8"/>
      <c r="DG492" s="8"/>
      <c r="DH492" s="8"/>
      <c r="DI492" s="8"/>
      <c r="DJ492" s="8"/>
      <c r="DK492" s="8"/>
      <c r="DL492" s="8"/>
      <c r="DM492" s="8"/>
      <c r="DN492" s="8"/>
    </row>
    <row r="493" spans="2:118" ht="15.75" customHeight="1">
      <c r="B493" s="8"/>
      <c r="CU493" s="8"/>
      <c r="CV493" s="8"/>
      <c r="CW493" s="8"/>
      <c r="CX493" s="8"/>
      <c r="CY493" s="8"/>
      <c r="CZ493" s="8"/>
      <c r="DA493" s="8"/>
      <c r="DB493" s="8"/>
      <c r="DC493" s="8"/>
      <c r="DD493" s="8"/>
      <c r="DE493" s="8"/>
      <c r="DF493" s="8"/>
      <c r="DG493" s="8"/>
      <c r="DH493" s="8"/>
      <c r="DI493" s="8"/>
      <c r="DJ493" s="8"/>
      <c r="DK493" s="8"/>
      <c r="DL493" s="8"/>
      <c r="DM493" s="8"/>
      <c r="DN493" s="8"/>
    </row>
    <row r="494" spans="2:118" ht="15.75" customHeight="1">
      <c r="B494" s="8"/>
      <c r="CU494" s="8"/>
      <c r="CV494" s="8"/>
      <c r="CW494" s="8"/>
      <c r="CX494" s="8"/>
      <c r="CY494" s="8"/>
      <c r="CZ494" s="8"/>
      <c r="DA494" s="8"/>
      <c r="DB494" s="8"/>
      <c r="DC494" s="8"/>
      <c r="DD494" s="8"/>
      <c r="DE494" s="8"/>
      <c r="DF494" s="8"/>
      <c r="DG494" s="8"/>
      <c r="DH494" s="8"/>
      <c r="DI494" s="8"/>
      <c r="DJ494" s="8"/>
      <c r="DK494" s="8"/>
      <c r="DL494" s="8"/>
      <c r="DM494" s="8"/>
      <c r="DN494" s="8"/>
    </row>
    <row r="495" spans="2:118" ht="15.75" customHeight="1">
      <c r="B495" s="8"/>
      <c r="CU495" s="8"/>
      <c r="CV495" s="8"/>
      <c r="CW495" s="8"/>
      <c r="CX495" s="8"/>
      <c r="CY495" s="8"/>
      <c r="CZ495" s="8"/>
      <c r="DA495" s="8"/>
      <c r="DB495" s="8"/>
      <c r="DC495" s="8"/>
      <c r="DD495" s="8"/>
      <c r="DE495" s="8"/>
      <c r="DF495" s="8"/>
      <c r="DG495" s="8"/>
      <c r="DH495" s="8"/>
      <c r="DI495" s="8"/>
      <c r="DJ495" s="8"/>
      <c r="DK495" s="8"/>
      <c r="DL495" s="8"/>
      <c r="DM495" s="8"/>
      <c r="DN495" s="8"/>
    </row>
    <row r="496" spans="2:118" ht="15.75" customHeight="1">
      <c r="B496" s="8"/>
      <c r="CU496" s="8"/>
      <c r="CV496" s="8"/>
      <c r="CW496" s="8"/>
      <c r="CX496" s="8"/>
      <c r="CY496" s="8"/>
      <c r="CZ496" s="8"/>
      <c r="DA496" s="8"/>
      <c r="DB496" s="8"/>
      <c r="DC496" s="8"/>
      <c r="DD496" s="8"/>
      <c r="DE496" s="8"/>
      <c r="DF496" s="8"/>
      <c r="DG496" s="8"/>
      <c r="DH496" s="8"/>
      <c r="DI496" s="8"/>
      <c r="DJ496" s="8"/>
      <c r="DK496" s="8"/>
      <c r="DL496" s="8"/>
      <c r="DM496" s="8"/>
      <c r="DN496" s="8"/>
    </row>
    <row r="497" spans="2:118" ht="15.75" customHeight="1">
      <c r="B497" s="8"/>
      <c r="CU497" s="8"/>
      <c r="CV497" s="8"/>
      <c r="CW497" s="8"/>
      <c r="CX497" s="8"/>
      <c r="CY497" s="8"/>
      <c r="CZ497" s="8"/>
      <c r="DA497" s="8"/>
      <c r="DB497" s="8"/>
      <c r="DC497" s="8"/>
      <c r="DD497" s="8"/>
      <c r="DE497" s="8"/>
      <c r="DF497" s="8"/>
      <c r="DG497" s="8"/>
      <c r="DH497" s="8"/>
      <c r="DI497" s="8"/>
      <c r="DJ497" s="8"/>
      <c r="DK497" s="8"/>
      <c r="DL497" s="8"/>
      <c r="DM497" s="8"/>
      <c r="DN497" s="8"/>
    </row>
    <row r="498" spans="2:118" ht="15.75" customHeight="1">
      <c r="B498" s="8"/>
      <c r="CU498" s="8"/>
      <c r="CV498" s="8"/>
      <c r="CW498" s="8"/>
      <c r="CX498" s="8"/>
      <c r="CY498" s="8"/>
      <c r="CZ498" s="8"/>
      <c r="DA498" s="8"/>
      <c r="DB498" s="8"/>
      <c r="DC498" s="8"/>
      <c r="DD498" s="8"/>
      <c r="DE498" s="8"/>
      <c r="DF498" s="8"/>
      <c r="DG498" s="8"/>
      <c r="DH498" s="8"/>
      <c r="DI498" s="8"/>
      <c r="DJ498" s="8"/>
      <c r="DK498" s="8"/>
      <c r="DL498" s="8"/>
      <c r="DM498" s="8"/>
      <c r="DN498" s="8"/>
    </row>
    <row r="499" spans="2:118" ht="15.75" customHeight="1">
      <c r="B499" s="8"/>
      <c r="CU499" s="8"/>
      <c r="CV499" s="8"/>
      <c r="CW499" s="8"/>
      <c r="CX499" s="8"/>
      <c r="CY499" s="8"/>
      <c r="CZ499" s="8"/>
      <c r="DA499" s="8"/>
      <c r="DB499" s="8"/>
      <c r="DC499" s="8"/>
      <c r="DD499" s="8"/>
      <c r="DE499" s="8"/>
      <c r="DF499" s="8"/>
      <c r="DG499" s="8"/>
      <c r="DH499" s="8"/>
      <c r="DI499" s="8"/>
      <c r="DJ499" s="8"/>
      <c r="DK499" s="8"/>
      <c r="DL499" s="8"/>
      <c r="DM499" s="8"/>
      <c r="DN499" s="8"/>
    </row>
    <row r="500" spans="2:118" ht="15.75" customHeight="1">
      <c r="B500" s="8"/>
      <c r="CU500" s="8"/>
      <c r="CV500" s="8"/>
      <c r="CW500" s="8"/>
      <c r="CX500" s="8"/>
      <c r="CY500" s="8"/>
      <c r="CZ500" s="8"/>
      <c r="DA500" s="8"/>
      <c r="DB500" s="8"/>
      <c r="DC500" s="8"/>
      <c r="DD500" s="8"/>
      <c r="DE500" s="8"/>
      <c r="DF500" s="8"/>
      <c r="DG500" s="8"/>
      <c r="DH500" s="8"/>
      <c r="DI500" s="8"/>
      <c r="DJ500" s="8"/>
      <c r="DK500" s="8"/>
      <c r="DL500" s="8"/>
      <c r="DM500" s="8"/>
      <c r="DN500" s="8"/>
    </row>
    <row r="501" spans="2:118" ht="15.75" customHeight="1">
      <c r="B501" s="8"/>
      <c r="CU501" s="8"/>
      <c r="CV501" s="8"/>
      <c r="CW501" s="8"/>
      <c r="CX501" s="8"/>
      <c r="CY501" s="8"/>
      <c r="CZ501" s="8"/>
      <c r="DA501" s="8"/>
      <c r="DB501" s="8"/>
      <c r="DC501" s="8"/>
      <c r="DD501" s="8"/>
      <c r="DE501" s="8"/>
      <c r="DF501" s="8"/>
      <c r="DG501" s="8"/>
      <c r="DH501" s="8"/>
      <c r="DI501" s="8"/>
      <c r="DJ501" s="8"/>
      <c r="DK501" s="8"/>
      <c r="DL501" s="8"/>
      <c r="DM501" s="8"/>
      <c r="DN501" s="8"/>
    </row>
    <row r="502" spans="2:118" ht="15.75" customHeight="1">
      <c r="B502" s="8"/>
      <c r="CU502" s="8"/>
      <c r="CV502" s="8"/>
      <c r="CW502" s="8"/>
      <c r="CX502" s="8"/>
      <c r="CY502" s="8"/>
      <c r="CZ502" s="8"/>
      <c r="DA502" s="8"/>
      <c r="DB502" s="8"/>
      <c r="DC502" s="8"/>
      <c r="DD502" s="8"/>
      <c r="DE502" s="8"/>
      <c r="DF502" s="8"/>
      <c r="DG502" s="8"/>
      <c r="DH502" s="8"/>
      <c r="DI502" s="8"/>
      <c r="DJ502" s="8"/>
      <c r="DK502" s="8"/>
      <c r="DL502" s="8"/>
      <c r="DM502" s="8"/>
      <c r="DN502" s="8"/>
    </row>
    <row r="503" spans="2:118" ht="15.75" customHeight="1">
      <c r="B503" s="8"/>
      <c r="CU503" s="8"/>
      <c r="CV503" s="8"/>
      <c r="CW503" s="8"/>
      <c r="CX503" s="8"/>
      <c r="CY503" s="8"/>
      <c r="CZ503" s="8"/>
      <c r="DA503" s="8"/>
      <c r="DB503" s="8"/>
      <c r="DC503" s="8"/>
      <c r="DD503" s="8"/>
      <c r="DE503" s="8"/>
      <c r="DF503" s="8"/>
      <c r="DG503" s="8"/>
      <c r="DH503" s="8"/>
      <c r="DI503" s="8"/>
      <c r="DJ503" s="8"/>
      <c r="DK503" s="8"/>
      <c r="DL503" s="8"/>
      <c r="DM503" s="8"/>
      <c r="DN503" s="8"/>
    </row>
    <row r="504" spans="2:118" ht="15.75" customHeight="1">
      <c r="B504" s="8"/>
      <c r="CU504" s="8"/>
      <c r="CV504" s="8"/>
      <c r="CW504" s="8"/>
      <c r="CX504" s="8"/>
      <c r="CY504" s="8"/>
      <c r="CZ504" s="8"/>
      <c r="DA504" s="8"/>
      <c r="DB504" s="8"/>
      <c r="DC504" s="8"/>
      <c r="DD504" s="8"/>
      <c r="DE504" s="8"/>
      <c r="DF504" s="8"/>
      <c r="DG504" s="8"/>
      <c r="DH504" s="8"/>
      <c r="DI504" s="8"/>
      <c r="DJ504" s="8"/>
      <c r="DK504" s="8"/>
      <c r="DL504" s="8"/>
      <c r="DM504" s="8"/>
      <c r="DN504" s="8"/>
    </row>
    <row r="505" spans="2:118" ht="15.75" customHeight="1">
      <c r="B505" s="8"/>
      <c r="CU505" s="8"/>
      <c r="CV505" s="8"/>
      <c r="CW505" s="8"/>
      <c r="CX505" s="8"/>
      <c r="CY505" s="8"/>
      <c r="CZ505" s="8"/>
      <c r="DA505" s="8"/>
      <c r="DB505" s="8"/>
      <c r="DC505" s="8"/>
      <c r="DD505" s="8"/>
      <c r="DE505" s="8"/>
      <c r="DF505" s="8"/>
      <c r="DG505" s="8"/>
      <c r="DH505" s="8"/>
      <c r="DI505" s="8"/>
      <c r="DJ505" s="8"/>
      <c r="DK505" s="8"/>
      <c r="DL505" s="8"/>
      <c r="DM505" s="8"/>
      <c r="DN505" s="8"/>
    </row>
    <row r="506" spans="2:118" ht="15.75" customHeight="1">
      <c r="B506" s="8"/>
      <c r="CU506" s="8"/>
      <c r="CV506" s="8"/>
      <c r="CW506" s="8"/>
      <c r="CX506" s="8"/>
      <c r="CY506" s="8"/>
      <c r="CZ506" s="8"/>
      <c r="DA506" s="8"/>
      <c r="DB506" s="8"/>
      <c r="DC506" s="8"/>
      <c r="DD506" s="8"/>
      <c r="DE506" s="8"/>
      <c r="DF506" s="8"/>
      <c r="DG506" s="8"/>
      <c r="DH506" s="8"/>
      <c r="DI506" s="8"/>
      <c r="DJ506" s="8"/>
      <c r="DK506" s="8"/>
      <c r="DL506" s="8"/>
      <c r="DM506" s="8"/>
      <c r="DN506" s="8"/>
    </row>
    <row r="507" spans="2:118" ht="15.75" customHeight="1">
      <c r="B507" s="8"/>
      <c r="CU507" s="8"/>
      <c r="CV507" s="8"/>
      <c r="CW507" s="8"/>
      <c r="CX507" s="8"/>
      <c r="CY507" s="8"/>
      <c r="CZ507" s="8"/>
      <c r="DA507" s="8"/>
      <c r="DB507" s="8"/>
      <c r="DC507" s="8"/>
      <c r="DD507" s="8"/>
      <c r="DE507" s="8"/>
      <c r="DF507" s="8"/>
      <c r="DG507" s="8"/>
      <c r="DH507" s="8"/>
      <c r="DI507" s="8"/>
      <c r="DJ507" s="8"/>
      <c r="DK507" s="8"/>
      <c r="DL507" s="8"/>
      <c r="DM507" s="8"/>
      <c r="DN507" s="8"/>
    </row>
    <row r="508" spans="2:118" ht="15.75" customHeight="1">
      <c r="B508" s="8"/>
      <c r="CU508" s="8"/>
      <c r="CV508" s="8"/>
      <c r="CW508" s="8"/>
      <c r="CX508" s="8"/>
      <c r="CY508" s="8"/>
      <c r="CZ508" s="8"/>
      <c r="DA508" s="8"/>
      <c r="DB508" s="8"/>
      <c r="DC508" s="8"/>
      <c r="DD508" s="8"/>
      <c r="DE508" s="8"/>
      <c r="DF508" s="8"/>
      <c r="DG508" s="8"/>
      <c r="DH508" s="8"/>
      <c r="DI508" s="8"/>
      <c r="DJ508" s="8"/>
      <c r="DK508" s="8"/>
      <c r="DL508" s="8"/>
      <c r="DM508" s="8"/>
      <c r="DN508" s="8"/>
    </row>
    <row r="509" spans="2:118" ht="15.75" customHeight="1">
      <c r="B509" s="8"/>
      <c r="CU509" s="8"/>
      <c r="CV509" s="8"/>
      <c r="CW509" s="8"/>
      <c r="CX509" s="8"/>
      <c r="CY509" s="8"/>
      <c r="CZ509" s="8"/>
      <c r="DA509" s="8"/>
      <c r="DB509" s="8"/>
      <c r="DC509" s="8"/>
      <c r="DD509" s="8"/>
      <c r="DE509" s="8"/>
      <c r="DF509" s="8"/>
      <c r="DG509" s="8"/>
      <c r="DH509" s="8"/>
      <c r="DI509" s="8"/>
      <c r="DJ509" s="8"/>
      <c r="DK509" s="8"/>
      <c r="DL509" s="8"/>
      <c r="DM509" s="8"/>
      <c r="DN509" s="8"/>
    </row>
    <row r="510" spans="2:118" ht="15.75" customHeight="1">
      <c r="B510" s="8"/>
      <c r="CU510" s="8"/>
      <c r="CV510" s="8"/>
      <c r="CW510" s="8"/>
      <c r="CX510" s="8"/>
      <c r="CY510" s="8"/>
      <c r="CZ510" s="8"/>
      <c r="DA510" s="8"/>
      <c r="DB510" s="8"/>
      <c r="DC510" s="8"/>
      <c r="DD510" s="8"/>
      <c r="DE510" s="8"/>
      <c r="DF510" s="8"/>
      <c r="DG510" s="8"/>
      <c r="DH510" s="8"/>
      <c r="DI510" s="8"/>
      <c r="DJ510" s="8"/>
      <c r="DK510" s="8"/>
      <c r="DL510" s="8"/>
      <c r="DM510" s="8"/>
      <c r="DN510" s="8"/>
    </row>
    <row r="511" spans="2:118" ht="15.75" customHeight="1">
      <c r="B511" s="8"/>
      <c r="CU511" s="8"/>
      <c r="CV511" s="8"/>
      <c r="CW511" s="8"/>
      <c r="CX511" s="8"/>
      <c r="CY511" s="8"/>
      <c r="CZ511" s="8"/>
      <c r="DA511" s="8"/>
      <c r="DB511" s="8"/>
      <c r="DC511" s="8"/>
      <c r="DD511" s="8"/>
      <c r="DE511" s="8"/>
      <c r="DF511" s="8"/>
      <c r="DG511" s="8"/>
      <c r="DH511" s="8"/>
      <c r="DI511" s="8"/>
      <c r="DJ511" s="8"/>
      <c r="DK511" s="8"/>
      <c r="DL511" s="8"/>
      <c r="DM511" s="8"/>
      <c r="DN511" s="8"/>
    </row>
    <row r="512" spans="2:118" ht="15.75" customHeight="1">
      <c r="B512" s="8"/>
      <c r="CU512" s="8"/>
      <c r="CV512" s="8"/>
      <c r="CW512" s="8"/>
      <c r="CX512" s="8"/>
      <c r="CY512" s="8"/>
      <c r="CZ512" s="8"/>
      <c r="DA512" s="8"/>
      <c r="DB512" s="8"/>
      <c r="DC512" s="8"/>
      <c r="DD512" s="8"/>
      <c r="DE512" s="8"/>
      <c r="DF512" s="8"/>
      <c r="DG512" s="8"/>
      <c r="DH512" s="8"/>
      <c r="DI512" s="8"/>
      <c r="DJ512" s="8"/>
      <c r="DK512" s="8"/>
      <c r="DL512" s="8"/>
      <c r="DM512" s="8"/>
      <c r="DN512" s="8"/>
    </row>
    <row r="513" spans="2:118" ht="15.75" customHeight="1">
      <c r="B513" s="8"/>
      <c r="CU513" s="8"/>
      <c r="CV513" s="8"/>
      <c r="CW513" s="8"/>
      <c r="CX513" s="8"/>
      <c r="CY513" s="8"/>
      <c r="CZ513" s="8"/>
      <c r="DA513" s="8"/>
      <c r="DB513" s="8"/>
      <c r="DC513" s="8"/>
      <c r="DD513" s="8"/>
      <c r="DE513" s="8"/>
      <c r="DF513" s="8"/>
      <c r="DG513" s="8"/>
      <c r="DH513" s="8"/>
      <c r="DI513" s="8"/>
      <c r="DJ513" s="8"/>
      <c r="DK513" s="8"/>
      <c r="DL513" s="8"/>
      <c r="DM513" s="8"/>
      <c r="DN513" s="8"/>
    </row>
    <row r="514" spans="2:118" ht="15.75" customHeight="1">
      <c r="B514" s="8"/>
      <c r="CU514" s="8"/>
      <c r="CV514" s="8"/>
      <c r="CW514" s="8"/>
      <c r="CX514" s="8"/>
      <c r="CY514" s="8"/>
      <c r="CZ514" s="8"/>
      <c r="DA514" s="8"/>
      <c r="DB514" s="8"/>
      <c r="DC514" s="8"/>
      <c r="DD514" s="8"/>
      <c r="DE514" s="8"/>
      <c r="DF514" s="8"/>
      <c r="DG514" s="8"/>
      <c r="DH514" s="8"/>
      <c r="DI514" s="8"/>
      <c r="DJ514" s="8"/>
      <c r="DK514" s="8"/>
      <c r="DL514" s="8"/>
      <c r="DM514" s="8"/>
      <c r="DN514" s="8"/>
    </row>
    <row r="515" spans="2:118" ht="15.75" customHeight="1">
      <c r="B515" s="8"/>
      <c r="CU515" s="8"/>
      <c r="CV515" s="8"/>
      <c r="CW515" s="8"/>
      <c r="CX515" s="8"/>
      <c r="CY515" s="8"/>
      <c r="CZ515" s="8"/>
      <c r="DA515" s="8"/>
      <c r="DB515" s="8"/>
      <c r="DC515" s="8"/>
      <c r="DD515" s="8"/>
      <c r="DE515" s="8"/>
      <c r="DF515" s="8"/>
      <c r="DG515" s="8"/>
      <c r="DH515" s="8"/>
      <c r="DI515" s="8"/>
      <c r="DJ515" s="8"/>
      <c r="DK515" s="8"/>
      <c r="DL515" s="8"/>
      <c r="DM515" s="8"/>
      <c r="DN515" s="8"/>
    </row>
    <row r="516" spans="2:118" ht="15.75" customHeight="1">
      <c r="B516" s="8"/>
      <c r="CU516" s="8"/>
      <c r="CV516" s="8"/>
      <c r="CW516" s="8"/>
      <c r="CX516" s="8"/>
      <c r="CY516" s="8"/>
      <c r="CZ516" s="8"/>
      <c r="DA516" s="8"/>
      <c r="DB516" s="8"/>
      <c r="DC516" s="8"/>
      <c r="DD516" s="8"/>
      <c r="DE516" s="8"/>
      <c r="DF516" s="8"/>
      <c r="DG516" s="8"/>
      <c r="DH516" s="8"/>
      <c r="DI516" s="8"/>
      <c r="DJ516" s="8"/>
      <c r="DK516" s="8"/>
      <c r="DL516" s="8"/>
      <c r="DM516" s="8"/>
      <c r="DN516" s="8"/>
    </row>
    <row r="517" spans="2:118" ht="15.75" customHeight="1">
      <c r="B517" s="8"/>
      <c r="CU517" s="8"/>
      <c r="CV517" s="8"/>
      <c r="CW517" s="8"/>
      <c r="CX517" s="8"/>
      <c r="CY517" s="8"/>
      <c r="CZ517" s="8"/>
      <c r="DA517" s="8"/>
      <c r="DB517" s="8"/>
      <c r="DC517" s="8"/>
      <c r="DD517" s="8"/>
      <c r="DE517" s="8"/>
      <c r="DF517" s="8"/>
      <c r="DG517" s="8"/>
      <c r="DH517" s="8"/>
      <c r="DI517" s="8"/>
      <c r="DJ517" s="8"/>
      <c r="DK517" s="8"/>
      <c r="DL517" s="8"/>
      <c r="DM517" s="8"/>
      <c r="DN517" s="8"/>
    </row>
    <row r="518" spans="2:118" ht="15.75" customHeight="1">
      <c r="B518" s="8"/>
      <c r="CU518" s="8"/>
      <c r="CV518" s="8"/>
      <c r="CW518" s="8"/>
      <c r="CX518" s="8"/>
      <c r="CY518" s="8"/>
      <c r="CZ518" s="8"/>
      <c r="DA518" s="8"/>
      <c r="DB518" s="8"/>
      <c r="DC518" s="8"/>
      <c r="DD518" s="8"/>
      <c r="DE518" s="8"/>
      <c r="DF518" s="8"/>
      <c r="DG518" s="8"/>
      <c r="DH518" s="8"/>
      <c r="DI518" s="8"/>
      <c r="DJ518" s="8"/>
      <c r="DK518" s="8"/>
      <c r="DL518" s="8"/>
      <c r="DM518" s="8"/>
      <c r="DN518" s="8"/>
    </row>
    <row r="519" spans="2:118" ht="15.75" customHeight="1">
      <c r="B519" s="8"/>
      <c r="CU519" s="8"/>
      <c r="CV519" s="8"/>
      <c r="CW519" s="8"/>
      <c r="CX519" s="8"/>
      <c r="CY519" s="8"/>
      <c r="CZ519" s="8"/>
      <c r="DA519" s="8"/>
      <c r="DB519" s="8"/>
      <c r="DC519" s="8"/>
      <c r="DD519" s="8"/>
      <c r="DE519" s="8"/>
      <c r="DF519" s="8"/>
      <c r="DG519" s="8"/>
      <c r="DH519" s="8"/>
      <c r="DI519" s="8"/>
      <c r="DJ519" s="8"/>
      <c r="DK519" s="8"/>
      <c r="DL519" s="8"/>
      <c r="DM519" s="8"/>
      <c r="DN519" s="8"/>
    </row>
    <row r="520" spans="2:118" ht="15.75" customHeight="1">
      <c r="B520" s="8"/>
      <c r="CU520" s="8"/>
      <c r="CV520" s="8"/>
      <c r="CW520" s="8"/>
      <c r="CX520" s="8"/>
      <c r="CY520" s="8"/>
      <c r="CZ520" s="8"/>
      <c r="DA520" s="8"/>
      <c r="DB520" s="8"/>
      <c r="DC520" s="8"/>
      <c r="DD520" s="8"/>
      <c r="DE520" s="8"/>
      <c r="DF520" s="8"/>
      <c r="DG520" s="8"/>
      <c r="DH520" s="8"/>
      <c r="DI520" s="8"/>
      <c r="DJ520" s="8"/>
      <c r="DK520" s="8"/>
      <c r="DL520" s="8"/>
      <c r="DM520" s="8"/>
      <c r="DN520" s="8"/>
    </row>
    <row r="521" spans="2:118" ht="15.75" customHeight="1">
      <c r="B521" s="8"/>
      <c r="CU521" s="8"/>
      <c r="CV521" s="8"/>
      <c r="CW521" s="8"/>
      <c r="CX521" s="8"/>
      <c r="CY521" s="8"/>
      <c r="CZ521" s="8"/>
      <c r="DA521" s="8"/>
      <c r="DB521" s="8"/>
      <c r="DC521" s="8"/>
      <c r="DD521" s="8"/>
      <c r="DE521" s="8"/>
      <c r="DF521" s="8"/>
      <c r="DG521" s="8"/>
      <c r="DH521" s="8"/>
      <c r="DI521" s="8"/>
      <c r="DJ521" s="8"/>
      <c r="DK521" s="8"/>
      <c r="DL521" s="8"/>
      <c r="DM521" s="8"/>
      <c r="DN521" s="8"/>
    </row>
    <row r="522" spans="2:118" ht="15.75" customHeight="1">
      <c r="B522" s="8"/>
      <c r="CU522" s="8"/>
      <c r="CV522" s="8"/>
      <c r="CW522" s="8"/>
      <c r="CX522" s="8"/>
      <c r="CY522" s="8"/>
      <c r="CZ522" s="8"/>
      <c r="DA522" s="8"/>
      <c r="DB522" s="8"/>
      <c r="DC522" s="8"/>
      <c r="DD522" s="8"/>
      <c r="DE522" s="8"/>
      <c r="DF522" s="8"/>
      <c r="DG522" s="8"/>
      <c r="DH522" s="8"/>
      <c r="DI522" s="8"/>
      <c r="DJ522" s="8"/>
      <c r="DK522" s="8"/>
      <c r="DL522" s="8"/>
      <c r="DM522" s="8"/>
      <c r="DN522" s="8"/>
    </row>
    <row r="523" spans="2:118" ht="15.75" customHeight="1">
      <c r="B523" s="8"/>
      <c r="CU523" s="8"/>
      <c r="CV523" s="8"/>
      <c r="CW523" s="8"/>
      <c r="CX523" s="8"/>
      <c r="CY523" s="8"/>
      <c r="CZ523" s="8"/>
      <c r="DA523" s="8"/>
      <c r="DB523" s="8"/>
      <c r="DC523" s="8"/>
      <c r="DD523" s="8"/>
      <c r="DE523" s="8"/>
      <c r="DF523" s="8"/>
      <c r="DG523" s="8"/>
      <c r="DH523" s="8"/>
      <c r="DI523" s="8"/>
      <c r="DJ523" s="8"/>
      <c r="DK523" s="8"/>
      <c r="DL523" s="8"/>
      <c r="DM523" s="8"/>
      <c r="DN523" s="8"/>
    </row>
    <row r="524" spans="2:118" ht="15.75" customHeight="1">
      <c r="B524" s="8"/>
      <c r="CU524" s="8"/>
      <c r="CV524" s="8"/>
      <c r="CW524" s="8"/>
      <c r="CX524" s="8"/>
      <c r="CY524" s="8"/>
      <c r="CZ524" s="8"/>
      <c r="DA524" s="8"/>
      <c r="DB524" s="8"/>
      <c r="DC524" s="8"/>
      <c r="DD524" s="8"/>
      <c r="DE524" s="8"/>
      <c r="DF524" s="8"/>
      <c r="DG524" s="8"/>
      <c r="DH524" s="8"/>
      <c r="DI524" s="8"/>
      <c r="DJ524" s="8"/>
      <c r="DK524" s="8"/>
      <c r="DL524" s="8"/>
      <c r="DM524" s="8"/>
      <c r="DN524" s="8"/>
    </row>
    <row r="525" spans="2:118" ht="15.75" customHeight="1">
      <c r="B525" s="8"/>
      <c r="CU525" s="8"/>
      <c r="CV525" s="8"/>
      <c r="CW525" s="8"/>
      <c r="CX525" s="8"/>
      <c r="CY525" s="8"/>
      <c r="CZ525" s="8"/>
      <c r="DA525" s="8"/>
      <c r="DB525" s="8"/>
      <c r="DC525" s="8"/>
      <c r="DD525" s="8"/>
      <c r="DE525" s="8"/>
      <c r="DF525" s="8"/>
      <c r="DG525" s="8"/>
      <c r="DH525" s="8"/>
      <c r="DI525" s="8"/>
      <c r="DJ525" s="8"/>
      <c r="DK525" s="8"/>
      <c r="DL525" s="8"/>
      <c r="DM525" s="8"/>
      <c r="DN525" s="8"/>
    </row>
    <row r="526" spans="2:118" ht="15.75" customHeight="1">
      <c r="B526" s="8"/>
      <c r="CU526" s="8"/>
      <c r="CV526" s="8"/>
      <c r="CW526" s="8"/>
      <c r="CX526" s="8"/>
      <c r="CY526" s="8"/>
      <c r="CZ526" s="8"/>
      <c r="DA526" s="8"/>
      <c r="DB526" s="8"/>
      <c r="DC526" s="8"/>
      <c r="DD526" s="8"/>
      <c r="DE526" s="8"/>
      <c r="DF526" s="8"/>
      <c r="DG526" s="8"/>
      <c r="DH526" s="8"/>
      <c r="DI526" s="8"/>
      <c r="DJ526" s="8"/>
      <c r="DK526" s="8"/>
      <c r="DL526" s="8"/>
      <c r="DM526" s="8"/>
      <c r="DN526" s="8"/>
    </row>
    <row r="527" spans="2:118" ht="15.75" customHeight="1">
      <c r="B527" s="8"/>
      <c r="CU527" s="8"/>
      <c r="CV527" s="8"/>
      <c r="CW527" s="8"/>
      <c r="CX527" s="8"/>
      <c r="CY527" s="8"/>
      <c r="CZ527" s="8"/>
      <c r="DA527" s="8"/>
      <c r="DB527" s="8"/>
      <c r="DC527" s="8"/>
      <c r="DD527" s="8"/>
      <c r="DE527" s="8"/>
      <c r="DF527" s="8"/>
      <c r="DG527" s="8"/>
      <c r="DH527" s="8"/>
      <c r="DI527" s="8"/>
      <c r="DJ527" s="8"/>
      <c r="DK527" s="8"/>
      <c r="DL527" s="8"/>
      <c r="DM527" s="8"/>
      <c r="DN527" s="8"/>
    </row>
    <row r="528" spans="2:118" ht="15.75" customHeight="1">
      <c r="B528" s="8"/>
      <c r="CU528" s="8"/>
      <c r="CV528" s="8"/>
      <c r="CW528" s="8"/>
      <c r="CX528" s="8"/>
      <c r="CY528" s="8"/>
      <c r="CZ528" s="8"/>
      <c r="DA528" s="8"/>
      <c r="DB528" s="8"/>
      <c r="DC528" s="8"/>
      <c r="DD528" s="8"/>
      <c r="DE528" s="8"/>
      <c r="DF528" s="8"/>
      <c r="DG528" s="8"/>
      <c r="DH528" s="8"/>
      <c r="DI528" s="8"/>
      <c r="DJ528" s="8"/>
      <c r="DK528" s="8"/>
      <c r="DL528" s="8"/>
      <c r="DM528" s="8"/>
      <c r="DN528" s="8"/>
    </row>
    <row r="529" spans="2:118" ht="15.75" customHeight="1">
      <c r="B529" s="8"/>
      <c r="CU529" s="8"/>
      <c r="CV529" s="8"/>
      <c r="CW529" s="8"/>
      <c r="CX529" s="8"/>
      <c r="CY529" s="8"/>
      <c r="CZ529" s="8"/>
      <c r="DA529" s="8"/>
      <c r="DB529" s="8"/>
      <c r="DC529" s="8"/>
      <c r="DD529" s="8"/>
      <c r="DE529" s="8"/>
      <c r="DF529" s="8"/>
      <c r="DG529" s="8"/>
      <c r="DH529" s="8"/>
      <c r="DI529" s="8"/>
      <c r="DJ529" s="8"/>
      <c r="DK529" s="8"/>
      <c r="DL529" s="8"/>
      <c r="DM529" s="8"/>
      <c r="DN529" s="8"/>
    </row>
    <row r="530" spans="2:118" ht="15.75" customHeight="1">
      <c r="B530" s="8"/>
      <c r="CU530" s="8"/>
      <c r="CV530" s="8"/>
      <c r="CW530" s="8"/>
      <c r="CX530" s="8"/>
      <c r="CY530" s="8"/>
      <c r="CZ530" s="8"/>
      <c r="DA530" s="8"/>
      <c r="DB530" s="8"/>
      <c r="DC530" s="8"/>
      <c r="DD530" s="8"/>
      <c r="DE530" s="8"/>
      <c r="DF530" s="8"/>
      <c r="DG530" s="8"/>
      <c r="DH530" s="8"/>
      <c r="DI530" s="8"/>
      <c r="DJ530" s="8"/>
      <c r="DK530" s="8"/>
      <c r="DL530" s="8"/>
      <c r="DM530" s="8"/>
      <c r="DN530" s="8"/>
    </row>
    <row r="531" spans="2:118" ht="15.75" customHeight="1">
      <c r="B531" s="8"/>
      <c r="CU531" s="8"/>
      <c r="CV531" s="8"/>
      <c r="CW531" s="8"/>
      <c r="CX531" s="8"/>
      <c r="CY531" s="8"/>
      <c r="CZ531" s="8"/>
      <c r="DA531" s="8"/>
      <c r="DB531" s="8"/>
      <c r="DC531" s="8"/>
      <c r="DD531" s="8"/>
      <c r="DE531" s="8"/>
      <c r="DF531" s="8"/>
      <c r="DG531" s="8"/>
      <c r="DH531" s="8"/>
      <c r="DI531" s="8"/>
      <c r="DJ531" s="8"/>
      <c r="DK531" s="8"/>
      <c r="DL531" s="8"/>
      <c r="DM531" s="8"/>
      <c r="DN531" s="8"/>
    </row>
    <row r="532" spans="2:118" ht="15.75" customHeight="1">
      <c r="B532" s="8"/>
      <c r="CU532" s="8"/>
      <c r="CV532" s="8"/>
      <c r="CW532" s="8"/>
      <c r="CX532" s="8"/>
      <c r="CY532" s="8"/>
      <c r="CZ532" s="8"/>
      <c r="DA532" s="8"/>
      <c r="DB532" s="8"/>
      <c r="DC532" s="8"/>
      <c r="DD532" s="8"/>
      <c r="DE532" s="8"/>
      <c r="DF532" s="8"/>
      <c r="DG532" s="8"/>
      <c r="DH532" s="8"/>
      <c r="DI532" s="8"/>
      <c r="DJ532" s="8"/>
      <c r="DK532" s="8"/>
      <c r="DL532" s="8"/>
      <c r="DM532" s="8"/>
      <c r="DN532" s="8"/>
    </row>
    <row r="533" spans="2:118" ht="15.75" customHeight="1">
      <c r="B533" s="8"/>
      <c r="CU533" s="8"/>
      <c r="CV533" s="8"/>
      <c r="CW533" s="8"/>
      <c r="CX533" s="8"/>
      <c r="CY533" s="8"/>
      <c r="CZ533" s="8"/>
      <c r="DA533" s="8"/>
      <c r="DB533" s="8"/>
      <c r="DC533" s="8"/>
      <c r="DD533" s="8"/>
      <c r="DE533" s="8"/>
      <c r="DF533" s="8"/>
      <c r="DG533" s="8"/>
      <c r="DH533" s="8"/>
      <c r="DI533" s="8"/>
      <c r="DJ533" s="8"/>
      <c r="DK533" s="8"/>
      <c r="DL533" s="8"/>
      <c r="DM533" s="8"/>
      <c r="DN533" s="8"/>
    </row>
    <row r="534" spans="2:118" ht="15.75" customHeight="1">
      <c r="B534" s="8"/>
      <c r="CU534" s="8"/>
      <c r="CV534" s="8"/>
      <c r="CW534" s="8"/>
      <c r="CX534" s="8"/>
      <c r="CY534" s="8"/>
      <c r="CZ534" s="8"/>
      <c r="DA534" s="8"/>
      <c r="DB534" s="8"/>
      <c r="DC534" s="8"/>
      <c r="DD534" s="8"/>
      <c r="DE534" s="8"/>
      <c r="DF534" s="8"/>
      <c r="DG534" s="8"/>
      <c r="DH534" s="8"/>
      <c r="DI534" s="8"/>
      <c r="DJ534" s="8"/>
      <c r="DK534" s="8"/>
      <c r="DL534" s="8"/>
      <c r="DM534" s="8"/>
      <c r="DN534" s="8"/>
    </row>
    <row r="535" spans="2:118" ht="15.75" customHeight="1">
      <c r="B535" s="8"/>
      <c r="CU535" s="8"/>
      <c r="CV535" s="8"/>
      <c r="CW535" s="8"/>
      <c r="CX535" s="8"/>
      <c r="CY535" s="8"/>
      <c r="CZ535" s="8"/>
      <c r="DA535" s="8"/>
      <c r="DB535" s="8"/>
      <c r="DC535" s="8"/>
      <c r="DD535" s="8"/>
      <c r="DE535" s="8"/>
      <c r="DF535" s="8"/>
      <c r="DG535" s="8"/>
      <c r="DH535" s="8"/>
      <c r="DI535" s="8"/>
      <c r="DJ535" s="8"/>
      <c r="DK535" s="8"/>
      <c r="DL535" s="8"/>
      <c r="DM535" s="8"/>
      <c r="DN535" s="8"/>
    </row>
    <row r="536" spans="2:118" ht="15.75" customHeight="1">
      <c r="B536" s="8"/>
      <c r="CU536" s="8"/>
      <c r="CV536" s="8"/>
      <c r="CW536" s="8"/>
      <c r="CX536" s="8"/>
      <c r="CY536" s="8"/>
      <c r="CZ536" s="8"/>
      <c r="DA536" s="8"/>
      <c r="DB536" s="8"/>
      <c r="DC536" s="8"/>
      <c r="DD536" s="8"/>
      <c r="DE536" s="8"/>
      <c r="DF536" s="8"/>
      <c r="DG536" s="8"/>
      <c r="DH536" s="8"/>
      <c r="DI536" s="8"/>
      <c r="DJ536" s="8"/>
      <c r="DK536" s="8"/>
      <c r="DL536" s="8"/>
      <c r="DM536" s="8"/>
      <c r="DN536" s="8"/>
    </row>
    <row r="537" spans="2:118" ht="15.75" customHeight="1">
      <c r="B537" s="8"/>
      <c r="CU537" s="8"/>
      <c r="CV537" s="8"/>
      <c r="CW537" s="8"/>
      <c r="CX537" s="8"/>
      <c r="CY537" s="8"/>
      <c r="CZ537" s="8"/>
      <c r="DA537" s="8"/>
      <c r="DB537" s="8"/>
      <c r="DC537" s="8"/>
      <c r="DD537" s="8"/>
      <c r="DE537" s="8"/>
      <c r="DF537" s="8"/>
      <c r="DG537" s="8"/>
      <c r="DH537" s="8"/>
      <c r="DI537" s="8"/>
      <c r="DJ537" s="8"/>
      <c r="DK537" s="8"/>
      <c r="DL537" s="8"/>
      <c r="DM537" s="8"/>
      <c r="DN537" s="8"/>
    </row>
    <row r="538" spans="2:118" ht="15.75" customHeight="1">
      <c r="B538" s="8"/>
      <c r="CU538" s="8"/>
      <c r="CV538" s="8"/>
      <c r="CW538" s="8"/>
      <c r="CX538" s="8"/>
      <c r="CY538" s="8"/>
      <c r="CZ538" s="8"/>
      <c r="DA538" s="8"/>
      <c r="DB538" s="8"/>
      <c r="DC538" s="8"/>
      <c r="DD538" s="8"/>
      <c r="DE538" s="8"/>
      <c r="DF538" s="8"/>
      <c r="DG538" s="8"/>
      <c r="DH538" s="8"/>
      <c r="DI538" s="8"/>
      <c r="DJ538" s="8"/>
      <c r="DK538" s="8"/>
      <c r="DL538" s="8"/>
      <c r="DM538" s="8"/>
      <c r="DN538" s="8"/>
    </row>
    <row r="539" spans="2:118" ht="15.75" customHeight="1">
      <c r="B539" s="8"/>
      <c r="CU539" s="8"/>
      <c r="CV539" s="8"/>
      <c r="CW539" s="8"/>
      <c r="CX539" s="8"/>
      <c r="CY539" s="8"/>
      <c r="CZ539" s="8"/>
      <c r="DA539" s="8"/>
      <c r="DB539" s="8"/>
      <c r="DC539" s="8"/>
      <c r="DD539" s="8"/>
      <c r="DE539" s="8"/>
      <c r="DF539" s="8"/>
      <c r="DG539" s="8"/>
      <c r="DH539" s="8"/>
      <c r="DI539" s="8"/>
      <c r="DJ539" s="8"/>
      <c r="DK539" s="8"/>
      <c r="DL539" s="8"/>
      <c r="DM539" s="8"/>
      <c r="DN539" s="8"/>
    </row>
    <row r="540" spans="2:118" ht="15.75" customHeight="1">
      <c r="B540" s="8"/>
      <c r="CU540" s="8"/>
      <c r="CV540" s="8"/>
      <c r="CW540" s="8"/>
      <c r="CX540" s="8"/>
      <c r="CY540" s="8"/>
      <c r="CZ540" s="8"/>
      <c r="DA540" s="8"/>
      <c r="DB540" s="8"/>
      <c r="DC540" s="8"/>
      <c r="DD540" s="8"/>
      <c r="DE540" s="8"/>
      <c r="DF540" s="8"/>
      <c r="DG540" s="8"/>
      <c r="DH540" s="8"/>
      <c r="DI540" s="8"/>
      <c r="DJ540" s="8"/>
      <c r="DK540" s="8"/>
      <c r="DL540" s="8"/>
      <c r="DM540" s="8"/>
      <c r="DN540" s="8"/>
    </row>
    <row r="541" spans="2:118" ht="15.75" customHeight="1">
      <c r="B541" s="8"/>
      <c r="CU541" s="8"/>
      <c r="CV541" s="8"/>
      <c r="CW541" s="8"/>
      <c r="CX541" s="8"/>
      <c r="CY541" s="8"/>
      <c r="CZ541" s="8"/>
      <c r="DA541" s="8"/>
      <c r="DB541" s="8"/>
      <c r="DC541" s="8"/>
      <c r="DD541" s="8"/>
      <c r="DE541" s="8"/>
      <c r="DF541" s="8"/>
      <c r="DG541" s="8"/>
      <c r="DH541" s="8"/>
      <c r="DI541" s="8"/>
      <c r="DJ541" s="8"/>
      <c r="DK541" s="8"/>
      <c r="DL541" s="8"/>
      <c r="DM541" s="8"/>
      <c r="DN541" s="8"/>
    </row>
    <row r="542" spans="2:118" ht="15.75" customHeight="1">
      <c r="B542" s="8"/>
      <c r="CU542" s="8"/>
      <c r="CV542" s="8"/>
      <c r="CW542" s="8"/>
      <c r="CX542" s="8"/>
      <c r="CY542" s="8"/>
      <c r="CZ542" s="8"/>
      <c r="DA542" s="8"/>
      <c r="DB542" s="8"/>
      <c r="DC542" s="8"/>
      <c r="DD542" s="8"/>
      <c r="DE542" s="8"/>
      <c r="DF542" s="8"/>
      <c r="DG542" s="8"/>
      <c r="DH542" s="8"/>
      <c r="DI542" s="8"/>
      <c r="DJ542" s="8"/>
      <c r="DK542" s="8"/>
      <c r="DL542" s="8"/>
      <c r="DM542" s="8"/>
      <c r="DN542" s="8"/>
    </row>
    <row r="543" spans="2:118" ht="15.75" customHeight="1">
      <c r="B543" s="8"/>
      <c r="CU543" s="8"/>
      <c r="CV543" s="8"/>
      <c r="CW543" s="8"/>
      <c r="CX543" s="8"/>
      <c r="CY543" s="8"/>
      <c r="CZ543" s="8"/>
      <c r="DA543" s="8"/>
      <c r="DB543" s="8"/>
      <c r="DC543" s="8"/>
      <c r="DD543" s="8"/>
      <c r="DE543" s="8"/>
      <c r="DF543" s="8"/>
      <c r="DG543" s="8"/>
      <c r="DH543" s="8"/>
      <c r="DI543" s="8"/>
      <c r="DJ543" s="8"/>
      <c r="DK543" s="8"/>
      <c r="DL543" s="8"/>
      <c r="DM543" s="8"/>
      <c r="DN543" s="8"/>
    </row>
    <row r="544" spans="2:118" ht="15.75" customHeight="1">
      <c r="B544" s="8"/>
      <c r="CU544" s="8"/>
      <c r="CV544" s="8"/>
      <c r="CW544" s="8"/>
      <c r="CX544" s="8"/>
      <c r="CY544" s="8"/>
      <c r="CZ544" s="8"/>
      <c r="DA544" s="8"/>
      <c r="DB544" s="8"/>
      <c r="DC544" s="8"/>
      <c r="DD544" s="8"/>
      <c r="DE544" s="8"/>
      <c r="DF544" s="8"/>
      <c r="DG544" s="8"/>
      <c r="DH544" s="8"/>
      <c r="DI544" s="8"/>
      <c r="DJ544" s="8"/>
      <c r="DK544" s="8"/>
      <c r="DL544" s="8"/>
      <c r="DM544" s="8"/>
      <c r="DN544" s="8"/>
    </row>
    <row r="545" spans="2:118" ht="15.75" customHeight="1">
      <c r="B545" s="8"/>
      <c r="CU545" s="8"/>
      <c r="CV545" s="8"/>
      <c r="CW545" s="8"/>
      <c r="CX545" s="8"/>
      <c r="CY545" s="8"/>
      <c r="CZ545" s="8"/>
      <c r="DA545" s="8"/>
      <c r="DB545" s="8"/>
      <c r="DC545" s="8"/>
      <c r="DD545" s="8"/>
      <c r="DE545" s="8"/>
      <c r="DF545" s="8"/>
      <c r="DG545" s="8"/>
      <c r="DH545" s="8"/>
      <c r="DI545" s="8"/>
      <c r="DJ545" s="8"/>
      <c r="DK545" s="8"/>
      <c r="DL545" s="8"/>
      <c r="DM545" s="8"/>
      <c r="DN545" s="8"/>
    </row>
    <row r="546" spans="2:118" ht="15.75" customHeight="1">
      <c r="B546" s="8"/>
      <c r="CU546" s="8"/>
      <c r="CV546" s="8"/>
      <c r="CW546" s="8"/>
      <c r="CX546" s="8"/>
      <c r="CY546" s="8"/>
      <c r="CZ546" s="8"/>
      <c r="DA546" s="8"/>
      <c r="DB546" s="8"/>
      <c r="DC546" s="8"/>
      <c r="DD546" s="8"/>
      <c r="DE546" s="8"/>
      <c r="DF546" s="8"/>
      <c r="DG546" s="8"/>
      <c r="DH546" s="8"/>
      <c r="DI546" s="8"/>
      <c r="DJ546" s="8"/>
      <c r="DK546" s="8"/>
      <c r="DL546" s="8"/>
      <c r="DM546" s="8"/>
      <c r="DN546" s="8"/>
    </row>
    <row r="547" spans="2:118" ht="15.75" customHeight="1">
      <c r="B547" s="8"/>
      <c r="CU547" s="8"/>
      <c r="CV547" s="8"/>
      <c r="CW547" s="8"/>
      <c r="CX547" s="8"/>
      <c r="CY547" s="8"/>
      <c r="CZ547" s="8"/>
      <c r="DA547" s="8"/>
      <c r="DB547" s="8"/>
      <c r="DC547" s="8"/>
      <c r="DD547" s="8"/>
      <c r="DE547" s="8"/>
      <c r="DF547" s="8"/>
      <c r="DG547" s="8"/>
      <c r="DH547" s="8"/>
      <c r="DI547" s="8"/>
      <c r="DJ547" s="8"/>
      <c r="DK547" s="8"/>
      <c r="DL547" s="8"/>
      <c r="DM547" s="8"/>
      <c r="DN547" s="8"/>
    </row>
    <row r="548" spans="2:118" ht="15.75" customHeight="1">
      <c r="B548" s="8"/>
      <c r="CU548" s="8"/>
      <c r="CV548" s="8"/>
      <c r="CW548" s="8"/>
      <c r="CX548" s="8"/>
      <c r="CY548" s="8"/>
      <c r="CZ548" s="8"/>
      <c r="DA548" s="8"/>
      <c r="DB548" s="8"/>
      <c r="DC548" s="8"/>
      <c r="DD548" s="8"/>
      <c r="DE548" s="8"/>
      <c r="DF548" s="8"/>
      <c r="DG548" s="8"/>
      <c r="DH548" s="8"/>
      <c r="DI548" s="8"/>
      <c r="DJ548" s="8"/>
      <c r="DK548" s="8"/>
      <c r="DL548" s="8"/>
      <c r="DM548" s="8"/>
      <c r="DN548" s="8"/>
    </row>
    <row r="549" spans="2:118" ht="15.75" customHeight="1">
      <c r="B549" s="8"/>
      <c r="CU549" s="8"/>
      <c r="CV549" s="8"/>
      <c r="CW549" s="8"/>
      <c r="CX549" s="8"/>
      <c r="CY549" s="8"/>
      <c r="CZ549" s="8"/>
      <c r="DA549" s="8"/>
      <c r="DB549" s="8"/>
      <c r="DC549" s="8"/>
      <c r="DD549" s="8"/>
      <c r="DE549" s="8"/>
      <c r="DF549" s="8"/>
      <c r="DG549" s="8"/>
      <c r="DH549" s="8"/>
      <c r="DI549" s="8"/>
      <c r="DJ549" s="8"/>
      <c r="DK549" s="8"/>
      <c r="DL549" s="8"/>
      <c r="DM549" s="8"/>
      <c r="DN549" s="8"/>
    </row>
    <row r="550" spans="2:118" ht="15.75" customHeight="1">
      <c r="B550" s="8"/>
      <c r="CU550" s="8"/>
      <c r="CV550" s="8"/>
      <c r="CW550" s="8"/>
      <c r="CX550" s="8"/>
      <c r="CY550" s="8"/>
      <c r="CZ550" s="8"/>
      <c r="DA550" s="8"/>
      <c r="DB550" s="8"/>
      <c r="DC550" s="8"/>
      <c r="DD550" s="8"/>
      <c r="DE550" s="8"/>
      <c r="DF550" s="8"/>
      <c r="DG550" s="8"/>
      <c r="DH550" s="8"/>
      <c r="DI550" s="8"/>
      <c r="DJ550" s="8"/>
      <c r="DK550" s="8"/>
      <c r="DL550" s="8"/>
      <c r="DM550" s="8"/>
      <c r="DN550" s="8"/>
    </row>
    <row r="551" spans="2:118" ht="15.75" customHeight="1">
      <c r="B551" s="8"/>
      <c r="CU551" s="8"/>
      <c r="CV551" s="8"/>
      <c r="CW551" s="8"/>
      <c r="CX551" s="8"/>
      <c r="CY551" s="8"/>
      <c r="CZ551" s="8"/>
      <c r="DA551" s="8"/>
      <c r="DB551" s="8"/>
      <c r="DC551" s="8"/>
      <c r="DD551" s="8"/>
      <c r="DE551" s="8"/>
      <c r="DF551" s="8"/>
      <c r="DG551" s="8"/>
      <c r="DH551" s="8"/>
      <c r="DI551" s="8"/>
      <c r="DJ551" s="8"/>
      <c r="DK551" s="8"/>
      <c r="DL551" s="8"/>
      <c r="DM551" s="8"/>
      <c r="DN551" s="8"/>
    </row>
    <row r="552" spans="2:118" ht="15.75" customHeight="1">
      <c r="B552" s="8"/>
      <c r="CU552" s="8"/>
      <c r="CV552" s="8"/>
      <c r="CW552" s="8"/>
      <c r="CX552" s="8"/>
      <c r="CY552" s="8"/>
      <c r="CZ552" s="8"/>
      <c r="DA552" s="8"/>
      <c r="DB552" s="8"/>
      <c r="DC552" s="8"/>
      <c r="DD552" s="8"/>
      <c r="DE552" s="8"/>
      <c r="DF552" s="8"/>
      <c r="DG552" s="8"/>
      <c r="DH552" s="8"/>
      <c r="DI552" s="8"/>
      <c r="DJ552" s="8"/>
      <c r="DK552" s="8"/>
      <c r="DL552" s="8"/>
      <c r="DM552" s="8"/>
      <c r="DN552" s="8"/>
    </row>
    <row r="553" spans="2:118" ht="15.75" customHeight="1">
      <c r="B553" s="8"/>
      <c r="CU553" s="8"/>
      <c r="CV553" s="8"/>
      <c r="CW553" s="8"/>
      <c r="CX553" s="8"/>
      <c r="CY553" s="8"/>
      <c r="CZ553" s="8"/>
      <c r="DA553" s="8"/>
      <c r="DB553" s="8"/>
      <c r="DC553" s="8"/>
      <c r="DD553" s="8"/>
      <c r="DE553" s="8"/>
      <c r="DF553" s="8"/>
      <c r="DG553" s="8"/>
      <c r="DH553" s="8"/>
      <c r="DI553" s="8"/>
      <c r="DJ553" s="8"/>
      <c r="DK553" s="8"/>
      <c r="DL553" s="8"/>
      <c r="DM553" s="8"/>
      <c r="DN553" s="8"/>
    </row>
    <row r="554" spans="2:118" ht="15.75" customHeight="1">
      <c r="B554" s="8"/>
      <c r="CU554" s="8"/>
      <c r="CV554" s="8"/>
      <c r="CW554" s="8"/>
      <c r="CX554" s="8"/>
      <c r="CY554" s="8"/>
      <c r="CZ554" s="8"/>
      <c r="DA554" s="8"/>
      <c r="DB554" s="8"/>
      <c r="DC554" s="8"/>
      <c r="DD554" s="8"/>
      <c r="DE554" s="8"/>
      <c r="DF554" s="8"/>
      <c r="DG554" s="8"/>
      <c r="DH554" s="8"/>
      <c r="DI554" s="8"/>
      <c r="DJ554" s="8"/>
      <c r="DK554" s="8"/>
      <c r="DL554" s="8"/>
      <c r="DM554" s="8"/>
      <c r="DN554" s="8"/>
    </row>
    <row r="555" spans="2:118" ht="15.75" customHeight="1">
      <c r="B555" s="8"/>
      <c r="CU555" s="8"/>
      <c r="CV555" s="8"/>
      <c r="CW555" s="8"/>
      <c r="CX555" s="8"/>
      <c r="CY555" s="8"/>
      <c r="CZ555" s="8"/>
      <c r="DA555" s="8"/>
      <c r="DB555" s="8"/>
      <c r="DC555" s="8"/>
      <c r="DD555" s="8"/>
      <c r="DE555" s="8"/>
      <c r="DF555" s="8"/>
      <c r="DG555" s="8"/>
      <c r="DH555" s="8"/>
      <c r="DI555" s="8"/>
      <c r="DJ555" s="8"/>
      <c r="DK555" s="8"/>
      <c r="DL555" s="8"/>
      <c r="DM555" s="8"/>
      <c r="DN555" s="8"/>
    </row>
    <row r="556" spans="2:118" ht="15.75" customHeight="1">
      <c r="B556" s="8"/>
      <c r="CU556" s="8"/>
      <c r="CV556" s="8"/>
      <c r="CW556" s="8"/>
      <c r="CX556" s="8"/>
      <c r="CY556" s="8"/>
      <c r="CZ556" s="8"/>
      <c r="DA556" s="8"/>
      <c r="DB556" s="8"/>
      <c r="DC556" s="8"/>
      <c r="DD556" s="8"/>
      <c r="DE556" s="8"/>
      <c r="DF556" s="8"/>
      <c r="DG556" s="8"/>
      <c r="DH556" s="8"/>
      <c r="DI556" s="8"/>
      <c r="DJ556" s="8"/>
      <c r="DK556" s="8"/>
      <c r="DL556" s="8"/>
      <c r="DM556" s="8"/>
      <c r="DN556" s="8"/>
    </row>
    <row r="557" spans="2:118" ht="15.75" customHeight="1">
      <c r="B557" s="8"/>
      <c r="CU557" s="8"/>
      <c r="CV557" s="8"/>
      <c r="CW557" s="8"/>
      <c r="CX557" s="8"/>
      <c r="CY557" s="8"/>
      <c r="CZ557" s="8"/>
      <c r="DA557" s="8"/>
      <c r="DB557" s="8"/>
      <c r="DC557" s="8"/>
      <c r="DD557" s="8"/>
      <c r="DE557" s="8"/>
      <c r="DF557" s="8"/>
      <c r="DG557" s="8"/>
      <c r="DH557" s="8"/>
      <c r="DI557" s="8"/>
      <c r="DJ557" s="8"/>
      <c r="DK557" s="8"/>
      <c r="DL557" s="8"/>
      <c r="DM557" s="8"/>
      <c r="DN557" s="8"/>
    </row>
    <row r="558" spans="2:118" ht="15.75" customHeight="1">
      <c r="B558" s="8"/>
      <c r="CU558" s="8"/>
      <c r="CV558" s="8"/>
      <c r="CW558" s="8"/>
      <c r="CX558" s="8"/>
      <c r="CY558" s="8"/>
      <c r="CZ558" s="8"/>
      <c r="DA558" s="8"/>
      <c r="DB558" s="8"/>
      <c r="DC558" s="8"/>
      <c r="DD558" s="8"/>
      <c r="DE558" s="8"/>
      <c r="DF558" s="8"/>
      <c r="DG558" s="8"/>
      <c r="DH558" s="8"/>
      <c r="DI558" s="8"/>
      <c r="DJ558" s="8"/>
      <c r="DK558" s="8"/>
      <c r="DL558" s="8"/>
      <c r="DM558" s="8"/>
      <c r="DN558" s="8"/>
    </row>
    <row r="559" spans="2:118" ht="15.75" customHeight="1">
      <c r="B559" s="8"/>
      <c r="CU559" s="8"/>
      <c r="CV559" s="8"/>
      <c r="CW559" s="8"/>
      <c r="CX559" s="8"/>
      <c r="CY559" s="8"/>
      <c r="CZ559" s="8"/>
      <c r="DA559" s="8"/>
      <c r="DB559" s="8"/>
      <c r="DC559" s="8"/>
      <c r="DD559" s="8"/>
      <c r="DE559" s="8"/>
      <c r="DF559" s="8"/>
      <c r="DG559" s="8"/>
      <c r="DH559" s="8"/>
      <c r="DI559" s="8"/>
      <c r="DJ559" s="8"/>
      <c r="DK559" s="8"/>
      <c r="DL559" s="8"/>
      <c r="DM559" s="8"/>
      <c r="DN559" s="8"/>
    </row>
    <row r="560" spans="2:118" ht="15.75" customHeight="1">
      <c r="B560" s="8"/>
      <c r="CU560" s="8"/>
      <c r="CV560" s="8"/>
      <c r="CW560" s="8"/>
      <c r="CX560" s="8"/>
      <c r="CY560" s="8"/>
      <c r="CZ560" s="8"/>
      <c r="DA560" s="8"/>
      <c r="DB560" s="8"/>
      <c r="DC560" s="8"/>
      <c r="DD560" s="8"/>
      <c r="DE560" s="8"/>
      <c r="DF560" s="8"/>
      <c r="DG560" s="8"/>
      <c r="DH560" s="8"/>
      <c r="DI560" s="8"/>
      <c r="DJ560" s="8"/>
      <c r="DK560" s="8"/>
      <c r="DL560" s="8"/>
      <c r="DM560" s="8"/>
      <c r="DN560" s="8"/>
    </row>
    <row r="561" spans="2:118" ht="15.75" customHeight="1">
      <c r="B561" s="8"/>
      <c r="CU561" s="8"/>
      <c r="CV561" s="8"/>
      <c r="CW561" s="8"/>
      <c r="CX561" s="8"/>
      <c r="CY561" s="8"/>
      <c r="CZ561" s="8"/>
      <c r="DA561" s="8"/>
      <c r="DB561" s="8"/>
      <c r="DC561" s="8"/>
      <c r="DD561" s="8"/>
      <c r="DE561" s="8"/>
      <c r="DF561" s="8"/>
      <c r="DG561" s="8"/>
      <c r="DH561" s="8"/>
      <c r="DI561" s="8"/>
      <c r="DJ561" s="8"/>
      <c r="DK561" s="8"/>
      <c r="DL561" s="8"/>
      <c r="DM561" s="8"/>
      <c r="DN561" s="8"/>
    </row>
    <row r="562" spans="2:118" ht="15.75" customHeight="1">
      <c r="B562" s="8"/>
      <c r="CU562" s="8"/>
      <c r="CV562" s="8"/>
      <c r="CW562" s="8"/>
      <c r="CX562" s="8"/>
      <c r="CY562" s="8"/>
      <c r="CZ562" s="8"/>
      <c r="DA562" s="8"/>
      <c r="DB562" s="8"/>
      <c r="DC562" s="8"/>
      <c r="DD562" s="8"/>
      <c r="DE562" s="8"/>
      <c r="DF562" s="8"/>
      <c r="DG562" s="8"/>
      <c r="DH562" s="8"/>
      <c r="DI562" s="8"/>
      <c r="DJ562" s="8"/>
      <c r="DK562" s="8"/>
      <c r="DL562" s="8"/>
      <c r="DM562" s="8"/>
      <c r="DN562" s="8"/>
    </row>
    <row r="563" spans="2:118" ht="15.75" customHeight="1">
      <c r="B563" s="8"/>
      <c r="CU563" s="8"/>
      <c r="CV563" s="8"/>
      <c r="CW563" s="8"/>
      <c r="CX563" s="8"/>
      <c r="CY563" s="8"/>
      <c r="CZ563" s="8"/>
      <c r="DA563" s="8"/>
      <c r="DB563" s="8"/>
      <c r="DC563" s="8"/>
      <c r="DD563" s="8"/>
      <c r="DE563" s="8"/>
      <c r="DF563" s="8"/>
      <c r="DG563" s="8"/>
      <c r="DH563" s="8"/>
      <c r="DI563" s="8"/>
      <c r="DJ563" s="8"/>
      <c r="DK563" s="8"/>
      <c r="DL563" s="8"/>
      <c r="DM563" s="8"/>
      <c r="DN563" s="8"/>
    </row>
    <row r="564" spans="2:118" ht="15.75" customHeight="1">
      <c r="B564" s="8"/>
      <c r="CU564" s="8"/>
      <c r="CV564" s="8"/>
      <c r="CW564" s="8"/>
      <c r="CX564" s="8"/>
      <c r="CY564" s="8"/>
      <c r="CZ564" s="8"/>
      <c r="DA564" s="8"/>
      <c r="DB564" s="8"/>
      <c r="DC564" s="8"/>
      <c r="DD564" s="8"/>
      <c r="DE564" s="8"/>
      <c r="DF564" s="8"/>
      <c r="DG564" s="8"/>
      <c r="DH564" s="8"/>
      <c r="DI564" s="8"/>
      <c r="DJ564" s="8"/>
      <c r="DK564" s="8"/>
      <c r="DL564" s="8"/>
      <c r="DM564" s="8"/>
      <c r="DN564" s="8"/>
    </row>
    <row r="565" spans="2:118" ht="15.75" customHeight="1">
      <c r="B565" s="8"/>
      <c r="CU565" s="8"/>
      <c r="CV565" s="8"/>
      <c r="CW565" s="8"/>
      <c r="CX565" s="8"/>
      <c r="CY565" s="8"/>
      <c r="CZ565" s="8"/>
      <c r="DA565" s="8"/>
      <c r="DB565" s="8"/>
      <c r="DC565" s="8"/>
      <c r="DD565" s="8"/>
      <c r="DE565" s="8"/>
      <c r="DF565" s="8"/>
      <c r="DG565" s="8"/>
      <c r="DH565" s="8"/>
      <c r="DI565" s="8"/>
      <c r="DJ565" s="8"/>
      <c r="DK565" s="8"/>
      <c r="DL565" s="8"/>
      <c r="DM565" s="8"/>
      <c r="DN565" s="8"/>
    </row>
    <row r="566" spans="2:118" ht="15.75" customHeight="1">
      <c r="B566" s="8"/>
      <c r="CU566" s="8"/>
      <c r="CV566" s="8"/>
      <c r="CW566" s="8"/>
      <c r="CX566" s="8"/>
      <c r="CY566" s="8"/>
      <c r="CZ566" s="8"/>
      <c r="DA566" s="8"/>
      <c r="DB566" s="8"/>
      <c r="DC566" s="8"/>
      <c r="DD566" s="8"/>
      <c r="DE566" s="8"/>
      <c r="DF566" s="8"/>
      <c r="DG566" s="8"/>
      <c r="DH566" s="8"/>
      <c r="DI566" s="8"/>
      <c r="DJ566" s="8"/>
      <c r="DK566" s="8"/>
      <c r="DL566" s="8"/>
      <c r="DM566" s="8"/>
      <c r="DN566" s="8"/>
    </row>
    <row r="567" spans="2:118" ht="15.75" customHeight="1">
      <c r="B567" s="8"/>
      <c r="CU567" s="8"/>
      <c r="CV567" s="8"/>
      <c r="CW567" s="8"/>
      <c r="CX567" s="8"/>
      <c r="CY567" s="8"/>
      <c r="CZ567" s="8"/>
      <c r="DA567" s="8"/>
      <c r="DB567" s="8"/>
      <c r="DC567" s="8"/>
      <c r="DD567" s="8"/>
      <c r="DE567" s="8"/>
      <c r="DF567" s="8"/>
      <c r="DG567" s="8"/>
      <c r="DH567" s="8"/>
      <c r="DI567" s="8"/>
      <c r="DJ567" s="8"/>
      <c r="DK567" s="8"/>
      <c r="DL567" s="8"/>
      <c r="DM567" s="8"/>
      <c r="DN567" s="8"/>
    </row>
    <row r="568" spans="2:118" ht="15.75" customHeight="1">
      <c r="B568" s="8"/>
      <c r="CU568" s="8"/>
      <c r="CV568" s="8"/>
      <c r="CW568" s="8"/>
      <c r="CX568" s="8"/>
      <c r="CY568" s="8"/>
      <c r="CZ568" s="8"/>
      <c r="DA568" s="8"/>
      <c r="DB568" s="8"/>
      <c r="DC568" s="8"/>
      <c r="DD568" s="8"/>
      <c r="DE568" s="8"/>
      <c r="DF568" s="8"/>
      <c r="DG568" s="8"/>
      <c r="DH568" s="8"/>
      <c r="DI568" s="8"/>
      <c r="DJ568" s="8"/>
      <c r="DK568" s="8"/>
      <c r="DL568" s="8"/>
      <c r="DM568" s="8"/>
      <c r="DN568" s="8"/>
    </row>
    <row r="569" spans="2:118" ht="15.75" customHeight="1">
      <c r="B569" s="8"/>
      <c r="CU569" s="8"/>
      <c r="CV569" s="8"/>
      <c r="CW569" s="8"/>
      <c r="CX569" s="8"/>
      <c r="CY569" s="8"/>
      <c r="CZ569" s="8"/>
      <c r="DA569" s="8"/>
      <c r="DB569" s="8"/>
      <c r="DC569" s="8"/>
      <c r="DD569" s="8"/>
      <c r="DE569" s="8"/>
      <c r="DF569" s="8"/>
      <c r="DG569" s="8"/>
      <c r="DH569" s="8"/>
      <c r="DI569" s="8"/>
      <c r="DJ569" s="8"/>
      <c r="DK569" s="8"/>
      <c r="DL569" s="8"/>
      <c r="DM569" s="8"/>
      <c r="DN569" s="8"/>
    </row>
    <row r="570" spans="2:118" ht="15.75" customHeight="1">
      <c r="B570" s="8"/>
      <c r="CU570" s="8"/>
      <c r="CV570" s="8"/>
      <c r="CW570" s="8"/>
      <c r="CX570" s="8"/>
      <c r="CY570" s="8"/>
      <c r="CZ570" s="8"/>
      <c r="DA570" s="8"/>
      <c r="DB570" s="8"/>
      <c r="DC570" s="8"/>
      <c r="DD570" s="8"/>
      <c r="DE570" s="8"/>
      <c r="DF570" s="8"/>
      <c r="DG570" s="8"/>
      <c r="DH570" s="8"/>
      <c r="DI570" s="8"/>
      <c r="DJ570" s="8"/>
      <c r="DK570" s="8"/>
      <c r="DL570" s="8"/>
      <c r="DM570" s="8"/>
      <c r="DN570" s="8"/>
    </row>
    <row r="571" spans="2:118" ht="15.75" customHeight="1">
      <c r="B571" s="8"/>
      <c r="CU571" s="8"/>
      <c r="CV571" s="8"/>
      <c r="CW571" s="8"/>
      <c r="CX571" s="8"/>
      <c r="CY571" s="8"/>
      <c r="CZ571" s="8"/>
      <c r="DA571" s="8"/>
      <c r="DB571" s="8"/>
      <c r="DC571" s="8"/>
      <c r="DD571" s="8"/>
      <c r="DE571" s="8"/>
      <c r="DF571" s="8"/>
      <c r="DG571" s="8"/>
      <c r="DH571" s="8"/>
      <c r="DI571" s="8"/>
      <c r="DJ571" s="8"/>
      <c r="DK571" s="8"/>
      <c r="DL571" s="8"/>
      <c r="DM571" s="8"/>
      <c r="DN571" s="8"/>
    </row>
    <row r="572" spans="2:118" ht="15.75" customHeight="1">
      <c r="B572" s="8"/>
      <c r="CU572" s="8"/>
      <c r="CV572" s="8"/>
      <c r="CW572" s="8"/>
      <c r="CX572" s="8"/>
      <c r="CY572" s="8"/>
      <c r="CZ572" s="8"/>
      <c r="DA572" s="8"/>
      <c r="DB572" s="8"/>
      <c r="DC572" s="8"/>
      <c r="DD572" s="8"/>
      <c r="DE572" s="8"/>
      <c r="DF572" s="8"/>
      <c r="DG572" s="8"/>
      <c r="DH572" s="8"/>
      <c r="DI572" s="8"/>
      <c r="DJ572" s="8"/>
      <c r="DK572" s="8"/>
      <c r="DL572" s="8"/>
      <c r="DM572" s="8"/>
      <c r="DN572" s="8"/>
    </row>
    <row r="573" spans="2:118" ht="15.75" customHeight="1">
      <c r="B573" s="8"/>
      <c r="CU573" s="8"/>
      <c r="CV573" s="8"/>
      <c r="CW573" s="8"/>
      <c r="CX573" s="8"/>
      <c r="CY573" s="8"/>
      <c r="CZ573" s="8"/>
      <c r="DA573" s="8"/>
      <c r="DB573" s="8"/>
      <c r="DC573" s="8"/>
      <c r="DD573" s="8"/>
      <c r="DE573" s="8"/>
      <c r="DF573" s="8"/>
      <c r="DG573" s="8"/>
      <c r="DH573" s="8"/>
      <c r="DI573" s="8"/>
      <c r="DJ573" s="8"/>
      <c r="DK573" s="8"/>
      <c r="DL573" s="8"/>
      <c r="DM573" s="8"/>
      <c r="DN573" s="8"/>
    </row>
    <row r="574" spans="2:118" ht="15.75" customHeight="1">
      <c r="B574" s="8"/>
      <c r="CU574" s="8"/>
      <c r="CV574" s="8"/>
      <c r="CW574" s="8"/>
      <c r="CX574" s="8"/>
      <c r="CY574" s="8"/>
      <c r="CZ574" s="8"/>
      <c r="DA574" s="8"/>
      <c r="DB574" s="8"/>
      <c r="DC574" s="8"/>
      <c r="DD574" s="8"/>
      <c r="DE574" s="8"/>
      <c r="DF574" s="8"/>
      <c r="DG574" s="8"/>
      <c r="DH574" s="8"/>
      <c r="DI574" s="8"/>
      <c r="DJ574" s="8"/>
      <c r="DK574" s="8"/>
      <c r="DL574" s="8"/>
      <c r="DM574" s="8"/>
      <c r="DN574" s="8"/>
    </row>
    <row r="575" spans="2:118" ht="15.75" customHeight="1">
      <c r="B575" s="8"/>
      <c r="CU575" s="8"/>
      <c r="CV575" s="8"/>
      <c r="CW575" s="8"/>
      <c r="CX575" s="8"/>
      <c r="CY575" s="8"/>
      <c r="CZ575" s="8"/>
      <c r="DA575" s="8"/>
      <c r="DB575" s="8"/>
      <c r="DC575" s="8"/>
      <c r="DD575" s="8"/>
      <c r="DE575" s="8"/>
      <c r="DF575" s="8"/>
      <c r="DG575" s="8"/>
      <c r="DH575" s="8"/>
      <c r="DI575" s="8"/>
      <c r="DJ575" s="8"/>
      <c r="DK575" s="8"/>
      <c r="DL575" s="8"/>
      <c r="DM575" s="8"/>
      <c r="DN575" s="8"/>
    </row>
    <row r="576" spans="2:118" ht="15.75" customHeight="1">
      <c r="B576" s="8"/>
      <c r="CU576" s="8"/>
      <c r="CV576" s="8"/>
      <c r="CW576" s="8"/>
      <c r="CX576" s="8"/>
      <c r="CY576" s="8"/>
      <c r="CZ576" s="8"/>
      <c r="DA576" s="8"/>
      <c r="DB576" s="8"/>
      <c r="DC576" s="8"/>
      <c r="DD576" s="8"/>
      <c r="DE576" s="8"/>
      <c r="DF576" s="8"/>
      <c r="DG576" s="8"/>
      <c r="DH576" s="8"/>
      <c r="DI576" s="8"/>
      <c r="DJ576" s="8"/>
      <c r="DK576" s="8"/>
      <c r="DL576" s="8"/>
      <c r="DM576" s="8"/>
      <c r="DN576" s="8"/>
    </row>
    <row r="577" spans="2:118" ht="15.75" customHeight="1">
      <c r="B577" s="8"/>
      <c r="CU577" s="8"/>
      <c r="CV577" s="8"/>
      <c r="CW577" s="8"/>
      <c r="CX577" s="8"/>
      <c r="CY577" s="8"/>
      <c r="CZ577" s="8"/>
      <c r="DA577" s="8"/>
      <c r="DB577" s="8"/>
      <c r="DC577" s="8"/>
      <c r="DD577" s="8"/>
      <c r="DE577" s="8"/>
      <c r="DF577" s="8"/>
      <c r="DG577" s="8"/>
      <c r="DH577" s="8"/>
      <c r="DI577" s="8"/>
      <c r="DJ577" s="8"/>
      <c r="DK577" s="8"/>
      <c r="DL577" s="8"/>
      <c r="DM577" s="8"/>
      <c r="DN577" s="8"/>
    </row>
    <row r="578" spans="2:118" ht="15.75" customHeight="1">
      <c r="B578" s="8"/>
      <c r="CU578" s="8"/>
      <c r="CV578" s="8"/>
      <c r="CW578" s="8"/>
      <c r="CX578" s="8"/>
      <c r="CY578" s="8"/>
      <c r="CZ578" s="8"/>
      <c r="DA578" s="8"/>
      <c r="DB578" s="8"/>
      <c r="DC578" s="8"/>
      <c r="DD578" s="8"/>
      <c r="DE578" s="8"/>
      <c r="DF578" s="8"/>
      <c r="DG578" s="8"/>
      <c r="DH578" s="8"/>
      <c r="DI578" s="8"/>
      <c r="DJ578" s="8"/>
      <c r="DK578" s="8"/>
      <c r="DL578" s="8"/>
      <c r="DM578" s="8"/>
      <c r="DN578" s="8"/>
    </row>
    <row r="579" spans="2:118" ht="15.75" customHeight="1">
      <c r="B579" s="8"/>
      <c r="CU579" s="8"/>
      <c r="CV579" s="8"/>
      <c r="CW579" s="8"/>
      <c r="CX579" s="8"/>
      <c r="CY579" s="8"/>
      <c r="CZ579" s="8"/>
      <c r="DA579" s="8"/>
      <c r="DB579" s="8"/>
      <c r="DC579" s="8"/>
      <c r="DD579" s="8"/>
      <c r="DE579" s="8"/>
      <c r="DF579" s="8"/>
      <c r="DG579" s="8"/>
      <c r="DH579" s="8"/>
      <c r="DI579" s="8"/>
      <c r="DJ579" s="8"/>
      <c r="DK579" s="8"/>
      <c r="DL579" s="8"/>
      <c r="DM579" s="8"/>
      <c r="DN579" s="8"/>
    </row>
    <row r="580" spans="2:118" ht="15.75" customHeight="1">
      <c r="B580" s="8"/>
      <c r="CU580" s="8"/>
      <c r="CV580" s="8"/>
      <c r="CW580" s="8"/>
      <c r="CX580" s="8"/>
      <c r="CY580" s="8"/>
      <c r="CZ580" s="8"/>
      <c r="DA580" s="8"/>
      <c r="DB580" s="8"/>
      <c r="DC580" s="8"/>
      <c r="DD580" s="8"/>
      <c r="DE580" s="8"/>
      <c r="DF580" s="8"/>
      <c r="DG580" s="8"/>
      <c r="DH580" s="8"/>
      <c r="DI580" s="8"/>
      <c r="DJ580" s="8"/>
      <c r="DK580" s="8"/>
      <c r="DL580" s="8"/>
      <c r="DM580" s="8"/>
      <c r="DN580" s="8"/>
    </row>
    <row r="581" spans="2:118" ht="15.75" customHeight="1">
      <c r="B581" s="8"/>
      <c r="CU581" s="8"/>
      <c r="CV581" s="8"/>
      <c r="CW581" s="8"/>
      <c r="CX581" s="8"/>
      <c r="CY581" s="8"/>
      <c r="CZ581" s="8"/>
      <c r="DA581" s="8"/>
      <c r="DB581" s="8"/>
      <c r="DC581" s="8"/>
      <c r="DD581" s="8"/>
      <c r="DE581" s="8"/>
      <c r="DF581" s="8"/>
      <c r="DG581" s="8"/>
      <c r="DH581" s="8"/>
      <c r="DI581" s="8"/>
      <c r="DJ581" s="8"/>
      <c r="DK581" s="8"/>
      <c r="DL581" s="8"/>
      <c r="DM581" s="8"/>
      <c r="DN581" s="8"/>
    </row>
    <row r="582" spans="2:118" ht="15.75" customHeight="1">
      <c r="B582" s="8"/>
      <c r="CU582" s="8"/>
      <c r="CV582" s="8"/>
      <c r="CW582" s="8"/>
      <c r="CX582" s="8"/>
      <c r="CY582" s="8"/>
      <c r="CZ582" s="8"/>
      <c r="DA582" s="8"/>
      <c r="DB582" s="8"/>
      <c r="DC582" s="8"/>
      <c r="DD582" s="8"/>
      <c r="DE582" s="8"/>
      <c r="DF582" s="8"/>
      <c r="DG582" s="8"/>
      <c r="DH582" s="8"/>
      <c r="DI582" s="8"/>
      <c r="DJ582" s="8"/>
      <c r="DK582" s="8"/>
      <c r="DL582" s="8"/>
      <c r="DM582" s="8"/>
      <c r="DN582" s="8"/>
    </row>
    <row r="583" spans="2:118" ht="15.75" customHeight="1">
      <c r="B583" s="8"/>
      <c r="CU583" s="8"/>
      <c r="CV583" s="8"/>
      <c r="CW583" s="8"/>
      <c r="CX583" s="8"/>
      <c r="CY583" s="8"/>
      <c r="CZ583" s="8"/>
      <c r="DA583" s="8"/>
      <c r="DB583" s="8"/>
      <c r="DC583" s="8"/>
      <c r="DD583" s="8"/>
      <c r="DE583" s="8"/>
      <c r="DF583" s="8"/>
      <c r="DG583" s="8"/>
      <c r="DH583" s="8"/>
      <c r="DI583" s="8"/>
      <c r="DJ583" s="8"/>
      <c r="DK583" s="8"/>
      <c r="DL583" s="8"/>
      <c r="DM583" s="8"/>
      <c r="DN583" s="8"/>
    </row>
    <row r="584" spans="2:118" ht="15.75" customHeight="1">
      <c r="B584" s="8"/>
      <c r="CU584" s="8"/>
      <c r="CV584" s="8"/>
      <c r="CW584" s="8"/>
      <c r="CX584" s="8"/>
      <c r="CY584" s="8"/>
      <c r="CZ584" s="8"/>
      <c r="DA584" s="8"/>
      <c r="DB584" s="8"/>
      <c r="DC584" s="8"/>
      <c r="DD584" s="8"/>
      <c r="DE584" s="8"/>
      <c r="DF584" s="8"/>
      <c r="DG584" s="8"/>
      <c r="DH584" s="8"/>
      <c r="DI584" s="8"/>
      <c r="DJ584" s="8"/>
      <c r="DK584" s="8"/>
      <c r="DL584" s="8"/>
      <c r="DM584" s="8"/>
      <c r="DN584" s="8"/>
    </row>
    <row r="585" spans="2:118" ht="15.75" customHeight="1">
      <c r="B585" s="8"/>
      <c r="CU585" s="8"/>
      <c r="CV585" s="8"/>
      <c r="CW585" s="8"/>
      <c r="CX585" s="8"/>
      <c r="CY585" s="8"/>
      <c r="CZ585" s="8"/>
      <c r="DA585" s="8"/>
      <c r="DB585" s="8"/>
      <c r="DC585" s="8"/>
      <c r="DD585" s="8"/>
      <c r="DE585" s="8"/>
      <c r="DF585" s="8"/>
      <c r="DG585" s="8"/>
      <c r="DH585" s="8"/>
      <c r="DI585" s="8"/>
      <c r="DJ585" s="8"/>
      <c r="DK585" s="8"/>
      <c r="DL585" s="8"/>
      <c r="DM585" s="8"/>
      <c r="DN585" s="8"/>
    </row>
    <row r="586" spans="2:118" ht="15.75" customHeight="1">
      <c r="B586" s="8"/>
      <c r="CU586" s="8"/>
      <c r="CV586" s="8"/>
      <c r="CW586" s="8"/>
      <c r="CX586" s="8"/>
      <c r="CY586" s="8"/>
      <c r="CZ586" s="8"/>
      <c r="DA586" s="8"/>
      <c r="DB586" s="8"/>
      <c r="DC586" s="8"/>
      <c r="DD586" s="8"/>
      <c r="DE586" s="8"/>
      <c r="DF586" s="8"/>
      <c r="DG586" s="8"/>
      <c r="DH586" s="8"/>
      <c r="DI586" s="8"/>
      <c r="DJ586" s="8"/>
      <c r="DK586" s="8"/>
      <c r="DL586" s="8"/>
      <c r="DM586" s="8"/>
      <c r="DN586" s="8"/>
    </row>
    <row r="587" spans="2:118" ht="15.75" customHeight="1">
      <c r="B587" s="8"/>
      <c r="CU587" s="8"/>
      <c r="CV587" s="8"/>
      <c r="CW587" s="8"/>
      <c r="CX587" s="8"/>
      <c r="CY587" s="8"/>
      <c r="CZ587" s="8"/>
      <c r="DA587" s="8"/>
      <c r="DB587" s="8"/>
      <c r="DC587" s="8"/>
      <c r="DD587" s="8"/>
      <c r="DE587" s="8"/>
      <c r="DF587" s="8"/>
      <c r="DG587" s="8"/>
      <c r="DH587" s="8"/>
      <c r="DI587" s="8"/>
      <c r="DJ587" s="8"/>
      <c r="DK587" s="8"/>
      <c r="DL587" s="8"/>
      <c r="DM587" s="8"/>
      <c r="DN587" s="8"/>
    </row>
    <row r="588" spans="2:118" ht="15.75" customHeight="1">
      <c r="B588" s="8"/>
      <c r="CU588" s="8"/>
      <c r="CV588" s="8"/>
      <c r="CW588" s="8"/>
      <c r="CX588" s="8"/>
      <c r="CY588" s="8"/>
      <c r="CZ588" s="8"/>
      <c r="DA588" s="8"/>
      <c r="DB588" s="8"/>
      <c r="DC588" s="8"/>
      <c r="DD588" s="8"/>
      <c r="DE588" s="8"/>
      <c r="DF588" s="8"/>
      <c r="DG588" s="8"/>
      <c r="DH588" s="8"/>
      <c r="DI588" s="8"/>
      <c r="DJ588" s="8"/>
      <c r="DK588" s="8"/>
      <c r="DL588" s="8"/>
      <c r="DM588" s="8"/>
      <c r="DN588" s="8"/>
    </row>
    <row r="589" spans="2:118" ht="15.75" customHeight="1">
      <c r="B589" s="8"/>
      <c r="CU589" s="8"/>
      <c r="CV589" s="8"/>
      <c r="CW589" s="8"/>
      <c r="CX589" s="8"/>
      <c r="CY589" s="8"/>
      <c r="CZ589" s="8"/>
      <c r="DA589" s="8"/>
      <c r="DB589" s="8"/>
      <c r="DC589" s="8"/>
      <c r="DD589" s="8"/>
      <c r="DE589" s="8"/>
      <c r="DF589" s="8"/>
      <c r="DG589" s="8"/>
      <c r="DH589" s="8"/>
      <c r="DI589" s="8"/>
      <c r="DJ589" s="8"/>
      <c r="DK589" s="8"/>
      <c r="DL589" s="8"/>
      <c r="DM589" s="8"/>
      <c r="DN589" s="8"/>
    </row>
    <row r="590" spans="2:118" ht="15.75" customHeight="1">
      <c r="B590" s="8"/>
      <c r="CU590" s="8"/>
      <c r="CV590" s="8"/>
      <c r="CW590" s="8"/>
      <c r="CX590" s="8"/>
      <c r="CY590" s="8"/>
      <c r="CZ590" s="8"/>
      <c r="DA590" s="8"/>
      <c r="DB590" s="8"/>
      <c r="DC590" s="8"/>
      <c r="DD590" s="8"/>
      <c r="DE590" s="8"/>
      <c r="DF590" s="8"/>
      <c r="DG590" s="8"/>
      <c r="DH590" s="8"/>
      <c r="DI590" s="8"/>
      <c r="DJ590" s="8"/>
      <c r="DK590" s="8"/>
      <c r="DL590" s="8"/>
      <c r="DM590" s="8"/>
      <c r="DN590" s="8"/>
    </row>
    <row r="591" spans="2:118" ht="15.75" customHeight="1">
      <c r="B591" s="8"/>
      <c r="CU591" s="8"/>
      <c r="CV591" s="8"/>
      <c r="CW591" s="8"/>
      <c r="CX591" s="8"/>
      <c r="CY591" s="8"/>
      <c r="CZ591" s="8"/>
      <c r="DA591" s="8"/>
      <c r="DB591" s="8"/>
      <c r="DC591" s="8"/>
      <c r="DD591" s="8"/>
      <c r="DE591" s="8"/>
      <c r="DF591" s="8"/>
      <c r="DG591" s="8"/>
      <c r="DH591" s="8"/>
      <c r="DI591" s="8"/>
      <c r="DJ591" s="8"/>
      <c r="DK591" s="8"/>
      <c r="DL591" s="8"/>
      <c r="DM591" s="8"/>
      <c r="DN591" s="8"/>
    </row>
    <row r="592" spans="2:118" ht="15.75" customHeight="1">
      <c r="B592" s="8"/>
      <c r="CU592" s="8"/>
      <c r="CV592" s="8"/>
      <c r="CW592" s="8"/>
      <c r="CX592" s="8"/>
      <c r="CY592" s="8"/>
      <c r="CZ592" s="8"/>
      <c r="DA592" s="8"/>
      <c r="DB592" s="8"/>
      <c r="DC592" s="8"/>
      <c r="DD592" s="8"/>
      <c r="DE592" s="8"/>
      <c r="DF592" s="8"/>
      <c r="DG592" s="8"/>
      <c r="DH592" s="8"/>
      <c r="DI592" s="8"/>
      <c r="DJ592" s="8"/>
      <c r="DK592" s="8"/>
      <c r="DL592" s="8"/>
      <c r="DM592" s="8"/>
      <c r="DN592" s="8"/>
    </row>
    <row r="593" spans="2:118" ht="15.75" customHeight="1">
      <c r="B593" s="8"/>
      <c r="CU593" s="8"/>
      <c r="CV593" s="8"/>
      <c r="CW593" s="8"/>
      <c r="CX593" s="8"/>
      <c r="CY593" s="8"/>
      <c r="CZ593" s="8"/>
      <c r="DA593" s="8"/>
      <c r="DB593" s="8"/>
      <c r="DC593" s="8"/>
      <c r="DD593" s="8"/>
      <c r="DE593" s="8"/>
      <c r="DF593" s="8"/>
      <c r="DG593" s="8"/>
      <c r="DH593" s="8"/>
      <c r="DI593" s="8"/>
      <c r="DJ593" s="8"/>
      <c r="DK593" s="8"/>
      <c r="DL593" s="8"/>
      <c r="DM593" s="8"/>
      <c r="DN593" s="8"/>
    </row>
    <row r="594" spans="2:118" ht="15.75" customHeight="1">
      <c r="B594" s="8"/>
      <c r="CU594" s="8"/>
      <c r="CV594" s="8"/>
      <c r="CW594" s="8"/>
      <c r="CX594" s="8"/>
      <c r="CY594" s="8"/>
      <c r="CZ594" s="8"/>
      <c r="DA594" s="8"/>
      <c r="DB594" s="8"/>
      <c r="DC594" s="8"/>
      <c r="DD594" s="8"/>
      <c r="DE594" s="8"/>
      <c r="DF594" s="8"/>
      <c r="DG594" s="8"/>
      <c r="DH594" s="8"/>
      <c r="DI594" s="8"/>
      <c r="DJ594" s="8"/>
      <c r="DK594" s="8"/>
      <c r="DL594" s="8"/>
      <c r="DM594" s="8"/>
      <c r="DN594" s="8"/>
    </row>
    <row r="595" spans="2:118" ht="15.75" customHeight="1">
      <c r="B595" s="8"/>
      <c r="CU595" s="8"/>
      <c r="CV595" s="8"/>
      <c r="CW595" s="8"/>
      <c r="CX595" s="8"/>
      <c r="CY595" s="8"/>
      <c r="CZ595" s="8"/>
      <c r="DA595" s="8"/>
      <c r="DB595" s="8"/>
      <c r="DC595" s="8"/>
      <c r="DD595" s="8"/>
      <c r="DE595" s="8"/>
      <c r="DF595" s="8"/>
      <c r="DG595" s="8"/>
      <c r="DH595" s="8"/>
      <c r="DI595" s="8"/>
      <c r="DJ595" s="8"/>
      <c r="DK595" s="8"/>
      <c r="DL595" s="8"/>
      <c r="DM595" s="8"/>
      <c r="DN595" s="8"/>
    </row>
    <row r="596" spans="2:118" ht="15.75" customHeight="1">
      <c r="B596" s="8"/>
      <c r="CU596" s="8"/>
      <c r="CV596" s="8"/>
      <c r="CW596" s="8"/>
      <c r="CX596" s="8"/>
      <c r="CY596" s="8"/>
      <c r="CZ596" s="8"/>
      <c r="DA596" s="8"/>
      <c r="DB596" s="8"/>
      <c r="DC596" s="8"/>
      <c r="DD596" s="8"/>
      <c r="DE596" s="8"/>
      <c r="DF596" s="8"/>
      <c r="DG596" s="8"/>
      <c r="DH596" s="8"/>
      <c r="DI596" s="8"/>
      <c r="DJ596" s="8"/>
      <c r="DK596" s="8"/>
      <c r="DL596" s="8"/>
      <c r="DM596" s="8"/>
      <c r="DN596" s="8"/>
    </row>
    <row r="597" spans="2:118" ht="15.75" customHeight="1">
      <c r="B597" s="8"/>
      <c r="CU597" s="8"/>
      <c r="CV597" s="8"/>
      <c r="CW597" s="8"/>
      <c r="CX597" s="8"/>
      <c r="CY597" s="8"/>
      <c r="CZ597" s="8"/>
      <c r="DA597" s="8"/>
      <c r="DB597" s="8"/>
      <c r="DC597" s="8"/>
      <c r="DD597" s="8"/>
      <c r="DE597" s="8"/>
      <c r="DF597" s="8"/>
      <c r="DG597" s="8"/>
      <c r="DH597" s="8"/>
      <c r="DI597" s="8"/>
      <c r="DJ597" s="8"/>
      <c r="DK597" s="8"/>
      <c r="DL597" s="8"/>
      <c r="DM597" s="8"/>
      <c r="DN597" s="8"/>
    </row>
    <row r="598" spans="2:118" ht="15.75" customHeight="1">
      <c r="B598" s="8"/>
      <c r="CU598" s="8"/>
      <c r="CV598" s="8"/>
      <c r="CW598" s="8"/>
      <c r="CX598" s="8"/>
      <c r="CY598" s="8"/>
      <c r="CZ598" s="8"/>
      <c r="DA598" s="8"/>
      <c r="DB598" s="8"/>
      <c r="DC598" s="8"/>
      <c r="DD598" s="8"/>
      <c r="DE598" s="8"/>
      <c r="DF598" s="8"/>
      <c r="DG598" s="8"/>
      <c r="DH598" s="8"/>
      <c r="DI598" s="8"/>
      <c r="DJ598" s="8"/>
      <c r="DK598" s="8"/>
      <c r="DL598" s="8"/>
      <c r="DM598" s="8"/>
      <c r="DN598" s="8"/>
    </row>
    <row r="599" spans="2:118" ht="15.75" customHeight="1">
      <c r="B599" s="8"/>
      <c r="CU599" s="8"/>
      <c r="CV599" s="8"/>
      <c r="CW599" s="8"/>
      <c r="CX599" s="8"/>
      <c r="CY599" s="8"/>
      <c r="CZ599" s="8"/>
      <c r="DA599" s="8"/>
      <c r="DB599" s="8"/>
      <c r="DC599" s="8"/>
      <c r="DD599" s="8"/>
      <c r="DE599" s="8"/>
      <c r="DF599" s="8"/>
      <c r="DG599" s="8"/>
      <c r="DH599" s="8"/>
      <c r="DI599" s="8"/>
      <c r="DJ599" s="8"/>
      <c r="DK599" s="8"/>
      <c r="DL599" s="8"/>
      <c r="DM599" s="8"/>
      <c r="DN599" s="8"/>
    </row>
    <row r="600" spans="2:118" ht="15.75" customHeight="1">
      <c r="B600" s="8"/>
      <c r="CU600" s="8"/>
      <c r="CV600" s="8"/>
      <c r="CW600" s="8"/>
      <c r="CX600" s="8"/>
      <c r="CY600" s="8"/>
      <c r="CZ600" s="8"/>
      <c r="DA600" s="8"/>
      <c r="DB600" s="8"/>
      <c r="DC600" s="8"/>
      <c r="DD600" s="8"/>
      <c r="DE600" s="8"/>
      <c r="DF600" s="8"/>
      <c r="DG600" s="8"/>
      <c r="DH600" s="8"/>
      <c r="DI600" s="8"/>
      <c r="DJ600" s="8"/>
      <c r="DK600" s="8"/>
      <c r="DL600" s="8"/>
      <c r="DM600" s="8"/>
      <c r="DN600" s="8"/>
    </row>
    <row r="601" spans="2:118" ht="15.75" customHeight="1">
      <c r="B601" s="8"/>
      <c r="CU601" s="8"/>
      <c r="CV601" s="8"/>
      <c r="CW601" s="8"/>
      <c r="CX601" s="8"/>
      <c r="CY601" s="8"/>
      <c r="CZ601" s="8"/>
      <c r="DA601" s="8"/>
      <c r="DB601" s="8"/>
      <c r="DC601" s="8"/>
      <c r="DD601" s="8"/>
      <c r="DE601" s="8"/>
      <c r="DF601" s="8"/>
      <c r="DG601" s="8"/>
      <c r="DH601" s="8"/>
      <c r="DI601" s="8"/>
      <c r="DJ601" s="8"/>
      <c r="DK601" s="8"/>
      <c r="DL601" s="8"/>
      <c r="DM601" s="8"/>
      <c r="DN601" s="8"/>
    </row>
    <row r="602" spans="2:118" ht="15.75" customHeight="1">
      <c r="B602" s="8"/>
      <c r="CU602" s="8"/>
      <c r="CV602" s="8"/>
      <c r="CW602" s="8"/>
      <c r="CX602" s="8"/>
      <c r="CY602" s="8"/>
      <c r="CZ602" s="8"/>
      <c r="DA602" s="8"/>
      <c r="DB602" s="8"/>
      <c r="DC602" s="8"/>
      <c r="DD602" s="8"/>
      <c r="DE602" s="8"/>
      <c r="DF602" s="8"/>
      <c r="DG602" s="8"/>
      <c r="DH602" s="8"/>
      <c r="DI602" s="8"/>
      <c r="DJ602" s="8"/>
      <c r="DK602" s="8"/>
      <c r="DL602" s="8"/>
      <c r="DM602" s="8"/>
      <c r="DN602" s="8"/>
    </row>
    <row r="603" spans="2:118" ht="15.75" customHeight="1">
      <c r="B603" s="8"/>
      <c r="CU603" s="8"/>
      <c r="CV603" s="8"/>
      <c r="CW603" s="8"/>
      <c r="CX603" s="8"/>
      <c r="CY603" s="8"/>
      <c r="CZ603" s="8"/>
      <c r="DA603" s="8"/>
      <c r="DB603" s="8"/>
      <c r="DC603" s="8"/>
      <c r="DD603" s="8"/>
      <c r="DE603" s="8"/>
      <c r="DF603" s="8"/>
      <c r="DG603" s="8"/>
      <c r="DH603" s="8"/>
      <c r="DI603" s="8"/>
      <c r="DJ603" s="8"/>
      <c r="DK603" s="8"/>
      <c r="DL603" s="8"/>
      <c r="DM603" s="8"/>
      <c r="DN603" s="8"/>
    </row>
    <row r="604" spans="2:118" ht="15.75" customHeight="1">
      <c r="B604" s="8"/>
      <c r="CU604" s="8"/>
      <c r="CV604" s="8"/>
      <c r="CW604" s="8"/>
      <c r="CX604" s="8"/>
      <c r="CY604" s="8"/>
      <c r="CZ604" s="8"/>
      <c r="DA604" s="8"/>
      <c r="DB604" s="8"/>
      <c r="DC604" s="8"/>
      <c r="DD604" s="8"/>
      <c r="DE604" s="8"/>
      <c r="DF604" s="8"/>
      <c r="DG604" s="8"/>
      <c r="DH604" s="8"/>
      <c r="DI604" s="8"/>
      <c r="DJ604" s="8"/>
      <c r="DK604" s="8"/>
      <c r="DL604" s="8"/>
      <c r="DM604" s="8"/>
      <c r="DN604" s="8"/>
    </row>
    <row r="605" spans="2:118" ht="15.75" customHeight="1">
      <c r="B605" s="8"/>
      <c r="CU605" s="8"/>
      <c r="CV605" s="8"/>
      <c r="CW605" s="8"/>
      <c r="CX605" s="8"/>
      <c r="CY605" s="8"/>
      <c r="CZ605" s="8"/>
      <c r="DA605" s="8"/>
      <c r="DB605" s="8"/>
      <c r="DC605" s="8"/>
      <c r="DD605" s="8"/>
      <c r="DE605" s="8"/>
      <c r="DF605" s="8"/>
      <c r="DG605" s="8"/>
      <c r="DH605" s="8"/>
      <c r="DI605" s="8"/>
      <c r="DJ605" s="8"/>
      <c r="DK605" s="8"/>
      <c r="DL605" s="8"/>
      <c r="DM605" s="8"/>
      <c r="DN605" s="8"/>
    </row>
    <row r="606" spans="2:118" ht="15.75" customHeight="1">
      <c r="B606" s="8"/>
      <c r="CU606" s="8"/>
      <c r="CV606" s="8"/>
      <c r="CW606" s="8"/>
      <c r="CX606" s="8"/>
      <c r="CY606" s="8"/>
      <c r="CZ606" s="8"/>
      <c r="DA606" s="8"/>
      <c r="DB606" s="8"/>
      <c r="DC606" s="8"/>
      <c r="DD606" s="8"/>
      <c r="DE606" s="8"/>
      <c r="DF606" s="8"/>
      <c r="DG606" s="8"/>
      <c r="DH606" s="8"/>
      <c r="DI606" s="8"/>
      <c r="DJ606" s="8"/>
      <c r="DK606" s="8"/>
      <c r="DL606" s="8"/>
      <c r="DM606" s="8"/>
      <c r="DN606" s="8"/>
    </row>
    <row r="607" spans="2:118" ht="15.75" customHeight="1">
      <c r="B607" s="8"/>
      <c r="CU607" s="8"/>
      <c r="CV607" s="8"/>
      <c r="CW607" s="8"/>
      <c r="CX607" s="8"/>
      <c r="CY607" s="8"/>
      <c r="CZ607" s="8"/>
      <c r="DA607" s="8"/>
      <c r="DB607" s="8"/>
      <c r="DC607" s="8"/>
      <c r="DD607" s="8"/>
      <c r="DE607" s="8"/>
      <c r="DF607" s="8"/>
      <c r="DG607" s="8"/>
      <c r="DH607" s="8"/>
      <c r="DI607" s="8"/>
      <c r="DJ607" s="8"/>
      <c r="DK607" s="8"/>
      <c r="DL607" s="8"/>
      <c r="DM607" s="8"/>
      <c r="DN607" s="8"/>
    </row>
    <row r="608" spans="2:118" ht="15.75" customHeight="1">
      <c r="B608" s="8"/>
      <c r="CU608" s="8"/>
      <c r="CV608" s="8"/>
      <c r="CW608" s="8"/>
      <c r="CX608" s="8"/>
      <c r="CY608" s="8"/>
      <c r="CZ608" s="8"/>
      <c r="DA608" s="8"/>
      <c r="DB608" s="8"/>
      <c r="DC608" s="8"/>
      <c r="DD608" s="8"/>
      <c r="DE608" s="8"/>
      <c r="DF608" s="8"/>
      <c r="DG608" s="8"/>
      <c r="DH608" s="8"/>
      <c r="DI608" s="8"/>
      <c r="DJ608" s="8"/>
      <c r="DK608" s="8"/>
      <c r="DL608" s="8"/>
      <c r="DM608" s="8"/>
      <c r="DN608" s="8"/>
    </row>
    <row r="609" spans="2:118" ht="15.75" customHeight="1">
      <c r="B609" s="8"/>
      <c r="CU609" s="8"/>
      <c r="CV609" s="8"/>
      <c r="CW609" s="8"/>
      <c r="CX609" s="8"/>
      <c r="CY609" s="8"/>
      <c r="CZ609" s="8"/>
      <c r="DA609" s="8"/>
      <c r="DB609" s="8"/>
      <c r="DC609" s="8"/>
      <c r="DD609" s="8"/>
      <c r="DE609" s="8"/>
      <c r="DF609" s="8"/>
      <c r="DG609" s="8"/>
      <c r="DH609" s="8"/>
      <c r="DI609" s="8"/>
      <c r="DJ609" s="8"/>
      <c r="DK609" s="8"/>
      <c r="DL609" s="8"/>
      <c r="DM609" s="8"/>
      <c r="DN609" s="8"/>
    </row>
    <row r="610" spans="2:118" ht="15.75" customHeight="1">
      <c r="B610" s="8"/>
      <c r="CU610" s="8"/>
      <c r="CV610" s="8"/>
      <c r="CW610" s="8"/>
      <c r="CX610" s="8"/>
      <c r="CY610" s="8"/>
      <c r="CZ610" s="8"/>
      <c r="DA610" s="8"/>
      <c r="DB610" s="8"/>
      <c r="DC610" s="8"/>
      <c r="DD610" s="8"/>
      <c r="DE610" s="8"/>
      <c r="DF610" s="8"/>
      <c r="DG610" s="8"/>
      <c r="DH610" s="8"/>
      <c r="DI610" s="8"/>
      <c r="DJ610" s="8"/>
      <c r="DK610" s="8"/>
      <c r="DL610" s="8"/>
      <c r="DM610" s="8"/>
      <c r="DN610" s="8"/>
    </row>
    <row r="611" spans="2:118" ht="15.75" customHeight="1">
      <c r="B611" s="8"/>
      <c r="CU611" s="8"/>
      <c r="CV611" s="8"/>
      <c r="CW611" s="8"/>
      <c r="CX611" s="8"/>
      <c r="CY611" s="8"/>
      <c r="CZ611" s="8"/>
      <c r="DA611" s="8"/>
      <c r="DB611" s="8"/>
      <c r="DC611" s="8"/>
      <c r="DD611" s="8"/>
      <c r="DE611" s="8"/>
      <c r="DF611" s="8"/>
      <c r="DG611" s="8"/>
      <c r="DH611" s="8"/>
      <c r="DI611" s="8"/>
      <c r="DJ611" s="8"/>
      <c r="DK611" s="8"/>
      <c r="DL611" s="8"/>
      <c r="DM611" s="8"/>
      <c r="DN611" s="8"/>
    </row>
    <row r="612" spans="2:118" ht="15.75" customHeight="1">
      <c r="B612" s="8"/>
      <c r="CU612" s="8"/>
      <c r="CV612" s="8"/>
      <c r="CW612" s="8"/>
      <c r="CX612" s="8"/>
      <c r="CY612" s="8"/>
      <c r="CZ612" s="8"/>
      <c r="DA612" s="8"/>
      <c r="DB612" s="8"/>
      <c r="DC612" s="8"/>
      <c r="DD612" s="8"/>
      <c r="DE612" s="8"/>
      <c r="DF612" s="8"/>
      <c r="DG612" s="8"/>
      <c r="DH612" s="8"/>
      <c r="DI612" s="8"/>
      <c r="DJ612" s="8"/>
      <c r="DK612" s="8"/>
      <c r="DL612" s="8"/>
      <c r="DM612" s="8"/>
      <c r="DN612" s="8"/>
    </row>
    <row r="613" spans="2:118" ht="15.75" customHeight="1">
      <c r="B613" s="8"/>
      <c r="CU613" s="8"/>
      <c r="CV613" s="8"/>
      <c r="CW613" s="8"/>
      <c r="CX613" s="8"/>
      <c r="CY613" s="8"/>
      <c r="CZ613" s="8"/>
      <c r="DA613" s="8"/>
      <c r="DB613" s="8"/>
      <c r="DC613" s="8"/>
      <c r="DD613" s="8"/>
      <c r="DE613" s="8"/>
      <c r="DF613" s="8"/>
      <c r="DG613" s="8"/>
      <c r="DH613" s="8"/>
      <c r="DI613" s="8"/>
      <c r="DJ613" s="8"/>
      <c r="DK613" s="8"/>
      <c r="DL613" s="8"/>
      <c r="DM613" s="8"/>
      <c r="DN613" s="8"/>
    </row>
    <row r="614" spans="2:118" ht="15.75" customHeight="1">
      <c r="B614" s="8"/>
      <c r="CU614" s="8"/>
      <c r="CV614" s="8"/>
      <c r="CW614" s="8"/>
      <c r="CX614" s="8"/>
      <c r="CY614" s="8"/>
      <c r="CZ614" s="8"/>
      <c r="DA614" s="8"/>
      <c r="DB614" s="8"/>
      <c r="DC614" s="8"/>
      <c r="DD614" s="8"/>
      <c r="DE614" s="8"/>
      <c r="DF614" s="8"/>
      <c r="DG614" s="8"/>
      <c r="DH614" s="8"/>
      <c r="DI614" s="8"/>
      <c r="DJ614" s="8"/>
      <c r="DK614" s="8"/>
      <c r="DL614" s="8"/>
      <c r="DM614" s="8"/>
      <c r="DN614" s="8"/>
    </row>
    <row r="615" spans="2:118" ht="15.75" customHeight="1">
      <c r="B615" s="8"/>
      <c r="CU615" s="8"/>
      <c r="CV615" s="8"/>
      <c r="CW615" s="8"/>
      <c r="CX615" s="8"/>
      <c r="CY615" s="8"/>
      <c r="CZ615" s="8"/>
      <c r="DA615" s="8"/>
      <c r="DB615" s="8"/>
      <c r="DC615" s="8"/>
      <c r="DD615" s="8"/>
      <c r="DE615" s="8"/>
      <c r="DF615" s="8"/>
      <c r="DG615" s="8"/>
      <c r="DH615" s="8"/>
      <c r="DI615" s="8"/>
      <c r="DJ615" s="8"/>
      <c r="DK615" s="8"/>
      <c r="DL615" s="8"/>
      <c r="DM615" s="8"/>
      <c r="DN615" s="8"/>
    </row>
    <row r="616" spans="2:118" ht="15.75" customHeight="1">
      <c r="B616" s="8"/>
      <c r="CU616" s="8"/>
      <c r="CV616" s="8"/>
      <c r="CW616" s="8"/>
      <c r="CX616" s="8"/>
      <c r="CY616" s="8"/>
      <c r="CZ616" s="8"/>
      <c r="DA616" s="8"/>
      <c r="DB616" s="8"/>
      <c r="DC616" s="8"/>
      <c r="DD616" s="8"/>
      <c r="DE616" s="8"/>
      <c r="DF616" s="8"/>
      <c r="DG616" s="8"/>
      <c r="DH616" s="8"/>
      <c r="DI616" s="8"/>
      <c r="DJ616" s="8"/>
      <c r="DK616" s="8"/>
      <c r="DL616" s="8"/>
      <c r="DM616" s="8"/>
      <c r="DN616" s="8"/>
    </row>
    <row r="617" spans="2:118" ht="15.75" customHeight="1">
      <c r="B617" s="8"/>
      <c r="CU617" s="8"/>
      <c r="CV617" s="8"/>
      <c r="CW617" s="8"/>
      <c r="CX617" s="8"/>
      <c r="CY617" s="8"/>
      <c r="CZ617" s="8"/>
      <c r="DA617" s="8"/>
      <c r="DB617" s="8"/>
      <c r="DC617" s="8"/>
      <c r="DD617" s="8"/>
      <c r="DE617" s="8"/>
      <c r="DF617" s="8"/>
      <c r="DG617" s="8"/>
      <c r="DH617" s="8"/>
      <c r="DI617" s="8"/>
      <c r="DJ617" s="8"/>
      <c r="DK617" s="8"/>
      <c r="DL617" s="8"/>
      <c r="DM617" s="8"/>
      <c r="DN617" s="8"/>
    </row>
    <row r="618" spans="2:118" ht="15.75" customHeight="1">
      <c r="B618" s="8"/>
      <c r="CU618" s="8"/>
      <c r="CV618" s="8"/>
      <c r="CW618" s="8"/>
      <c r="CX618" s="8"/>
      <c r="CY618" s="8"/>
      <c r="CZ618" s="8"/>
      <c r="DA618" s="8"/>
      <c r="DB618" s="8"/>
      <c r="DC618" s="8"/>
      <c r="DD618" s="8"/>
      <c r="DE618" s="8"/>
      <c r="DF618" s="8"/>
      <c r="DG618" s="8"/>
      <c r="DH618" s="8"/>
      <c r="DI618" s="8"/>
      <c r="DJ618" s="8"/>
      <c r="DK618" s="8"/>
      <c r="DL618" s="8"/>
      <c r="DM618" s="8"/>
      <c r="DN618" s="8"/>
    </row>
    <row r="619" spans="2:118" ht="15.75" customHeight="1">
      <c r="B619" s="8"/>
      <c r="CU619" s="8"/>
      <c r="CV619" s="8"/>
      <c r="CW619" s="8"/>
      <c r="CX619" s="8"/>
      <c r="CY619" s="8"/>
      <c r="CZ619" s="8"/>
      <c r="DA619" s="8"/>
      <c r="DB619" s="8"/>
      <c r="DC619" s="8"/>
      <c r="DD619" s="8"/>
      <c r="DE619" s="8"/>
      <c r="DF619" s="8"/>
      <c r="DG619" s="8"/>
      <c r="DH619" s="8"/>
      <c r="DI619" s="8"/>
      <c r="DJ619" s="8"/>
      <c r="DK619" s="8"/>
      <c r="DL619" s="8"/>
      <c r="DM619" s="8"/>
      <c r="DN619" s="8"/>
    </row>
    <row r="620" spans="2:118" ht="15.75" customHeight="1">
      <c r="B620" s="8"/>
      <c r="CU620" s="8"/>
      <c r="CV620" s="8"/>
      <c r="CW620" s="8"/>
      <c r="CX620" s="8"/>
      <c r="CY620" s="8"/>
      <c r="CZ620" s="8"/>
      <c r="DA620" s="8"/>
      <c r="DB620" s="8"/>
      <c r="DC620" s="8"/>
      <c r="DD620" s="8"/>
      <c r="DE620" s="8"/>
      <c r="DF620" s="8"/>
      <c r="DG620" s="8"/>
      <c r="DH620" s="8"/>
      <c r="DI620" s="8"/>
      <c r="DJ620" s="8"/>
      <c r="DK620" s="8"/>
      <c r="DL620" s="8"/>
      <c r="DM620" s="8"/>
      <c r="DN620" s="8"/>
    </row>
    <row r="621" spans="2:118" ht="15.75" customHeight="1">
      <c r="B621" s="8"/>
      <c r="CU621" s="8"/>
      <c r="CV621" s="8"/>
      <c r="CW621" s="8"/>
      <c r="CX621" s="8"/>
      <c r="CY621" s="8"/>
      <c r="CZ621" s="8"/>
      <c r="DA621" s="8"/>
      <c r="DB621" s="8"/>
      <c r="DC621" s="8"/>
      <c r="DD621" s="8"/>
      <c r="DE621" s="8"/>
      <c r="DF621" s="8"/>
      <c r="DG621" s="8"/>
      <c r="DH621" s="8"/>
      <c r="DI621" s="8"/>
      <c r="DJ621" s="8"/>
      <c r="DK621" s="8"/>
      <c r="DL621" s="8"/>
      <c r="DM621" s="8"/>
      <c r="DN621" s="8"/>
    </row>
    <row r="622" spans="2:118" ht="15.75" customHeight="1">
      <c r="B622" s="8"/>
      <c r="CU622" s="8"/>
      <c r="CV622" s="8"/>
      <c r="CW622" s="8"/>
      <c r="CX622" s="8"/>
      <c r="CY622" s="8"/>
      <c r="CZ622" s="8"/>
      <c r="DA622" s="8"/>
      <c r="DB622" s="8"/>
      <c r="DC622" s="8"/>
      <c r="DD622" s="8"/>
      <c r="DE622" s="8"/>
      <c r="DF622" s="8"/>
      <c r="DG622" s="8"/>
      <c r="DH622" s="8"/>
      <c r="DI622" s="8"/>
      <c r="DJ622" s="8"/>
      <c r="DK622" s="8"/>
      <c r="DL622" s="8"/>
      <c r="DM622" s="8"/>
      <c r="DN622" s="8"/>
    </row>
    <row r="623" spans="2:118" ht="15.75" customHeight="1">
      <c r="B623" s="8"/>
      <c r="CU623" s="8"/>
      <c r="CV623" s="8"/>
      <c r="CW623" s="8"/>
      <c r="CX623" s="8"/>
      <c r="CY623" s="8"/>
      <c r="CZ623" s="8"/>
      <c r="DA623" s="8"/>
      <c r="DB623" s="8"/>
      <c r="DC623" s="8"/>
      <c r="DD623" s="8"/>
      <c r="DE623" s="8"/>
      <c r="DF623" s="8"/>
      <c r="DG623" s="8"/>
      <c r="DH623" s="8"/>
      <c r="DI623" s="8"/>
      <c r="DJ623" s="8"/>
      <c r="DK623" s="8"/>
      <c r="DL623" s="8"/>
      <c r="DM623" s="8"/>
      <c r="DN623" s="8"/>
    </row>
    <row r="624" spans="2:118" ht="15.75" customHeight="1">
      <c r="B624" s="8"/>
      <c r="CU624" s="8"/>
      <c r="CV624" s="8"/>
      <c r="CW624" s="8"/>
      <c r="CX624" s="8"/>
      <c r="CY624" s="8"/>
      <c r="CZ624" s="8"/>
      <c r="DA624" s="8"/>
      <c r="DB624" s="8"/>
      <c r="DC624" s="8"/>
      <c r="DD624" s="8"/>
      <c r="DE624" s="8"/>
      <c r="DF624" s="8"/>
      <c r="DG624" s="8"/>
      <c r="DH624" s="8"/>
      <c r="DI624" s="8"/>
      <c r="DJ624" s="8"/>
      <c r="DK624" s="8"/>
      <c r="DL624" s="8"/>
      <c r="DM624" s="8"/>
      <c r="DN624" s="8"/>
    </row>
    <row r="625" spans="2:118" ht="15.75" customHeight="1">
      <c r="B625" s="8"/>
      <c r="CU625" s="8"/>
      <c r="CV625" s="8"/>
      <c r="CW625" s="8"/>
      <c r="CX625" s="8"/>
      <c r="CY625" s="8"/>
      <c r="CZ625" s="8"/>
      <c r="DA625" s="8"/>
      <c r="DB625" s="8"/>
      <c r="DC625" s="8"/>
      <c r="DD625" s="8"/>
      <c r="DE625" s="8"/>
      <c r="DF625" s="8"/>
      <c r="DG625" s="8"/>
      <c r="DH625" s="8"/>
      <c r="DI625" s="8"/>
      <c r="DJ625" s="8"/>
      <c r="DK625" s="8"/>
      <c r="DL625" s="8"/>
      <c r="DM625" s="8"/>
      <c r="DN625" s="8"/>
    </row>
    <row r="626" spans="2:118" ht="15.75" customHeight="1">
      <c r="B626" s="8"/>
      <c r="CU626" s="8"/>
      <c r="CV626" s="8"/>
      <c r="CW626" s="8"/>
      <c r="CX626" s="8"/>
      <c r="CY626" s="8"/>
      <c r="CZ626" s="8"/>
      <c r="DA626" s="8"/>
      <c r="DB626" s="8"/>
      <c r="DC626" s="8"/>
      <c r="DD626" s="8"/>
      <c r="DE626" s="8"/>
      <c r="DF626" s="8"/>
      <c r="DG626" s="8"/>
      <c r="DH626" s="8"/>
      <c r="DI626" s="8"/>
      <c r="DJ626" s="8"/>
      <c r="DK626" s="8"/>
      <c r="DL626" s="8"/>
      <c r="DM626" s="8"/>
      <c r="DN626" s="8"/>
    </row>
    <row r="627" spans="2:118" ht="15.75" customHeight="1">
      <c r="B627" s="8"/>
      <c r="CU627" s="8"/>
      <c r="CV627" s="8"/>
      <c r="CW627" s="8"/>
      <c r="CX627" s="8"/>
      <c r="CY627" s="8"/>
      <c r="CZ627" s="8"/>
      <c r="DA627" s="8"/>
      <c r="DB627" s="8"/>
      <c r="DC627" s="8"/>
      <c r="DD627" s="8"/>
      <c r="DE627" s="8"/>
      <c r="DF627" s="8"/>
      <c r="DG627" s="8"/>
      <c r="DH627" s="8"/>
      <c r="DI627" s="8"/>
      <c r="DJ627" s="8"/>
      <c r="DK627" s="8"/>
      <c r="DL627" s="8"/>
      <c r="DM627" s="8"/>
      <c r="DN627" s="8"/>
    </row>
    <row r="628" spans="2:118" ht="15.75" customHeight="1">
      <c r="B628" s="8"/>
      <c r="CU628" s="8"/>
      <c r="CV628" s="8"/>
      <c r="CW628" s="8"/>
      <c r="CX628" s="8"/>
      <c r="CY628" s="8"/>
      <c r="CZ628" s="8"/>
      <c r="DA628" s="8"/>
      <c r="DB628" s="8"/>
      <c r="DC628" s="8"/>
      <c r="DD628" s="8"/>
      <c r="DE628" s="8"/>
      <c r="DF628" s="8"/>
      <c r="DG628" s="8"/>
      <c r="DH628" s="8"/>
      <c r="DI628" s="8"/>
      <c r="DJ628" s="8"/>
      <c r="DK628" s="8"/>
      <c r="DL628" s="8"/>
      <c r="DM628" s="8"/>
      <c r="DN628" s="8"/>
    </row>
    <row r="629" spans="2:118" ht="15.75" customHeight="1">
      <c r="B629" s="8"/>
      <c r="CU629" s="8"/>
      <c r="CV629" s="8"/>
      <c r="CW629" s="8"/>
      <c r="CX629" s="8"/>
      <c r="CY629" s="8"/>
      <c r="CZ629" s="8"/>
      <c r="DA629" s="8"/>
      <c r="DB629" s="8"/>
      <c r="DC629" s="8"/>
      <c r="DD629" s="8"/>
      <c r="DE629" s="8"/>
      <c r="DF629" s="8"/>
      <c r="DG629" s="8"/>
      <c r="DH629" s="8"/>
      <c r="DI629" s="8"/>
      <c r="DJ629" s="8"/>
      <c r="DK629" s="8"/>
      <c r="DL629" s="8"/>
      <c r="DM629" s="8"/>
      <c r="DN629" s="8"/>
    </row>
    <row r="630" spans="2:118" ht="15.75" customHeight="1">
      <c r="B630" s="8"/>
      <c r="CU630" s="8"/>
      <c r="CV630" s="8"/>
      <c r="CW630" s="8"/>
      <c r="CX630" s="8"/>
      <c r="CY630" s="8"/>
      <c r="CZ630" s="8"/>
      <c r="DA630" s="8"/>
      <c r="DB630" s="8"/>
      <c r="DC630" s="8"/>
      <c r="DD630" s="8"/>
      <c r="DE630" s="8"/>
      <c r="DF630" s="8"/>
      <c r="DG630" s="8"/>
      <c r="DH630" s="8"/>
      <c r="DI630" s="8"/>
      <c r="DJ630" s="8"/>
      <c r="DK630" s="8"/>
      <c r="DL630" s="8"/>
      <c r="DM630" s="8"/>
      <c r="DN630" s="8"/>
    </row>
    <row r="631" spans="2:118" ht="15.75" customHeight="1">
      <c r="B631" s="8"/>
      <c r="CU631" s="8"/>
      <c r="CV631" s="8"/>
      <c r="CW631" s="8"/>
      <c r="CX631" s="8"/>
      <c r="CY631" s="8"/>
      <c r="CZ631" s="8"/>
      <c r="DA631" s="8"/>
      <c r="DB631" s="8"/>
      <c r="DC631" s="8"/>
      <c r="DD631" s="8"/>
      <c r="DE631" s="8"/>
      <c r="DF631" s="8"/>
      <c r="DG631" s="8"/>
      <c r="DH631" s="8"/>
      <c r="DI631" s="8"/>
      <c r="DJ631" s="8"/>
      <c r="DK631" s="8"/>
      <c r="DL631" s="8"/>
      <c r="DM631" s="8"/>
      <c r="DN631" s="8"/>
    </row>
    <row r="632" spans="2:118" ht="15.75" customHeight="1">
      <c r="B632" s="8"/>
      <c r="CU632" s="8"/>
      <c r="CV632" s="8"/>
      <c r="CW632" s="8"/>
      <c r="CX632" s="8"/>
      <c r="CY632" s="8"/>
      <c r="CZ632" s="8"/>
      <c r="DA632" s="8"/>
      <c r="DB632" s="8"/>
      <c r="DC632" s="8"/>
      <c r="DD632" s="8"/>
      <c r="DE632" s="8"/>
      <c r="DF632" s="8"/>
      <c r="DG632" s="8"/>
      <c r="DH632" s="8"/>
      <c r="DI632" s="8"/>
      <c r="DJ632" s="8"/>
      <c r="DK632" s="8"/>
      <c r="DL632" s="8"/>
      <c r="DM632" s="8"/>
      <c r="DN632" s="8"/>
    </row>
    <row r="633" spans="2:118" ht="15.75" customHeight="1">
      <c r="B633" s="8"/>
      <c r="CU633" s="8"/>
      <c r="CV633" s="8"/>
      <c r="CW633" s="8"/>
      <c r="CX633" s="8"/>
      <c r="CY633" s="8"/>
      <c r="CZ633" s="8"/>
      <c r="DA633" s="8"/>
      <c r="DB633" s="8"/>
      <c r="DC633" s="8"/>
      <c r="DD633" s="8"/>
      <c r="DE633" s="8"/>
      <c r="DF633" s="8"/>
      <c r="DG633" s="8"/>
      <c r="DH633" s="8"/>
      <c r="DI633" s="8"/>
      <c r="DJ633" s="8"/>
      <c r="DK633" s="8"/>
      <c r="DL633" s="8"/>
      <c r="DM633" s="8"/>
      <c r="DN633" s="8"/>
    </row>
    <row r="634" spans="2:118" ht="15.75" customHeight="1">
      <c r="B634" s="8"/>
      <c r="CU634" s="8"/>
      <c r="CV634" s="8"/>
      <c r="CW634" s="8"/>
      <c r="CX634" s="8"/>
      <c r="CY634" s="8"/>
      <c r="CZ634" s="8"/>
      <c r="DA634" s="8"/>
      <c r="DB634" s="8"/>
      <c r="DC634" s="8"/>
      <c r="DD634" s="8"/>
      <c r="DE634" s="8"/>
      <c r="DF634" s="8"/>
      <c r="DG634" s="8"/>
      <c r="DH634" s="8"/>
      <c r="DI634" s="8"/>
      <c r="DJ634" s="8"/>
      <c r="DK634" s="8"/>
      <c r="DL634" s="8"/>
      <c r="DM634" s="8"/>
      <c r="DN634" s="8"/>
    </row>
    <row r="635" spans="2:118" ht="15.75" customHeight="1">
      <c r="B635" s="8"/>
      <c r="CU635" s="8"/>
      <c r="CV635" s="8"/>
      <c r="CW635" s="8"/>
      <c r="CX635" s="8"/>
      <c r="CY635" s="8"/>
      <c r="CZ635" s="8"/>
      <c r="DA635" s="8"/>
      <c r="DB635" s="8"/>
      <c r="DC635" s="8"/>
      <c r="DD635" s="8"/>
      <c r="DE635" s="8"/>
      <c r="DF635" s="8"/>
      <c r="DG635" s="8"/>
      <c r="DH635" s="8"/>
      <c r="DI635" s="8"/>
      <c r="DJ635" s="8"/>
      <c r="DK635" s="8"/>
      <c r="DL635" s="8"/>
      <c r="DM635" s="8"/>
      <c r="DN635" s="8"/>
    </row>
    <row r="636" spans="2:118" ht="15.75" customHeight="1">
      <c r="B636" s="8"/>
      <c r="CU636" s="8"/>
      <c r="CV636" s="8"/>
      <c r="CW636" s="8"/>
      <c r="CX636" s="8"/>
      <c r="CY636" s="8"/>
      <c r="CZ636" s="8"/>
      <c r="DA636" s="8"/>
      <c r="DB636" s="8"/>
      <c r="DC636" s="8"/>
      <c r="DD636" s="8"/>
      <c r="DE636" s="8"/>
      <c r="DF636" s="8"/>
      <c r="DG636" s="8"/>
      <c r="DH636" s="8"/>
      <c r="DI636" s="8"/>
      <c r="DJ636" s="8"/>
      <c r="DK636" s="8"/>
      <c r="DL636" s="8"/>
      <c r="DM636" s="8"/>
      <c r="DN636" s="8"/>
    </row>
    <row r="637" spans="2:118" ht="15.75" customHeight="1">
      <c r="B637" s="8"/>
      <c r="CU637" s="8"/>
      <c r="CV637" s="8"/>
      <c r="CW637" s="8"/>
      <c r="CX637" s="8"/>
      <c r="CY637" s="8"/>
      <c r="CZ637" s="8"/>
      <c r="DA637" s="8"/>
      <c r="DB637" s="8"/>
      <c r="DC637" s="8"/>
      <c r="DD637" s="8"/>
      <c r="DE637" s="8"/>
      <c r="DF637" s="8"/>
      <c r="DG637" s="8"/>
      <c r="DH637" s="8"/>
      <c r="DI637" s="8"/>
      <c r="DJ637" s="8"/>
      <c r="DK637" s="8"/>
      <c r="DL637" s="8"/>
      <c r="DM637" s="8"/>
      <c r="DN637" s="8"/>
    </row>
    <row r="638" spans="2:118" ht="15.75" customHeight="1">
      <c r="B638" s="8"/>
      <c r="CU638" s="8"/>
      <c r="CV638" s="8"/>
      <c r="CW638" s="8"/>
      <c r="CX638" s="8"/>
      <c r="CY638" s="8"/>
      <c r="CZ638" s="8"/>
      <c r="DA638" s="8"/>
      <c r="DB638" s="8"/>
      <c r="DC638" s="8"/>
      <c r="DD638" s="8"/>
      <c r="DE638" s="8"/>
      <c r="DF638" s="8"/>
      <c r="DG638" s="8"/>
      <c r="DH638" s="8"/>
      <c r="DI638" s="8"/>
      <c r="DJ638" s="8"/>
      <c r="DK638" s="8"/>
      <c r="DL638" s="8"/>
      <c r="DM638" s="8"/>
      <c r="DN638" s="8"/>
    </row>
    <row r="639" spans="2:118" ht="15.75" customHeight="1">
      <c r="B639" s="8"/>
      <c r="CU639" s="8"/>
      <c r="CV639" s="8"/>
      <c r="CW639" s="8"/>
      <c r="CX639" s="8"/>
      <c r="CY639" s="8"/>
      <c r="CZ639" s="8"/>
      <c r="DA639" s="8"/>
      <c r="DB639" s="8"/>
      <c r="DC639" s="8"/>
      <c r="DD639" s="8"/>
      <c r="DE639" s="8"/>
      <c r="DF639" s="8"/>
      <c r="DG639" s="8"/>
      <c r="DH639" s="8"/>
      <c r="DI639" s="8"/>
      <c r="DJ639" s="8"/>
      <c r="DK639" s="8"/>
      <c r="DL639" s="8"/>
      <c r="DM639" s="8"/>
      <c r="DN639" s="8"/>
    </row>
    <row r="640" spans="2:118" ht="15.75" customHeight="1">
      <c r="B640" s="8"/>
      <c r="CU640" s="8"/>
      <c r="CV640" s="8"/>
      <c r="CW640" s="8"/>
      <c r="CX640" s="8"/>
      <c r="CY640" s="8"/>
      <c r="CZ640" s="8"/>
      <c r="DA640" s="8"/>
      <c r="DB640" s="8"/>
      <c r="DC640" s="8"/>
      <c r="DD640" s="8"/>
      <c r="DE640" s="8"/>
      <c r="DF640" s="8"/>
      <c r="DG640" s="8"/>
      <c r="DH640" s="8"/>
      <c r="DI640" s="8"/>
      <c r="DJ640" s="8"/>
      <c r="DK640" s="8"/>
      <c r="DL640" s="8"/>
      <c r="DM640" s="8"/>
      <c r="DN640" s="8"/>
    </row>
    <row r="641" spans="2:118" ht="15.75" customHeight="1">
      <c r="B641" s="8"/>
      <c r="CU641" s="8"/>
      <c r="CV641" s="8"/>
      <c r="CW641" s="8"/>
      <c r="CX641" s="8"/>
      <c r="CY641" s="8"/>
      <c r="CZ641" s="8"/>
      <c r="DA641" s="8"/>
      <c r="DB641" s="8"/>
      <c r="DC641" s="8"/>
      <c r="DD641" s="8"/>
      <c r="DE641" s="8"/>
      <c r="DF641" s="8"/>
      <c r="DG641" s="8"/>
      <c r="DH641" s="8"/>
      <c r="DI641" s="8"/>
      <c r="DJ641" s="8"/>
      <c r="DK641" s="8"/>
      <c r="DL641" s="8"/>
      <c r="DM641" s="8"/>
      <c r="DN641" s="8"/>
    </row>
    <row r="642" spans="2:118" ht="15.75" customHeight="1">
      <c r="B642" s="8"/>
      <c r="CU642" s="8"/>
      <c r="CV642" s="8"/>
      <c r="CW642" s="8"/>
      <c r="CX642" s="8"/>
      <c r="CY642" s="8"/>
      <c r="CZ642" s="8"/>
      <c r="DA642" s="8"/>
      <c r="DB642" s="8"/>
      <c r="DC642" s="8"/>
      <c r="DD642" s="8"/>
      <c r="DE642" s="8"/>
      <c r="DF642" s="8"/>
      <c r="DG642" s="8"/>
      <c r="DH642" s="8"/>
      <c r="DI642" s="8"/>
      <c r="DJ642" s="8"/>
      <c r="DK642" s="8"/>
      <c r="DL642" s="8"/>
      <c r="DM642" s="8"/>
      <c r="DN642" s="8"/>
    </row>
    <row r="643" spans="2:118" ht="15.75" customHeight="1">
      <c r="B643" s="8"/>
      <c r="CU643" s="8"/>
      <c r="CV643" s="8"/>
      <c r="CW643" s="8"/>
      <c r="CX643" s="8"/>
      <c r="CY643" s="8"/>
      <c r="CZ643" s="8"/>
      <c r="DA643" s="8"/>
      <c r="DB643" s="8"/>
      <c r="DC643" s="8"/>
      <c r="DD643" s="8"/>
      <c r="DE643" s="8"/>
      <c r="DF643" s="8"/>
      <c r="DG643" s="8"/>
      <c r="DH643" s="8"/>
      <c r="DI643" s="8"/>
      <c r="DJ643" s="8"/>
      <c r="DK643" s="8"/>
      <c r="DL643" s="8"/>
      <c r="DM643" s="8"/>
      <c r="DN643" s="8"/>
    </row>
    <row r="644" spans="2:118" ht="15.75" customHeight="1">
      <c r="B644" s="8"/>
      <c r="CU644" s="8"/>
      <c r="CV644" s="8"/>
      <c r="CW644" s="8"/>
      <c r="CX644" s="8"/>
      <c r="CY644" s="8"/>
      <c r="CZ644" s="8"/>
      <c r="DA644" s="8"/>
      <c r="DB644" s="8"/>
      <c r="DC644" s="8"/>
      <c r="DD644" s="8"/>
      <c r="DE644" s="8"/>
      <c r="DF644" s="8"/>
      <c r="DG644" s="8"/>
      <c r="DH644" s="8"/>
      <c r="DI644" s="8"/>
      <c r="DJ644" s="8"/>
      <c r="DK644" s="8"/>
      <c r="DL644" s="8"/>
      <c r="DM644" s="8"/>
      <c r="DN644" s="8"/>
    </row>
    <row r="645" spans="2:118" ht="15.75" customHeight="1">
      <c r="B645" s="8"/>
      <c r="CU645" s="8"/>
      <c r="CV645" s="8"/>
      <c r="CW645" s="8"/>
      <c r="CX645" s="8"/>
      <c r="CY645" s="8"/>
      <c r="CZ645" s="8"/>
      <c r="DA645" s="8"/>
      <c r="DB645" s="8"/>
      <c r="DC645" s="8"/>
      <c r="DD645" s="8"/>
      <c r="DE645" s="8"/>
      <c r="DF645" s="8"/>
      <c r="DG645" s="8"/>
      <c r="DH645" s="8"/>
      <c r="DI645" s="8"/>
      <c r="DJ645" s="8"/>
      <c r="DK645" s="8"/>
      <c r="DL645" s="8"/>
      <c r="DM645" s="8"/>
      <c r="DN645" s="8"/>
    </row>
    <row r="646" spans="2:118" ht="15.75" customHeight="1">
      <c r="B646" s="8"/>
      <c r="CU646" s="8"/>
      <c r="CV646" s="8"/>
      <c r="CW646" s="8"/>
      <c r="CX646" s="8"/>
      <c r="CY646" s="8"/>
      <c r="CZ646" s="8"/>
      <c r="DA646" s="8"/>
      <c r="DB646" s="8"/>
      <c r="DC646" s="8"/>
      <c r="DD646" s="8"/>
      <c r="DE646" s="8"/>
      <c r="DF646" s="8"/>
      <c r="DG646" s="8"/>
      <c r="DH646" s="8"/>
      <c r="DI646" s="8"/>
      <c r="DJ646" s="8"/>
      <c r="DK646" s="8"/>
      <c r="DL646" s="8"/>
      <c r="DM646" s="8"/>
      <c r="DN646" s="8"/>
    </row>
    <row r="647" spans="2:118" ht="15.75" customHeight="1">
      <c r="B647" s="8"/>
      <c r="CU647" s="8"/>
      <c r="CV647" s="8"/>
      <c r="CW647" s="8"/>
      <c r="CX647" s="8"/>
      <c r="CY647" s="8"/>
      <c r="CZ647" s="8"/>
      <c r="DA647" s="8"/>
      <c r="DB647" s="8"/>
      <c r="DC647" s="8"/>
      <c r="DD647" s="8"/>
      <c r="DE647" s="8"/>
      <c r="DF647" s="8"/>
      <c r="DG647" s="8"/>
      <c r="DH647" s="8"/>
      <c r="DI647" s="8"/>
      <c r="DJ647" s="8"/>
      <c r="DK647" s="8"/>
      <c r="DL647" s="8"/>
      <c r="DM647" s="8"/>
      <c r="DN647" s="8"/>
    </row>
    <row r="648" spans="2:118" ht="15.75" customHeight="1">
      <c r="B648" s="8"/>
      <c r="CU648" s="8"/>
      <c r="CV648" s="8"/>
      <c r="CW648" s="8"/>
      <c r="CX648" s="8"/>
      <c r="CY648" s="8"/>
      <c r="CZ648" s="8"/>
      <c r="DA648" s="8"/>
      <c r="DB648" s="8"/>
      <c r="DC648" s="8"/>
      <c r="DD648" s="8"/>
      <c r="DE648" s="8"/>
      <c r="DF648" s="8"/>
      <c r="DG648" s="8"/>
      <c r="DH648" s="8"/>
      <c r="DI648" s="8"/>
      <c r="DJ648" s="8"/>
      <c r="DK648" s="8"/>
      <c r="DL648" s="8"/>
      <c r="DM648" s="8"/>
      <c r="DN648" s="8"/>
    </row>
    <row r="649" spans="2:118" ht="15.75" customHeight="1">
      <c r="B649" s="8"/>
      <c r="CU649" s="8"/>
      <c r="CV649" s="8"/>
      <c r="CW649" s="8"/>
      <c r="CX649" s="8"/>
      <c r="CY649" s="8"/>
      <c r="CZ649" s="8"/>
      <c r="DA649" s="8"/>
      <c r="DB649" s="8"/>
      <c r="DC649" s="8"/>
      <c r="DD649" s="8"/>
      <c r="DE649" s="8"/>
      <c r="DF649" s="8"/>
      <c r="DG649" s="8"/>
      <c r="DH649" s="8"/>
      <c r="DI649" s="8"/>
      <c r="DJ649" s="8"/>
      <c r="DK649" s="8"/>
      <c r="DL649" s="8"/>
      <c r="DM649" s="8"/>
      <c r="DN649" s="8"/>
    </row>
    <row r="650" spans="2:118" ht="15.75" customHeight="1">
      <c r="B650" s="8"/>
      <c r="CU650" s="8"/>
      <c r="CV650" s="8"/>
      <c r="CW650" s="8"/>
      <c r="CX650" s="8"/>
      <c r="CY650" s="8"/>
      <c r="CZ650" s="8"/>
      <c r="DA650" s="8"/>
      <c r="DB650" s="8"/>
      <c r="DC650" s="8"/>
      <c r="DD650" s="8"/>
      <c r="DE650" s="8"/>
      <c r="DF650" s="8"/>
      <c r="DG650" s="8"/>
      <c r="DH650" s="8"/>
      <c r="DI650" s="8"/>
      <c r="DJ650" s="8"/>
      <c r="DK650" s="8"/>
      <c r="DL650" s="8"/>
      <c r="DM650" s="8"/>
      <c r="DN650" s="8"/>
    </row>
    <row r="651" spans="2:118" ht="15.75" customHeight="1">
      <c r="B651" s="8"/>
      <c r="CU651" s="8"/>
      <c r="CV651" s="8"/>
      <c r="CW651" s="8"/>
      <c r="CX651" s="8"/>
      <c r="CY651" s="8"/>
      <c r="CZ651" s="8"/>
      <c r="DA651" s="8"/>
      <c r="DB651" s="8"/>
      <c r="DC651" s="8"/>
      <c r="DD651" s="8"/>
      <c r="DE651" s="8"/>
      <c r="DF651" s="8"/>
      <c r="DG651" s="8"/>
      <c r="DH651" s="8"/>
      <c r="DI651" s="8"/>
      <c r="DJ651" s="8"/>
      <c r="DK651" s="8"/>
      <c r="DL651" s="8"/>
      <c r="DM651" s="8"/>
      <c r="DN651" s="8"/>
    </row>
    <row r="652" spans="2:118" ht="15.75" customHeight="1">
      <c r="B652" s="8"/>
      <c r="CU652" s="8"/>
      <c r="CV652" s="8"/>
      <c r="CW652" s="8"/>
      <c r="CX652" s="8"/>
      <c r="CY652" s="8"/>
      <c r="CZ652" s="8"/>
      <c r="DA652" s="8"/>
      <c r="DB652" s="8"/>
      <c r="DC652" s="8"/>
      <c r="DD652" s="8"/>
      <c r="DE652" s="8"/>
      <c r="DF652" s="8"/>
      <c r="DG652" s="8"/>
      <c r="DH652" s="8"/>
      <c r="DI652" s="8"/>
      <c r="DJ652" s="8"/>
      <c r="DK652" s="8"/>
      <c r="DL652" s="8"/>
      <c r="DM652" s="8"/>
      <c r="DN652" s="8"/>
    </row>
    <row r="653" spans="2:118" ht="15.75" customHeight="1">
      <c r="B653" s="8"/>
      <c r="CU653" s="8"/>
      <c r="CV653" s="8"/>
      <c r="CW653" s="8"/>
      <c r="CX653" s="8"/>
      <c r="CY653" s="8"/>
      <c r="CZ653" s="8"/>
      <c r="DA653" s="8"/>
      <c r="DB653" s="8"/>
      <c r="DC653" s="8"/>
      <c r="DD653" s="8"/>
      <c r="DE653" s="8"/>
      <c r="DF653" s="8"/>
      <c r="DG653" s="8"/>
      <c r="DH653" s="8"/>
      <c r="DI653" s="8"/>
      <c r="DJ653" s="8"/>
      <c r="DK653" s="8"/>
      <c r="DL653" s="8"/>
      <c r="DM653" s="8"/>
      <c r="DN653" s="8"/>
    </row>
    <row r="654" spans="2:118" ht="15.75" customHeight="1">
      <c r="B654" s="8"/>
      <c r="CU654" s="8"/>
      <c r="CV654" s="8"/>
      <c r="CW654" s="8"/>
      <c r="CX654" s="8"/>
      <c r="CY654" s="8"/>
      <c r="CZ654" s="8"/>
      <c r="DA654" s="8"/>
      <c r="DB654" s="8"/>
      <c r="DC654" s="8"/>
      <c r="DD654" s="8"/>
      <c r="DE654" s="8"/>
      <c r="DF654" s="8"/>
      <c r="DG654" s="8"/>
      <c r="DH654" s="8"/>
      <c r="DI654" s="8"/>
      <c r="DJ654" s="8"/>
      <c r="DK654" s="8"/>
      <c r="DL654" s="8"/>
      <c r="DM654" s="8"/>
      <c r="DN654" s="8"/>
    </row>
    <row r="655" spans="2:118" ht="15.75" customHeight="1">
      <c r="B655" s="8"/>
      <c r="CU655" s="8"/>
      <c r="CV655" s="8"/>
      <c r="CW655" s="8"/>
      <c r="CX655" s="8"/>
      <c r="CY655" s="8"/>
      <c r="CZ655" s="8"/>
      <c r="DA655" s="8"/>
      <c r="DB655" s="8"/>
      <c r="DC655" s="8"/>
      <c r="DD655" s="8"/>
      <c r="DE655" s="8"/>
      <c r="DF655" s="8"/>
      <c r="DG655" s="8"/>
      <c r="DH655" s="8"/>
      <c r="DI655" s="8"/>
      <c r="DJ655" s="8"/>
      <c r="DK655" s="8"/>
      <c r="DL655" s="8"/>
      <c r="DM655" s="8"/>
      <c r="DN655" s="8"/>
    </row>
    <row r="656" spans="2:118" ht="15.75" customHeight="1">
      <c r="B656" s="8"/>
      <c r="CU656" s="8"/>
      <c r="CV656" s="8"/>
      <c r="CW656" s="8"/>
      <c r="CX656" s="8"/>
      <c r="CY656" s="8"/>
      <c r="CZ656" s="8"/>
      <c r="DA656" s="8"/>
      <c r="DB656" s="8"/>
      <c r="DC656" s="8"/>
      <c r="DD656" s="8"/>
      <c r="DE656" s="8"/>
      <c r="DF656" s="8"/>
      <c r="DG656" s="8"/>
      <c r="DH656" s="8"/>
      <c r="DI656" s="8"/>
      <c r="DJ656" s="8"/>
      <c r="DK656" s="8"/>
      <c r="DL656" s="8"/>
      <c r="DM656" s="8"/>
      <c r="DN656" s="8"/>
    </row>
    <row r="657" spans="2:118" ht="15.75" customHeight="1">
      <c r="B657" s="8"/>
      <c r="CU657" s="8"/>
      <c r="CV657" s="8"/>
      <c r="CW657" s="8"/>
      <c r="CX657" s="8"/>
      <c r="CY657" s="8"/>
      <c r="CZ657" s="8"/>
      <c r="DA657" s="8"/>
      <c r="DB657" s="8"/>
      <c r="DC657" s="8"/>
      <c r="DD657" s="8"/>
      <c r="DE657" s="8"/>
      <c r="DF657" s="8"/>
      <c r="DG657" s="8"/>
      <c r="DH657" s="8"/>
      <c r="DI657" s="8"/>
      <c r="DJ657" s="8"/>
      <c r="DK657" s="8"/>
      <c r="DL657" s="8"/>
      <c r="DM657" s="8"/>
      <c r="DN657" s="8"/>
    </row>
    <row r="658" spans="2:118" ht="15.75" customHeight="1">
      <c r="B658" s="8"/>
      <c r="CU658" s="8"/>
      <c r="CV658" s="8"/>
      <c r="CW658" s="8"/>
      <c r="CX658" s="8"/>
      <c r="CY658" s="8"/>
      <c r="CZ658" s="8"/>
      <c r="DA658" s="8"/>
      <c r="DB658" s="8"/>
      <c r="DC658" s="8"/>
      <c r="DD658" s="8"/>
      <c r="DE658" s="8"/>
      <c r="DF658" s="8"/>
      <c r="DG658" s="8"/>
      <c r="DH658" s="8"/>
      <c r="DI658" s="8"/>
      <c r="DJ658" s="8"/>
      <c r="DK658" s="8"/>
      <c r="DL658" s="8"/>
      <c r="DM658" s="8"/>
      <c r="DN658" s="8"/>
    </row>
    <row r="659" spans="2:118" ht="15.75" customHeight="1">
      <c r="B659" s="8"/>
      <c r="CU659" s="8"/>
      <c r="CV659" s="8"/>
      <c r="CW659" s="8"/>
      <c r="CX659" s="8"/>
      <c r="CY659" s="8"/>
      <c r="CZ659" s="8"/>
      <c r="DA659" s="8"/>
      <c r="DB659" s="8"/>
      <c r="DC659" s="8"/>
      <c r="DD659" s="8"/>
      <c r="DE659" s="8"/>
      <c r="DF659" s="8"/>
      <c r="DG659" s="8"/>
      <c r="DH659" s="8"/>
      <c r="DI659" s="8"/>
      <c r="DJ659" s="8"/>
      <c r="DK659" s="8"/>
      <c r="DL659" s="8"/>
      <c r="DM659" s="8"/>
      <c r="DN659" s="8"/>
    </row>
    <row r="660" spans="2:118" ht="15.75" customHeight="1">
      <c r="B660" s="8"/>
      <c r="CU660" s="8"/>
      <c r="CV660" s="8"/>
      <c r="CW660" s="8"/>
      <c r="CX660" s="8"/>
      <c r="CY660" s="8"/>
      <c r="CZ660" s="8"/>
      <c r="DA660" s="8"/>
      <c r="DB660" s="8"/>
      <c r="DC660" s="8"/>
      <c r="DD660" s="8"/>
      <c r="DE660" s="8"/>
      <c r="DF660" s="8"/>
      <c r="DG660" s="8"/>
      <c r="DH660" s="8"/>
      <c r="DI660" s="8"/>
      <c r="DJ660" s="8"/>
      <c r="DK660" s="8"/>
      <c r="DL660" s="8"/>
      <c r="DM660" s="8"/>
      <c r="DN660" s="8"/>
    </row>
    <row r="661" spans="2:118" ht="15.75" customHeight="1">
      <c r="B661" s="8"/>
      <c r="CU661" s="8"/>
      <c r="CV661" s="8"/>
      <c r="CW661" s="8"/>
      <c r="CX661" s="8"/>
      <c r="CY661" s="8"/>
      <c r="CZ661" s="8"/>
      <c r="DA661" s="8"/>
      <c r="DB661" s="8"/>
      <c r="DC661" s="8"/>
      <c r="DD661" s="8"/>
      <c r="DE661" s="8"/>
      <c r="DF661" s="8"/>
      <c r="DG661" s="8"/>
      <c r="DH661" s="8"/>
      <c r="DI661" s="8"/>
      <c r="DJ661" s="8"/>
      <c r="DK661" s="8"/>
      <c r="DL661" s="8"/>
      <c r="DM661" s="8"/>
      <c r="DN661" s="8"/>
    </row>
    <row r="662" spans="2:118" ht="15.75" customHeight="1">
      <c r="B662" s="8"/>
      <c r="CU662" s="8"/>
      <c r="CV662" s="8"/>
      <c r="CW662" s="8"/>
      <c r="CX662" s="8"/>
      <c r="CY662" s="8"/>
      <c r="CZ662" s="8"/>
      <c r="DA662" s="8"/>
      <c r="DB662" s="8"/>
      <c r="DC662" s="8"/>
      <c r="DD662" s="8"/>
      <c r="DE662" s="8"/>
      <c r="DF662" s="8"/>
      <c r="DG662" s="8"/>
      <c r="DH662" s="8"/>
      <c r="DI662" s="8"/>
      <c r="DJ662" s="8"/>
      <c r="DK662" s="8"/>
      <c r="DL662" s="8"/>
      <c r="DM662" s="8"/>
      <c r="DN662" s="8"/>
    </row>
    <row r="663" spans="2:118" ht="15.75" customHeight="1">
      <c r="B663" s="8"/>
      <c r="CU663" s="8"/>
      <c r="CV663" s="8"/>
      <c r="CW663" s="8"/>
      <c r="CX663" s="8"/>
      <c r="CY663" s="8"/>
      <c r="CZ663" s="8"/>
      <c r="DA663" s="8"/>
      <c r="DB663" s="8"/>
      <c r="DC663" s="8"/>
      <c r="DD663" s="8"/>
      <c r="DE663" s="8"/>
      <c r="DF663" s="8"/>
      <c r="DG663" s="8"/>
      <c r="DH663" s="8"/>
      <c r="DI663" s="8"/>
      <c r="DJ663" s="8"/>
      <c r="DK663" s="8"/>
      <c r="DL663" s="8"/>
      <c r="DM663" s="8"/>
      <c r="DN663" s="8"/>
    </row>
    <row r="664" spans="2:118" ht="15.75" customHeight="1">
      <c r="B664" s="8"/>
      <c r="CU664" s="8"/>
      <c r="CV664" s="8"/>
      <c r="CW664" s="8"/>
      <c r="CX664" s="8"/>
      <c r="CY664" s="8"/>
      <c r="CZ664" s="8"/>
      <c r="DA664" s="8"/>
      <c r="DB664" s="8"/>
      <c r="DC664" s="8"/>
      <c r="DD664" s="8"/>
      <c r="DE664" s="8"/>
      <c r="DF664" s="8"/>
      <c r="DG664" s="8"/>
      <c r="DH664" s="8"/>
      <c r="DI664" s="8"/>
      <c r="DJ664" s="8"/>
      <c r="DK664" s="8"/>
      <c r="DL664" s="8"/>
      <c r="DM664" s="8"/>
      <c r="DN664" s="8"/>
    </row>
    <row r="665" spans="2:118" ht="15.75" customHeight="1">
      <c r="B665" s="8"/>
      <c r="CU665" s="8"/>
      <c r="CV665" s="8"/>
      <c r="CW665" s="8"/>
      <c r="CX665" s="8"/>
      <c r="CY665" s="8"/>
      <c r="CZ665" s="8"/>
      <c r="DA665" s="8"/>
      <c r="DB665" s="8"/>
      <c r="DC665" s="8"/>
      <c r="DD665" s="8"/>
      <c r="DE665" s="8"/>
      <c r="DF665" s="8"/>
      <c r="DG665" s="8"/>
      <c r="DH665" s="8"/>
      <c r="DI665" s="8"/>
      <c r="DJ665" s="8"/>
      <c r="DK665" s="8"/>
      <c r="DL665" s="8"/>
      <c r="DM665" s="8"/>
      <c r="DN665" s="8"/>
    </row>
    <row r="666" spans="2:118" ht="15.75" customHeight="1">
      <c r="B666" s="8"/>
      <c r="CU666" s="8"/>
      <c r="CV666" s="8"/>
      <c r="CW666" s="8"/>
      <c r="CX666" s="8"/>
      <c r="CY666" s="8"/>
      <c r="CZ666" s="8"/>
      <c r="DA666" s="8"/>
      <c r="DB666" s="8"/>
      <c r="DC666" s="8"/>
      <c r="DD666" s="8"/>
      <c r="DE666" s="8"/>
      <c r="DF666" s="8"/>
      <c r="DG666" s="8"/>
      <c r="DH666" s="8"/>
      <c r="DI666" s="8"/>
      <c r="DJ666" s="8"/>
      <c r="DK666" s="8"/>
      <c r="DL666" s="8"/>
      <c r="DM666" s="8"/>
      <c r="DN666" s="8"/>
    </row>
    <row r="667" spans="2:118" ht="15.75" customHeight="1">
      <c r="B667" s="8"/>
      <c r="CU667" s="8"/>
      <c r="CV667" s="8"/>
      <c r="CW667" s="8"/>
      <c r="CX667" s="8"/>
      <c r="CY667" s="8"/>
      <c r="CZ667" s="8"/>
      <c r="DA667" s="8"/>
      <c r="DB667" s="8"/>
      <c r="DC667" s="8"/>
      <c r="DD667" s="8"/>
      <c r="DE667" s="8"/>
      <c r="DF667" s="8"/>
      <c r="DG667" s="8"/>
      <c r="DH667" s="8"/>
      <c r="DI667" s="8"/>
      <c r="DJ667" s="8"/>
      <c r="DK667" s="8"/>
      <c r="DL667" s="8"/>
      <c r="DM667" s="8"/>
      <c r="DN667" s="8"/>
    </row>
    <row r="668" spans="2:118" ht="15.75" customHeight="1">
      <c r="B668" s="8"/>
      <c r="CU668" s="8"/>
      <c r="CV668" s="8"/>
      <c r="CW668" s="8"/>
      <c r="CX668" s="8"/>
      <c r="CY668" s="8"/>
      <c r="CZ668" s="8"/>
      <c r="DA668" s="8"/>
      <c r="DB668" s="8"/>
      <c r="DC668" s="8"/>
      <c r="DD668" s="8"/>
      <c r="DE668" s="8"/>
      <c r="DF668" s="8"/>
      <c r="DG668" s="8"/>
      <c r="DH668" s="8"/>
      <c r="DI668" s="8"/>
      <c r="DJ668" s="8"/>
      <c r="DK668" s="8"/>
      <c r="DL668" s="8"/>
      <c r="DM668" s="8"/>
      <c r="DN668" s="8"/>
    </row>
    <row r="669" spans="2:118" ht="15.75" customHeight="1">
      <c r="B669" s="8"/>
      <c r="CU669" s="8"/>
      <c r="CV669" s="8"/>
      <c r="CW669" s="8"/>
      <c r="CX669" s="8"/>
      <c r="CY669" s="8"/>
      <c r="CZ669" s="8"/>
      <c r="DA669" s="8"/>
      <c r="DB669" s="8"/>
      <c r="DC669" s="8"/>
      <c r="DD669" s="8"/>
      <c r="DE669" s="8"/>
      <c r="DF669" s="8"/>
      <c r="DG669" s="8"/>
      <c r="DH669" s="8"/>
      <c r="DI669" s="8"/>
      <c r="DJ669" s="8"/>
      <c r="DK669" s="8"/>
      <c r="DL669" s="8"/>
      <c r="DM669" s="8"/>
      <c r="DN669" s="8"/>
    </row>
    <row r="670" spans="2:118" ht="15.75" customHeight="1">
      <c r="B670" s="8"/>
      <c r="CU670" s="8"/>
      <c r="CV670" s="8"/>
      <c r="CW670" s="8"/>
      <c r="CX670" s="8"/>
      <c r="CY670" s="8"/>
      <c r="CZ670" s="8"/>
      <c r="DA670" s="8"/>
      <c r="DB670" s="8"/>
      <c r="DC670" s="8"/>
      <c r="DD670" s="8"/>
      <c r="DE670" s="8"/>
      <c r="DF670" s="8"/>
      <c r="DG670" s="8"/>
      <c r="DH670" s="8"/>
      <c r="DI670" s="8"/>
      <c r="DJ670" s="8"/>
      <c r="DK670" s="8"/>
      <c r="DL670" s="8"/>
      <c r="DM670" s="8"/>
      <c r="DN670" s="8"/>
    </row>
    <row r="671" spans="2:118" ht="15.75" customHeight="1">
      <c r="B671" s="8"/>
      <c r="CU671" s="8"/>
      <c r="CV671" s="8"/>
      <c r="CW671" s="8"/>
      <c r="CX671" s="8"/>
      <c r="CY671" s="8"/>
      <c r="CZ671" s="8"/>
      <c r="DA671" s="8"/>
      <c r="DB671" s="8"/>
      <c r="DC671" s="8"/>
      <c r="DD671" s="8"/>
      <c r="DE671" s="8"/>
      <c r="DF671" s="8"/>
      <c r="DG671" s="8"/>
      <c r="DH671" s="8"/>
      <c r="DI671" s="8"/>
      <c r="DJ671" s="8"/>
      <c r="DK671" s="8"/>
      <c r="DL671" s="8"/>
      <c r="DM671" s="8"/>
      <c r="DN671" s="8"/>
    </row>
    <row r="672" spans="2:118" ht="15.75" customHeight="1">
      <c r="B672" s="8"/>
      <c r="CU672" s="8"/>
      <c r="CV672" s="8"/>
      <c r="CW672" s="8"/>
      <c r="CX672" s="8"/>
      <c r="CY672" s="8"/>
      <c r="CZ672" s="8"/>
      <c r="DA672" s="8"/>
      <c r="DB672" s="8"/>
      <c r="DC672" s="8"/>
      <c r="DD672" s="8"/>
      <c r="DE672" s="8"/>
      <c r="DF672" s="8"/>
      <c r="DG672" s="8"/>
      <c r="DH672" s="8"/>
      <c r="DI672" s="8"/>
      <c r="DJ672" s="8"/>
      <c r="DK672" s="8"/>
      <c r="DL672" s="8"/>
      <c r="DM672" s="8"/>
      <c r="DN672" s="8"/>
    </row>
    <row r="673" spans="2:118" ht="15.75" customHeight="1">
      <c r="B673" s="8"/>
      <c r="CU673" s="8"/>
      <c r="CV673" s="8"/>
      <c r="CW673" s="8"/>
      <c r="CX673" s="8"/>
      <c r="CY673" s="8"/>
      <c r="CZ673" s="8"/>
      <c r="DA673" s="8"/>
      <c r="DB673" s="8"/>
      <c r="DC673" s="8"/>
      <c r="DD673" s="8"/>
      <c r="DE673" s="8"/>
      <c r="DF673" s="8"/>
      <c r="DG673" s="8"/>
      <c r="DH673" s="8"/>
      <c r="DI673" s="8"/>
      <c r="DJ673" s="8"/>
      <c r="DK673" s="8"/>
      <c r="DL673" s="8"/>
      <c r="DM673" s="8"/>
      <c r="DN673" s="8"/>
    </row>
    <row r="674" spans="2:118" ht="15.75" customHeight="1">
      <c r="B674" s="8"/>
      <c r="CU674" s="8"/>
      <c r="CV674" s="8"/>
      <c r="CW674" s="8"/>
      <c r="CX674" s="8"/>
      <c r="CY674" s="8"/>
      <c r="CZ674" s="8"/>
      <c r="DA674" s="8"/>
      <c r="DB674" s="8"/>
      <c r="DC674" s="8"/>
      <c r="DD674" s="8"/>
      <c r="DE674" s="8"/>
      <c r="DF674" s="8"/>
      <c r="DG674" s="8"/>
      <c r="DH674" s="8"/>
      <c r="DI674" s="8"/>
      <c r="DJ674" s="8"/>
      <c r="DK674" s="8"/>
      <c r="DL674" s="8"/>
      <c r="DM674" s="8"/>
      <c r="DN674" s="8"/>
    </row>
    <row r="675" spans="2:118" ht="15.75" customHeight="1">
      <c r="B675" s="8"/>
      <c r="CU675" s="8"/>
      <c r="CV675" s="8"/>
      <c r="CW675" s="8"/>
      <c r="CX675" s="8"/>
      <c r="CY675" s="8"/>
      <c r="CZ675" s="8"/>
      <c r="DA675" s="8"/>
      <c r="DB675" s="8"/>
      <c r="DC675" s="8"/>
      <c r="DD675" s="8"/>
      <c r="DE675" s="8"/>
      <c r="DF675" s="8"/>
      <c r="DG675" s="8"/>
      <c r="DH675" s="8"/>
      <c r="DI675" s="8"/>
      <c r="DJ675" s="8"/>
      <c r="DK675" s="8"/>
      <c r="DL675" s="8"/>
      <c r="DM675" s="8"/>
      <c r="DN675" s="8"/>
    </row>
    <row r="676" spans="2:118" ht="15.75" customHeight="1">
      <c r="B676" s="8"/>
      <c r="CU676" s="8"/>
      <c r="CV676" s="8"/>
      <c r="CW676" s="8"/>
      <c r="CX676" s="8"/>
      <c r="CY676" s="8"/>
      <c r="CZ676" s="8"/>
      <c r="DA676" s="8"/>
      <c r="DB676" s="8"/>
      <c r="DC676" s="8"/>
      <c r="DD676" s="8"/>
      <c r="DE676" s="8"/>
      <c r="DF676" s="8"/>
      <c r="DG676" s="8"/>
      <c r="DH676" s="8"/>
      <c r="DI676" s="8"/>
      <c r="DJ676" s="8"/>
      <c r="DK676" s="8"/>
      <c r="DL676" s="8"/>
      <c r="DM676" s="8"/>
      <c r="DN676" s="8"/>
    </row>
    <row r="677" spans="2:118" ht="15.75" customHeight="1">
      <c r="B677" s="8"/>
      <c r="CU677" s="8"/>
      <c r="CV677" s="8"/>
      <c r="CW677" s="8"/>
      <c r="CX677" s="8"/>
      <c r="CY677" s="8"/>
      <c r="CZ677" s="8"/>
      <c r="DA677" s="8"/>
      <c r="DB677" s="8"/>
      <c r="DC677" s="8"/>
      <c r="DD677" s="8"/>
      <c r="DE677" s="8"/>
      <c r="DF677" s="8"/>
      <c r="DG677" s="8"/>
      <c r="DH677" s="8"/>
      <c r="DI677" s="8"/>
      <c r="DJ677" s="8"/>
      <c r="DK677" s="8"/>
      <c r="DL677" s="8"/>
      <c r="DM677" s="8"/>
      <c r="DN677" s="8"/>
    </row>
    <row r="678" spans="2:118" ht="15.75" customHeight="1">
      <c r="B678" s="8"/>
      <c r="CU678" s="8"/>
      <c r="CV678" s="8"/>
      <c r="CW678" s="8"/>
      <c r="CX678" s="8"/>
      <c r="CY678" s="8"/>
      <c r="CZ678" s="8"/>
      <c r="DA678" s="8"/>
      <c r="DB678" s="8"/>
      <c r="DC678" s="8"/>
      <c r="DD678" s="8"/>
      <c r="DE678" s="8"/>
      <c r="DF678" s="8"/>
      <c r="DG678" s="8"/>
      <c r="DH678" s="8"/>
      <c r="DI678" s="8"/>
      <c r="DJ678" s="8"/>
      <c r="DK678" s="8"/>
      <c r="DL678" s="8"/>
      <c r="DM678" s="8"/>
      <c r="DN678" s="8"/>
    </row>
    <row r="679" spans="2:118" ht="15.75" customHeight="1">
      <c r="B679" s="8"/>
      <c r="CU679" s="8"/>
      <c r="CV679" s="8"/>
      <c r="CW679" s="8"/>
      <c r="CX679" s="8"/>
      <c r="CY679" s="8"/>
      <c r="CZ679" s="8"/>
      <c r="DA679" s="8"/>
      <c r="DB679" s="8"/>
      <c r="DC679" s="8"/>
      <c r="DD679" s="8"/>
      <c r="DE679" s="8"/>
      <c r="DF679" s="8"/>
      <c r="DG679" s="8"/>
      <c r="DH679" s="8"/>
      <c r="DI679" s="8"/>
      <c r="DJ679" s="8"/>
      <c r="DK679" s="8"/>
      <c r="DL679" s="8"/>
      <c r="DM679" s="8"/>
      <c r="DN679" s="8"/>
    </row>
    <row r="680" spans="2:118" ht="15.75" customHeight="1">
      <c r="B680" s="8"/>
      <c r="CU680" s="8"/>
      <c r="CV680" s="8"/>
      <c r="CW680" s="8"/>
      <c r="CX680" s="8"/>
      <c r="CY680" s="8"/>
      <c r="CZ680" s="8"/>
      <c r="DA680" s="8"/>
      <c r="DB680" s="8"/>
      <c r="DC680" s="8"/>
      <c r="DD680" s="8"/>
      <c r="DE680" s="8"/>
      <c r="DF680" s="8"/>
      <c r="DG680" s="8"/>
      <c r="DH680" s="8"/>
      <c r="DI680" s="8"/>
      <c r="DJ680" s="8"/>
      <c r="DK680" s="8"/>
      <c r="DL680" s="8"/>
      <c r="DM680" s="8"/>
      <c r="DN680" s="8"/>
    </row>
    <row r="681" spans="2:118" ht="15.75" customHeight="1">
      <c r="B681" s="8"/>
      <c r="CU681" s="8"/>
      <c r="CV681" s="8"/>
      <c r="CW681" s="8"/>
      <c r="CX681" s="8"/>
      <c r="CY681" s="8"/>
      <c r="CZ681" s="8"/>
      <c r="DA681" s="8"/>
      <c r="DB681" s="8"/>
      <c r="DC681" s="8"/>
      <c r="DD681" s="8"/>
      <c r="DE681" s="8"/>
      <c r="DF681" s="8"/>
      <c r="DG681" s="8"/>
      <c r="DH681" s="8"/>
      <c r="DI681" s="8"/>
      <c r="DJ681" s="8"/>
      <c r="DK681" s="8"/>
      <c r="DL681" s="8"/>
      <c r="DM681" s="8"/>
      <c r="DN681" s="8"/>
    </row>
    <row r="682" spans="2:118" ht="15.75" customHeight="1">
      <c r="B682" s="8"/>
      <c r="CU682" s="8"/>
      <c r="CV682" s="8"/>
      <c r="CW682" s="8"/>
      <c r="CX682" s="8"/>
      <c r="CY682" s="8"/>
      <c r="CZ682" s="8"/>
      <c r="DA682" s="8"/>
      <c r="DB682" s="8"/>
      <c r="DC682" s="8"/>
      <c r="DD682" s="8"/>
      <c r="DE682" s="8"/>
      <c r="DF682" s="8"/>
      <c r="DG682" s="8"/>
      <c r="DH682" s="8"/>
      <c r="DI682" s="8"/>
      <c r="DJ682" s="8"/>
      <c r="DK682" s="8"/>
      <c r="DL682" s="8"/>
      <c r="DM682" s="8"/>
      <c r="DN682" s="8"/>
    </row>
    <row r="683" spans="2:118" ht="15.75" customHeight="1">
      <c r="B683" s="8"/>
      <c r="CU683" s="8"/>
      <c r="CV683" s="8"/>
      <c r="CW683" s="8"/>
      <c r="CX683" s="8"/>
      <c r="CY683" s="8"/>
      <c r="CZ683" s="8"/>
      <c r="DA683" s="8"/>
      <c r="DB683" s="8"/>
      <c r="DC683" s="8"/>
      <c r="DD683" s="8"/>
      <c r="DE683" s="8"/>
      <c r="DF683" s="8"/>
      <c r="DG683" s="8"/>
      <c r="DH683" s="8"/>
      <c r="DI683" s="8"/>
      <c r="DJ683" s="8"/>
      <c r="DK683" s="8"/>
      <c r="DL683" s="8"/>
      <c r="DM683" s="8"/>
      <c r="DN683" s="8"/>
    </row>
    <row r="684" spans="2:118" ht="15.75" customHeight="1">
      <c r="B684" s="8"/>
      <c r="CU684" s="8"/>
      <c r="CV684" s="8"/>
      <c r="CW684" s="8"/>
      <c r="CX684" s="8"/>
      <c r="CY684" s="8"/>
      <c r="CZ684" s="8"/>
      <c r="DA684" s="8"/>
      <c r="DB684" s="8"/>
      <c r="DC684" s="8"/>
      <c r="DD684" s="8"/>
      <c r="DE684" s="8"/>
      <c r="DF684" s="8"/>
      <c r="DG684" s="8"/>
      <c r="DH684" s="8"/>
      <c r="DI684" s="8"/>
      <c r="DJ684" s="8"/>
      <c r="DK684" s="8"/>
      <c r="DL684" s="8"/>
      <c r="DM684" s="8"/>
      <c r="DN684" s="8"/>
    </row>
    <row r="685" spans="2:118" ht="15.75" customHeight="1">
      <c r="B685" s="8"/>
      <c r="CU685" s="8"/>
      <c r="CV685" s="8"/>
      <c r="CW685" s="8"/>
      <c r="CX685" s="8"/>
      <c r="CY685" s="8"/>
      <c r="CZ685" s="8"/>
      <c r="DA685" s="8"/>
      <c r="DB685" s="8"/>
      <c r="DC685" s="8"/>
      <c r="DD685" s="8"/>
      <c r="DE685" s="8"/>
      <c r="DF685" s="8"/>
      <c r="DG685" s="8"/>
      <c r="DH685" s="8"/>
      <c r="DI685" s="8"/>
      <c r="DJ685" s="8"/>
      <c r="DK685" s="8"/>
      <c r="DL685" s="8"/>
      <c r="DM685" s="8"/>
      <c r="DN685" s="8"/>
    </row>
    <row r="686" spans="2:118" ht="15.75" customHeight="1">
      <c r="B686" s="8"/>
      <c r="CU686" s="8"/>
      <c r="CV686" s="8"/>
      <c r="CW686" s="8"/>
      <c r="CX686" s="8"/>
      <c r="CY686" s="8"/>
      <c r="CZ686" s="8"/>
      <c r="DA686" s="8"/>
      <c r="DB686" s="8"/>
      <c r="DC686" s="8"/>
      <c r="DD686" s="8"/>
      <c r="DE686" s="8"/>
      <c r="DF686" s="8"/>
      <c r="DG686" s="8"/>
      <c r="DH686" s="8"/>
      <c r="DI686" s="8"/>
      <c r="DJ686" s="8"/>
      <c r="DK686" s="8"/>
      <c r="DL686" s="8"/>
      <c r="DM686" s="8"/>
      <c r="DN686" s="8"/>
    </row>
    <row r="687" spans="2:118" ht="15.75" customHeight="1">
      <c r="B687" s="8"/>
      <c r="CU687" s="8"/>
      <c r="CV687" s="8"/>
      <c r="CW687" s="8"/>
      <c r="CX687" s="8"/>
      <c r="CY687" s="8"/>
      <c r="CZ687" s="8"/>
      <c r="DA687" s="8"/>
      <c r="DB687" s="8"/>
      <c r="DC687" s="8"/>
      <c r="DD687" s="8"/>
      <c r="DE687" s="8"/>
      <c r="DF687" s="8"/>
      <c r="DG687" s="8"/>
      <c r="DH687" s="8"/>
      <c r="DI687" s="8"/>
      <c r="DJ687" s="8"/>
      <c r="DK687" s="8"/>
      <c r="DL687" s="8"/>
      <c r="DM687" s="8"/>
      <c r="DN687" s="8"/>
    </row>
    <row r="688" spans="2:118" ht="15.75" customHeight="1">
      <c r="B688" s="8"/>
      <c r="CU688" s="8"/>
      <c r="CV688" s="8"/>
      <c r="CW688" s="8"/>
      <c r="CX688" s="8"/>
      <c r="CY688" s="8"/>
      <c r="CZ688" s="8"/>
      <c r="DA688" s="8"/>
      <c r="DB688" s="8"/>
      <c r="DC688" s="8"/>
      <c r="DD688" s="8"/>
      <c r="DE688" s="8"/>
      <c r="DF688" s="8"/>
      <c r="DG688" s="8"/>
      <c r="DH688" s="8"/>
      <c r="DI688" s="8"/>
      <c r="DJ688" s="8"/>
      <c r="DK688" s="8"/>
      <c r="DL688" s="8"/>
      <c r="DM688" s="8"/>
      <c r="DN688" s="8"/>
    </row>
    <row r="689" spans="2:118" ht="15.75" customHeight="1">
      <c r="B689" s="8"/>
      <c r="CU689" s="8"/>
      <c r="CV689" s="8"/>
      <c r="CW689" s="8"/>
      <c r="CX689" s="8"/>
      <c r="CY689" s="8"/>
      <c r="CZ689" s="8"/>
      <c r="DA689" s="8"/>
      <c r="DB689" s="8"/>
      <c r="DC689" s="8"/>
      <c r="DD689" s="8"/>
      <c r="DE689" s="8"/>
      <c r="DF689" s="8"/>
      <c r="DG689" s="8"/>
      <c r="DH689" s="8"/>
      <c r="DI689" s="8"/>
      <c r="DJ689" s="8"/>
      <c r="DK689" s="8"/>
      <c r="DL689" s="8"/>
      <c r="DM689" s="8"/>
      <c r="DN689" s="8"/>
    </row>
    <row r="690" spans="2:118" ht="15.75" customHeight="1">
      <c r="B690" s="8"/>
      <c r="CU690" s="8"/>
      <c r="CV690" s="8"/>
      <c r="CW690" s="8"/>
      <c r="CX690" s="8"/>
      <c r="CY690" s="8"/>
      <c r="CZ690" s="8"/>
      <c r="DA690" s="8"/>
      <c r="DB690" s="8"/>
      <c r="DC690" s="8"/>
      <c r="DD690" s="8"/>
      <c r="DE690" s="8"/>
      <c r="DF690" s="8"/>
      <c r="DG690" s="8"/>
      <c r="DH690" s="8"/>
      <c r="DI690" s="8"/>
      <c r="DJ690" s="8"/>
      <c r="DK690" s="8"/>
      <c r="DL690" s="8"/>
      <c r="DM690" s="8"/>
      <c r="DN690" s="8"/>
    </row>
    <row r="691" spans="2:118" ht="15.75" customHeight="1">
      <c r="B691" s="8"/>
      <c r="CU691" s="8"/>
      <c r="CV691" s="8"/>
      <c r="CW691" s="8"/>
      <c r="CX691" s="8"/>
      <c r="CY691" s="8"/>
      <c r="CZ691" s="8"/>
      <c r="DA691" s="8"/>
      <c r="DB691" s="8"/>
      <c r="DC691" s="8"/>
      <c r="DD691" s="8"/>
      <c r="DE691" s="8"/>
      <c r="DF691" s="8"/>
      <c r="DG691" s="8"/>
      <c r="DH691" s="8"/>
      <c r="DI691" s="8"/>
      <c r="DJ691" s="8"/>
      <c r="DK691" s="8"/>
      <c r="DL691" s="8"/>
      <c r="DM691" s="8"/>
      <c r="DN691" s="8"/>
    </row>
    <row r="692" spans="2:118" ht="15.75" customHeight="1">
      <c r="B692" s="8"/>
      <c r="CU692" s="8"/>
      <c r="CV692" s="8"/>
      <c r="CW692" s="8"/>
      <c r="CX692" s="8"/>
      <c r="CY692" s="8"/>
      <c r="CZ692" s="8"/>
      <c r="DA692" s="8"/>
      <c r="DB692" s="8"/>
      <c r="DC692" s="8"/>
      <c r="DD692" s="8"/>
      <c r="DE692" s="8"/>
      <c r="DF692" s="8"/>
      <c r="DG692" s="8"/>
      <c r="DH692" s="8"/>
      <c r="DI692" s="8"/>
      <c r="DJ692" s="8"/>
      <c r="DK692" s="8"/>
      <c r="DL692" s="8"/>
      <c r="DM692" s="8"/>
      <c r="DN692" s="8"/>
    </row>
    <row r="693" spans="2:118" ht="15.75" customHeight="1">
      <c r="B693" s="8"/>
      <c r="CU693" s="8"/>
      <c r="CV693" s="8"/>
      <c r="CW693" s="8"/>
      <c r="CX693" s="8"/>
      <c r="CY693" s="8"/>
      <c r="CZ693" s="8"/>
      <c r="DA693" s="8"/>
      <c r="DB693" s="8"/>
      <c r="DC693" s="8"/>
      <c r="DD693" s="8"/>
      <c r="DE693" s="8"/>
      <c r="DF693" s="8"/>
      <c r="DG693" s="8"/>
      <c r="DH693" s="8"/>
      <c r="DI693" s="8"/>
      <c r="DJ693" s="8"/>
      <c r="DK693" s="8"/>
      <c r="DL693" s="8"/>
      <c r="DM693" s="8"/>
      <c r="DN693" s="8"/>
    </row>
    <row r="694" spans="2:118" ht="15.75" customHeight="1">
      <c r="B694" s="8"/>
      <c r="CU694" s="8"/>
      <c r="CV694" s="8"/>
      <c r="CW694" s="8"/>
      <c r="CX694" s="8"/>
      <c r="CY694" s="8"/>
      <c r="CZ694" s="8"/>
      <c r="DA694" s="8"/>
      <c r="DB694" s="8"/>
      <c r="DC694" s="8"/>
      <c r="DD694" s="8"/>
      <c r="DE694" s="8"/>
      <c r="DF694" s="8"/>
      <c r="DG694" s="8"/>
      <c r="DH694" s="8"/>
      <c r="DI694" s="8"/>
      <c r="DJ694" s="8"/>
      <c r="DK694" s="8"/>
      <c r="DL694" s="8"/>
      <c r="DM694" s="8"/>
      <c r="DN694" s="8"/>
    </row>
    <row r="695" spans="2:118" ht="15.75" customHeight="1">
      <c r="B695" s="8"/>
      <c r="CU695" s="8"/>
      <c r="CV695" s="8"/>
      <c r="CW695" s="8"/>
      <c r="CX695" s="8"/>
      <c r="CY695" s="8"/>
      <c r="CZ695" s="8"/>
      <c r="DA695" s="8"/>
      <c r="DB695" s="8"/>
      <c r="DC695" s="8"/>
      <c r="DD695" s="8"/>
      <c r="DE695" s="8"/>
      <c r="DF695" s="8"/>
      <c r="DG695" s="8"/>
      <c r="DH695" s="8"/>
      <c r="DI695" s="8"/>
      <c r="DJ695" s="8"/>
      <c r="DK695" s="8"/>
      <c r="DL695" s="8"/>
      <c r="DM695" s="8"/>
      <c r="DN695" s="8"/>
    </row>
    <row r="696" spans="2:118" ht="15.75" customHeight="1">
      <c r="B696" s="8"/>
      <c r="CU696" s="8"/>
      <c r="CV696" s="8"/>
      <c r="CW696" s="8"/>
      <c r="CX696" s="8"/>
      <c r="CY696" s="8"/>
      <c r="CZ696" s="8"/>
      <c r="DA696" s="8"/>
      <c r="DB696" s="8"/>
      <c r="DC696" s="8"/>
      <c r="DD696" s="8"/>
      <c r="DE696" s="8"/>
      <c r="DF696" s="8"/>
      <c r="DG696" s="8"/>
      <c r="DH696" s="8"/>
      <c r="DI696" s="8"/>
      <c r="DJ696" s="8"/>
      <c r="DK696" s="8"/>
      <c r="DL696" s="8"/>
      <c r="DM696" s="8"/>
      <c r="DN696" s="8"/>
    </row>
    <row r="697" spans="2:118" ht="15.75" customHeight="1">
      <c r="B697" s="8"/>
      <c r="CU697" s="8"/>
      <c r="CV697" s="8"/>
      <c r="CW697" s="8"/>
      <c r="CX697" s="8"/>
      <c r="CY697" s="8"/>
      <c r="CZ697" s="8"/>
      <c r="DA697" s="8"/>
      <c r="DB697" s="8"/>
      <c r="DC697" s="8"/>
      <c r="DD697" s="8"/>
      <c r="DE697" s="8"/>
      <c r="DF697" s="8"/>
      <c r="DG697" s="8"/>
      <c r="DH697" s="8"/>
      <c r="DI697" s="8"/>
      <c r="DJ697" s="8"/>
      <c r="DK697" s="8"/>
      <c r="DL697" s="8"/>
      <c r="DM697" s="8"/>
      <c r="DN697" s="8"/>
    </row>
    <row r="698" spans="2:118" ht="15.75" customHeight="1">
      <c r="B698" s="8"/>
      <c r="CU698" s="8"/>
      <c r="CV698" s="8"/>
      <c r="CW698" s="8"/>
      <c r="CX698" s="8"/>
      <c r="CY698" s="8"/>
      <c r="CZ698" s="8"/>
      <c r="DA698" s="8"/>
      <c r="DB698" s="8"/>
      <c r="DC698" s="8"/>
      <c r="DD698" s="8"/>
      <c r="DE698" s="8"/>
      <c r="DF698" s="8"/>
      <c r="DG698" s="8"/>
      <c r="DH698" s="8"/>
      <c r="DI698" s="8"/>
      <c r="DJ698" s="8"/>
      <c r="DK698" s="8"/>
      <c r="DL698" s="8"/>
      <c r="DM698" s="8"/>
      <c r="DN698" s="8"/>
    </row>
    <row r="699" spans="2:118" ht="15.75" customHeight="1">
      <c r="B699" s="8"/>
      <c r="CU699" s="8"/>
      <c r="CV699" s="8"/>
      <c r="CW699" s="8"/>
      <c r="CX699" s="8"/>
      <c r="CY699" s="8"/>
      <c r="CZ699" s="8"/>
      <c r="DA699" s="8"/>
      <c r="DB699" s="8"/>
      <c r="DC699" s="8"/>
      <c r="DD699" s="8"/>
      <c r="DE699" s="8"/>
      <c r="DF699" s="8"/>
      <c r="DG699" s="8"/>
      <c r="DH699" s="8"/>
      <c r="DI699" s="8"/>
      <c r="DJ699" s="8"/>
      <c r="DK699" s="8"/>
      <c r="DL699" s="8"/>
      <c r="DM699" s="8"/>
      <c r="DN699" s="8"/>
    </row>
    <row r="700" spans="2:118" ht="15.75" customHeight="1">
      <c r="B700" s="8"/>
      <c r="CU700" s="8"/>
      <c r="CV700" s="8"/>
      <c r="CW700" s="8"/>
      <c r="CX700" s="8"/>
      <c r="CY700" s="8"/>
      <c r="CZ700" s="8"/>
      <c r="DA700" s="8"/>
      <c r="DB700" s="8"/>
      <c r="DC700" s="8"/>
      <c r="DD700" s="8"/>
      <c r="DE700" s="8"/>
      <c r="DF700" s="8"/>
      <c r="DG700" s="8"/>
      <c r="DH700" s="8"/>
      <c r="DI700" s="8"/>
      <c r="DJ700" s="8"/>
      <c r="DK700" s="8"/>
      <c r="DL700" s="8"/>
      <c r="DM700" s="8"/>
      <c r="DN700" s="8"/>
    </row>
    <row r="701" spans="2:118" ht="15.75" customHeight="1">
      <c r="B701" s="8"/>
      <c r="CU701" s="8"/>
      <c r="CV701" s="8"/>
      <c r="CW701" s="8"/>
      <c r="CX701" s="8"/>
      <c r="CY701" s="8"/>
      <c r="CZ701" s="8"/>
      <c r="DA701" s="8"/>
      <c r="DB701" s="8"/>
      <c r="DC701" s="8"/>
      <c r="DD701" s="8"/>
      <c r="DE701" s="8"/>
      <c r="DF701" s="8"/>
      <c r="DG701" s="8"/>
      <c r="DH701" s="8"/>
      <c r="DI701" s="8"/>
      <c r="DJ701" s="8"/>
      <c r="DK701" s="8"/>
      <c r="DL701" s="8"/>
      <c r="DM701" s="8"/>
      <c r="DN701" s="8"/>
    </row>
    <row r="702" spans="2:118" ht="15.75" customHeight="1">
      <c r="B702" s="8"/>
      <c r="CU702" s="8"/>
      <c r="CV702" s="8"/>
      <c r="CW702" s="8"/>
      <c r="CX702" s="8"/>
      <c r="CY702" s="8"/>
      <c r="CZ702" s="8"/>
      <c r="DA702" s="8"/>
      <c r="DB702" s="8"/>
      <c r="DC702" s="8"/>
      <c r="DD702" s="8"/>
      <c r="DE702" s="8"/>
      <c r="DF702" s="8"/>
      <c r="DG702" s="8"/>
      <c r="DH702" s="8"/>
      <c r="DI702" s="8"/>
      <c r="DJ702" s="8"/>
      <c r="DK702" s="8"/>
      <c r="DL702" s="8"/>
      <c r="DM702" s="8"/>
      <c r="DN702" s="8"/>
    </row>
    <row r="703" spans="2:118" ht="15.75" customHeight="1">
      <c r="B703" s="8"/>
      <c r="CU703" s="8"/>
      <c r="CV703" s="8"/>
      <c r="CW703" s="8"/>
      <c r="CX703" s="8"/>
      <c r="CY703" s="8"/>
      <c r="CZ703" s="8"/>
      <c r="DA703" s="8"/>
      <c r="DB703" s="8"/>
      <c r="DC703" s="8"/>
      <c r="DD703" s="8"/>
      <c r="DE703" s="8"/>
      <c r="DF703" s="8"/>
      <c r="DG703" s="8"/>
      <c r="DH703" s="8"/>
      <c r="DI703" s="8"/>
      <c r="DJ703" s="8"/>
      <c r="DK703" s="8"/>
      <c r="DL703" s="8"/>
      <c r="DM703" s="8"/>
      <c r="DN703" s="8"/>
    </row>
    <row r="704" spans="2:118" ht="15.75" customHeight="1">
      <c r="B704" s="8"/>
      <c r="CU704" s="8"/>
      <c r="CV704" s="8"/>
      <c r="CW704" s="8"/>
      <c r="CX704" s="8"/>
      <c r="CY704" s="8"/>
      <c r="CZ704" s="8"/>
      <c r="DA704" s="8"/>
      <c r="DB704" s="8"/>
      <c r="DC704" s="8"/>
      <c r="DD704" s="8"/>
      <c r="DE704" s="8"/>
      <c r="DF704" s="8"/>
      <c r="DG704" s="8"/>
      <c r="DH704" s="8"/>
      <c r="DI704" s="8"/>
      <c r="DJ704" s="8"/>
      <c r="DK704" s="8"/>
      <c r="DL704" s="8"/>
      <c r="DM704" s="8"/>
      <c r="DN704" s="8"/>
    </row>
    <row r="705" spans="2:118" ht="15.75" customHeight="1">
      <c r="B705" s="8"/>
      <c r="CU705" s="8"/>
      <c r="CV705" s="8"/>
      <c r="CW705" s="8"/>
      <c r="CX705" s="8"/>
      <c r="CY705" s="8"/>
      <c r="CZ705" s="8"/>
      <c r="DA705" s="8"/>
      <c r="DB705" s="8"/>
      <c r="DC705" s="8"/>
      <c r="DD705" s="8"/>
      <c r="DE705" s="8"/>
      <c r="DF705" s="8"/>
      <c r="DG705" s="8"/>
      <c r="DH705" s="8"/>
      <c r="DI705" s="8"/>
      <c r="DJ705" s="8"/>
      <c r="DK705" s="8"/>
      <c r="DL705" s="8"/>
      <c r="DM705" s="8"/>
      <c r="DN705" s="8"/>
    </row>
    <row r="706" spans="2:118" ht="15.75" customHeight="1">
      <c r="B706" s="8"/>
      <c r="CU706" s="8"/>
      <c r="CV706" s="8"/>
      <c r="CW706" s="8"/>
      <c r="CX706" s="8"/>
      <c r="CY706" s="8"/>
      <c r="CZ706" s="8"/>
      <c r="DA706" s="8"/>
      <c r="DB706" s="8"/>
      <c r="DC706" s="8"/>
      <c r="DD706" s="8"/>
      <c r="DE706" s="8"/>
      <c r="DF706" s="8"/>
      <c r="DG706" s="8"/>
      <c r="DH706" s="8"/>
      <c r="DI706" s="8"/>
      <c r="DJ706" s="8"/>
      <c r="DK706" s="8"/>
      <c r="DL706" s="8"/>
      <c r="DM706" s="8"/>
      <c r="DN706" s="8"/>
    </row>
    <row r="707" spans="2:118" ht="15.75" customHeight="1">
      <c r="B707" s="8"/>
      <c r="CU707" s="8"/>
      <c r="CV707" s="8"/>
      <c r="CW707" s="8"/>
      <c r="CX707" s="8"/>
      <c r="CY707" s="8"/>
      <c r="CZ707" s="8"/>
      <c r="DA707" s="8"/>
      <c r="DB707" s="8"/>
      <c r="DC707" s="8"/>
      <c r="DD707" s="8"/>
      <c r="DE707" s="8"/>
      <c r="DF707" s="8"/>
      <c r="DG707" s="8"/>
      <c r="DH707" s="8"/>
      <c r="DI707" s="8"/>
      <c r="DJ707" s="8"/>
      <c r="DK707" s="8"/>
      <c r="DL707" s="8"/>
      <c r="DM707" s="8"/>
      <c r="DN707" s="8"/>
    </row>
    <row r="708" spans="2:118" ht="15.75" customHeight="1">
      <c r="B708" s="8"/>
      <c r="CU708" s="8"/>
      <c r="CV708" s="8"/>
      <c r="CW708" s="8"/>
      <c r="CX708" s="8"/>
      <c r="CY708" s="8"/>
      <c r="CZ708" s="8"/>
      <c r="DA708" s="8"/>
      <c r="DB708" s="8"/>
      <c r="DC708" s="8"/>
      <c r="DD708" s="8"/>
      <c r="DE708" s="8"/>
      <c r="DF708" s="8"/>
      <c r="DG708" s="8"/>
      <c r="DH708" s="8"/>
      <c r="DI708" s="8"/>
      <c r="DJ708" s="8"/>
      <c r="DK708" s="8"/>
      <c r="DL708" s="8"/>
      <c r="DM708" s="8"/>
      <c r="DN708" s="8"/>
    </row>
    <row r="709" spans="2:118" ht="15.75" customHeight="1">
      <c r="B709" s="8"/>
      <c r="CU709" s="8"/>
      <c r="CV709" s="8"/>
      <c r="CW709" s="8"/>
      <c r="CX709" s="8"/>
      <c r="CY709" s="8"/>
      <c r="CZ709" s="8"/>
      <c r="DA709" s="8"/>
      <c r="DB709" s="8"/>
      <c r="DC709" s="8"/>
      <c r="DD709" s="8"/>
      <c r="DE709" s="8"/>
      <c r="DF709" s="8"/>
      <c r="DG709" s="8"/>
      <c r="DH709" s="8"/>
      <c r="DI709" s="8"/>
      <c r="DJ709" s="8"/>
      <c r="DK709" s="8"/>
      <c r="DL709" s="8"/>
      <c r="DM709" s="8"/>
      <c r="DN709" s="8"/>
    </row>
    <row r="710" spans="2:118" ht="15.75" customHeight="1">
      <c r="B710" s="8"/>
      <c r="CU710" s="8"/>
      <c r="CV710" s="8"/>
      <c r="CW710" s="8"/>
      <c r="CX710" s="8"/>
      <c r="CY710" s="8"/>
      <c r="CZ710" s="8"/>
      <c r="DA710" s="8"/>
      <c r="DB710" s="8"/>
      <c r="DC710" s="8"/>
      <c r="DD710" s="8"/>
      <c r="DE710" s="8"/>
      <c r="DF710" s="8"/>
      <c r="DG710" s="8"/>
      <c r="DH710" s="8"/>
      <c r="DI710" s="8"/>
      <c r="DJ710" s="8"/>
      <c r="DK710" s="8"/>
      <c r="DL710" s="8"/>
      <c r="DM710" s="8"/>
      <c r="DN710" s="8"/>
    </row>
    <row r="711" spans="2:118" ht="15.75" customHeight="1">
      <c r="B711" s="8"/>
      <c r="CU711" s="8"/>
      <c r="CV711" s="8"/>
      <c r="CW711" s="8"/>
      <c r="CX711" s="8"/>
      <c r="CY711" s="8"/>
      <c r="CZ711" s="8"/>
      <c r="DA711" s="8"/>
      <c r="DB711" s="8"/>
      <c r="DC711" s="8"/>
      <c r="DD711" s="8"/>
      <c r="DE711" s="8"/>
      <c r="DF711" s="8"/>
      <c r="DG711" s="8"/>
      <c r="DH711" s="8"/>
      <c r="DI711" s="8"/>
      <c r="DJ711" s="8"/>
      <c r="DK711" s="8"/>
      <c r="DL711" s="8"/>
      <c r="DM711" s="8"/>
      <c r="DN711" s="8"/>
    </row>
    <row r="712" spans="2:118" ht="15.75" customHeight="1">
      <c r="B712" s="8"/>
      <c r="CU712" s="8"/>
      <c r="CV712" s="8"/>
      <c r="CW712" s="8"/>
      <c r="CX712" s="8"/>
      <c r="CY712" s="8"/>
      <c r="CZ712" s="8"/>
      <c r="DA712" s="8"/>
      <c r="DB712" s="8"/>
      <c r="DC712" s="8"/>
      <c r="DD712" s="8"/>
      <c r="DE712" s="8"/>
      <c r="DF712" s="8"/>
      <c r="DG712" s="8"/>
      <c r="DH712" s="8"/>
      <c r="DI712" s="8"/>
      <c r="DJ712" s="8"/>
      <c r="DK712" s="8"/>
      <c r="DL712" s="8"/>
      <c r="DM712" s="8"/>
      <c r="DN712" s="8"/>
    </row>
    <row r="713" spans="2:118" ht="15.75" customHeight="1">
      <c r="B713" s="8"/>
      <c r="CU713" s="8"/>
      <c r="CV713" s="8"/>
      <c r="CW713" s="8"/>
      <c r="CX713" s="8"/>
      <c r="CY713" s="8"/>
      <c r="CZ713" s="8"/>
      <c r="DA713" s="8"/>
      <c r="DB713" s="8"/>
      <c r="DC713" s="8"/>
      <c r="DD713" s="8"/>
      <c r="DE713" s="8"/>
      <c r="DF713" s="8"/>
      <c r="DG713" s="8"/>
      <c r="DH713" s="8"/>
      <c r="DI713" s="8"/>
      <c r="DJ713" s="8"/>
      <c r="DK713" s="8"/>
      <c r="DL713" s="8"/>
      <c r="DM713" s="8"/>
      <c r="DN713" s="8"/>
    </row>
    <row r="714" spans="2:118" ht="15.75" customHeight="1">
      <c r="B714" s="8"/>
      <c r="CU714" s="8"/>
      <c r="CV714" s="8"/>
      <c r="CW714" s="8"/>
      <c r="CX714" s="8"/>
      <c r="CY714" s="8"/>
      <c r="CZ714" s="8"/>
      <c r="DA714" s="8"/>
      <c r="DB714" s="8"/>
      <c r="DC714" s="8"/>
      <c r="DD714" s="8"/>
      <c r="DE714" s="8"/>
      <c r="DF714" s="8"/>
      <c r="DG714" s="8"/>
      <c r="DH714" s="8"/>
      <c r="DI714" s="8"/>
      <c r="DJ714" s="8"/>
      <c r="DK714" s="8"/>
      <c r="DL714" s="8"/>
      <c r="DM714" s="8"/>
      <c r="DN714" s="8"/>
    </row>
    <row r="715" spans="2:118" ht="15.75" customHeight="1">
      <c r="B715" s="8"/>
      <c r="CU715" s="8"/>
      <c r="CV715" s="8"/>
      <c r="CW715" s="8"/>
      <c r="CX715" s="8"/>
      <c r="CY715" s="8"/>
      <c r="CZ715" s="8"/>
      <c r="DA715" s="8"/>
      <c r="DB715" s="8"/>
      <c r="DC715" s="8"/>
      <c r="DD715" s="8"/>
      <c r="DE715" s="8"/>
      <c r="DF715" s="8"/>
      <c r="DG715" s="8"/>
      <c r="DH715" s="8"/>
      <c r="DI715" s="8"/>
      <c r="DJ715" s="8"/>
      <c r="DK715" s="8"/>
      <c r="DL715" s="8"/>
      <c r="DM715" s="8"/>
      <c r="DN715" s="8"/>
    </row>
    <row r="716" spans="2:118" ht="15.75" customHeight="1">
      <c r="B716" s="8"/>
      <c r="CU716" s="8"/>
      <c r="CV716" s="8"/>
      <c r="CW716" s="8"/>
      <c r="CX716" s="8"/>
      <c r="CY716" s="8"/>
      <c r="CZ716" s="8"/>
      <c r="DA716" s="8"/>
      <c r="DB716" s="8"/>
      <c r="DC716" s="8"/>
      <c r="DD716" s="8"/>
      <c r="DE716" s="8"/>
      <c r="DF716" s="8"/>
      <c r="DG716" s="8"/>
      <c r="DH716" s="8"/>
      <c r="DI716" s="8"/>
      <c r="DJ716" s="8"/>
      <c r="DK716" s="8"/>
      <c r="DL716" s="8"/>
      <c r="DM716" s="8"/>
      <c r="DN716" s="8"/>
    </row>
    <row r="717" spans="2:118" ht="15.75" customHeight="1">
      <c r="B717" s="8"/>
      <c r="CU717" s="8"/>
      <c r="CV717" s="8"/>
      <c r="CW717" s="8"/>
      <c r="CX717" s="8"/>
      <c r="CY717" s="8"/>
      <c r="CZ717" s="8"/>
      <c r="DA717" s="8"/>
      <c r="DB717" s="8"/>
      <c r="DC717" s="8"/>
      <c r="DD717" s="8"/>
      <c r="DE717" s="8"/>
      <c r="DF717" s="8"/>
      <c r="DG717" s="8"/>
      <c r="DH717" s="8"/>
      <c r="DI717" s="8"/>
      <c r="DJ717" s="8"/>
      <c r="DK717" s="8"/>
      <c r="DL717" s="8"/>
      <c r="DM717" s="8"/>
      <c r="DN717" s="8"/>
    </row>
    <row r="718" spans="2:118" ht="15.75" customHeight="1">
      <c r="B718" s="8"/>
      <c r="CU718" s="8"/>
      <c r="CV718" s="8"/>
      <c r="CW718" s="8"/>
      <c r="CX718" s="8"/>
      <c r="CY718" s="8"/>
      <c r="CZ718" s="8"/>
      <c r="DA718" s="8"/>
      <c r="DB718" s="8"/>
      <c r="DC718" s="8"/>
      <c r="DD718" s="8"/>
      <c r="DE718" s="8"/>
      <c r="DF718" s="8"/>
      <c r="DG718" s="8"/>
      <c r="DH718" s="8"/>
      <c r="DI718" s="8"/>
      <c r="DJ718" s="8"/>
      <c r="DK718" s="8"/>
      <c r="DL718" s="8"/>
      <c r="DM718" s="8"/>
      <c r="DN718" s="8"/>
    </row>
    <row r="719" spans="2:118" ht="15.75" customHeight="1">
      <c r="B719" s="8"/>
      <c r="CU719" s="8"/>
      <c r="CV719" s="8"/>
      <c r="CW719" s="8"/>
      <c r="CX719" s="8"/>
      <c r="CY719" s="8"/>
      <c r="CZ719" s="8"/>
      <c r="DA719" s="8"/>
      <c r="DB719" s="8"/>
      <c r="DC719" s="8"/>
      <c r="DD719" s="8"/>
      <c r="DE719" s="8"/>
      <c r="DF719" s="8"/>
      <c r="DG719" s="8"/>
      <c r="DH719" s="8"/>
      <c r="DI719" s="8"/>
      <c r="DJ719" s="8"/>
      <c r="DK719" s="8"/>
      <c r="DL719" s="8"/>
      <c r="DM719" s="8"/>
      <c r="DN719" s="8"/>
    </row>
    <row r="720" spans="2:118" ht="15.75" customHeight="1">
      <c r="B720" s="8"/>
      <c r="CU720" s="8"/>
      <c r="CV720" s="8"/>
      <c r="CW720" s="8"/>
      <c r="CX720" s="8"/>
      <c r="CY720" s="8"/>
      <c r="CZ720" s="8"/>
      <c r="DA720" s="8"/>
      <c r="DB720" s="8"/>
      <c r="DC720" s="8"/>
      <c r="DD720" s="8"/>
      <c r="DE720" s="8"/>
      <c r="DF720" s="8"/>
      <c r="DG720" s="8"/>
      <c r="DH720" s="8"/>
      <c r="DI720" s="8"/>
      <c r="DJ720" s="8"/>
      <c r="DK720" s="8"/>
      <c r="DL720" s="8"/>
      <c r="DM720" s="8"/>
      <c r="DN720" s="8"/>
    </row>
    <row r="721" spans="2:118" ht="15.75" customHeight="1">
      <c r="B721" s="8"/>
      <c r="CU721" s="8"/>
      <c r="CV721" s="8"/>
      <c r="CW721" s="8"/>
      <c r="CX721" s="8"/>
      <c r="CY721" s="8"/>
      <c r="CZ721" s="8"/>
      <c r="DA721" s="8"/>
      <c r="DB721" s="8"/>
      <c r="DC721" s="8"/>
      <c r="DD721" s="8"/>
      <c r="DE721" s="8"/>
      <c r="DF721" s="8"/>
      <c r="DG721" s="8"/>
      <c r="DH721" s="8"/>
      <c r="DI721" s="8"/>
      <c r="DJ721" s="8"/>
      <c r="DK721" s="8"/>
      <c r="DL721" s="8"/>
      <c r="DM721" s="8"/>
      <c r="DN721" s="8"/>
    </row>
    <row r="722" spans="2:118" ht="15.75" customHeight="1">
      <c r="B722" s="8"/>
      <c r="CU722" s="8"/>
      <c r="CV722" s="8"/>
      <c r="CW722" s="8"/>
      <c r="CX722" s="8"/>
      <c r="CY722" s="8"/>
      <c r="CZ722" s="8"/>
      <c r="DA722" s="8"/>
      <c r="DB722" s="8"/>
      <c r="DC722" s="8"/>
      <c r="DD722" s="8"/>
      <c r="DE722" s="8"/>
      <c r="DF722" s="8"/>
      <c r="DG722" s="8"/>
      <c r="DH722" s="8"/>
      <c r="DI722" s="8"/>
      <c r="DJ722" s="8"/>
      <c r="DK722" s="8"/>
      <c r="DL722" s="8"/>
      <c r="DM722" s="8"/>
      <c r="DN722" s="8"/>
    </row>
    <row r="723" spans="2:118" ht="15.75" customHeight="1">
      <c r="B723" s="8"/>
      <c r="CU723" s="8"/>
      <c r="CV723" s="8"/>
      <c r="CW723" s="8"/>
      <c r="CX723" s="8"/>
      <c r="CY723" s="8"/>
      <c r="CZ723" s="8"/>
      <c r="DA723" s="8"/>
      <c r="DB723" s="8"/>
      <c r="DC723" s="8"/>
      <c r="DD723" s="8"/>
      <c r="DE723" s="8"/>
      <c r="DF723" s="8"/>
      <c r="DG723" s="8"/>
      <c r="DH723" s="8"/>
      <c r="DI723" s="8"/>
      <c r="DJ723" s="8"/>
      <c r="DK723" s="8"/>
      <c r="DL723" s="8"/>
      <c r="DM723" s="8"/>
      <c r="DN723" s="8"/>
    </row>
    <row r="724" spans="2:118" ht="15.75" customHeight="1">
      <c r="B724" s="8"/>
      <c r="CU724" s="8"/>
      <c r="CV724" s="8"/>
      <c r="CW724" s="8"/>
      <c r="CX724" s="8"/>
      <c r="CY724" s="8"/>
      <c r="CZ724" s="8"/>
      <c r="DA724" s="8"/>
      <c r="DB724" s="8"/>
      <c r="DC724" s="8"/>
      <c r="DD724" s="8"/>
      <c r="DE724" s="8"/>
      <c r="DF724" s="8"/>
      <c r="DG724" s="8"/>
      <c r="DH724" s="8"/>
      <c r="DI724" s="8"/>
      <c r="DJ724" s="8"/>
      <c r="DK724" s="8"/>
      <c r="DL724" s="8"/>
      <c r="DM724" s="8"/>
      <c r="DN724" s="8"/>
    </row>
    <row r="725" spans="2:118" ht="15.75" customHeight="1">
      <c r="B725" s="8"/>
      <c r="CU725" s="8"/>
      <c r="CV725" s="8"/>
      <c r="CW725" s="8"/>
      <c r="CX725" s="8"/>
      <c r="CY725" s="8"/>
      <c r="CZ725" s="8"/>
      <c r="DA725" s="8"/>
      <c r="DB725" s="8"/>
      <c r="DC725" s="8"/>
      <c r="DD725" s="8"/>
      <c r="DE725" s="8"/>
      <c r="DF725" s="8"/>
      <c r="DG725" s="8"/>
      <c r="DH725" s="8"/>
      <c r="DI725" s="8"/>
      <c r="DJ725" s="8"/>
      <c r="DK725" s="8"/>
      <c r="DL725" s="8"/>
      <c r="DM725" s="8"/>
      <c r="DN725" s="8"/>
    </row>
    <row r="726" spans="2:118" ht="15.75" customHeight="1">
      <c r="B726" s="8"/>
      <c r="CU726" s="8"/>
      <c r="CV726" s="8"/>
      <c r="CW726" s="8"/>
      <c r="CX726" s="8"/>
      <c r="CY726" s="8"/>
      <c r="CZ726" s="8"/>
      <c r="DA726" s="8"/>
      <c r="DB726" s="8"/>
      <c r="DC726" s="8"/>
      <c r="DD726" s="8"/>
      <c r="DE726" s="8"/>
      <c r="DF726" s="8"/>
      <c r="DG726" s="8"/>
      <c r="DH726" s="8"/>
      <c r="DI726" s="8"/>
      <c r="DJ726" s="8"/>
      <c r="DK726" s="8"/>
      <c r="DL726" s="8"/>
      <c r="DM726" s="8"/>
      <c r="DN726" s="8"/>
    </row>
    <row r="727" spans="2:118" ht="15.75" customHeight="1">
      <c r="B727" s="8"/>
      <c r="CU727" s="8"/>
      <c r="CV727" s="8"/>
      <c r="CW727" s="8"/>
      <c r="CX727" s="8"/>
      <c r="CY727" s="8"/>
      <c r="CZ727" s="8"/>
      <c r="DA727" s="8"/>
      <c r="DB727" s="8"/>
      <c r="DC727" s="8"/>
      <c r="DD727" s="8"/>
      <c r="DE727" s="8"/>
      <c r="DF727" s="8"/>
      <c r="DG727" s="8"/>
      <c r="DH727" s="8"/>
      <c r="DI727" s="8"/>
      <c r="DJ727" s="8"/>
      <c r="DK727" s="8"/>
      <c r="DL727" s="8"/>
      <c r="DM727" s="8"/>
      <c r="DN727" s="8"/>
    </row>
    <row r="728" spans="2:118" ht="15.75" customHeight="1">
      <c r="B728" s="8"/>
      <c r="CU728" s="8"/>
      <c r="CV728" s="8"/>
      <c r="CW728" s="8"/>
      <c r="CX728" s="8"/>
      <c r="CY728" s="8"/>
      <c r="CZ728" s="8"/>
      <c r="DA728" s="8"/>
      <c r="DB728" s="8"/>
      <c r="DC728" s="8"/>
      <c r="DD728" s="8"/>
      <c r="DE728" s="8"/>
      <c r="DF728" s="8"/>
      <c r="DG728" s="8"/>
      <c r="DH728" s="8"/>
      <c r="DI728" s="8"/>
      <c r="DJ728" s="8"/>
      <c r="DK728" s="8"/>
      <c r="DL728" s="8"/>
      <c r="DM728" s="8"/>
      <c r="DN728" s="8"/>
    </row>
    <row r="729" spans="2:118" ht="15.75" customHeight="1">
      <c r="B729" s="8"/>
      <c r="CU729" s="8"/>
      <c r="CV729" s="8"/>
      <c r="CW729" s="8"/>
      <c r="CX729" s="8"/>
      <c r="CY729" s="8"/>
      <c r="CZ729" s="8"/>
      <c r="DA729" s="8"/>
      <c r="DB729" s="8"/>
      <c r="DC729" s="8"/>
      <c r="DD729" s="8"/>
      <c r="DE729" s="8"/>
      <c r="DF729" s="8"/>
      <c r="DG729" s="8"/>
      <c r="DH729" s="8"/>
      <c r="DI729" s="8"/>
      <c r="DJ729" s="8"/>
      <c r="DK729" s="8"/>
      <c r="DL729" s="8"/>
      <c r="DM729" s="8"/>
      <c r="DN729" s="8"/>
    </row>
    <row r="730" spans="2:118" ht="15.75" customHeight="1">
      <c r="B730" s="8"/>
      <c r="CU730" s="8"/>
      <c r="CV730" s="8"/>
      <c r="CW730" s="8"/>
      <c r="CX730" s="8"/>
      <c r="CY730" s="8"/>
      <c r="CZ730" s="8"/>
      <c r="DA730" s="8"/>
      <c r="DB730" s="8"/>
      <c r="DC730" s="8"/>
      <c r="DD730" s="8"/>
      <c r="DE730" s="8"/>
      <c r="DF730" s="8"/>
      <c r="DG730" s="8"/>
      <c r="DH730" s="8"/>
      <c r="DI730" s="8"/>
      <c r="DJ730" s="8"/>
      <c r="DK730" s="8"/>
      <c r="DL730" s="8"/>
      <c r="DM730" s="8"/>
      <c r="DN730" s="8"/>
    </row>
    <row r="731" spans="2:118" ht="15.75" customHeight="1">
      <c r="B731" s="8"/>
      <c r="CU731" s="8"/>
      <c r="CV731" s="8"/>
      <c r="CW731" s="8"/>
      <c r="CX731" s="8"/>
      <c r="CY731" s="8"/>
      <c r="CZ731" s="8"/>
      <c r="DA731" s="8"/>
      <c r="DB731" s="8"/>
      <c r="DC731" s="8"/>
      <c r="DD731" s="8"/>
      <c r="DE731" s="8"/>
      <c r="DF731" s="8"/>
      <c r="DG731" s="8"/>
      <c r="DH731" s="8"/>
      <c r="DI731" s="8"/>
      <c r="DJ731" s="8"/>
      <c r="DK731" s="8"/>
      <c r="DL731" s="8"/>
      <c r="DM731" s="8"/>
      <c r="DN731" s="8"/>
    </row>
    <row r="732" spans="2:118" ht="15.75" customHeight="1">
      <c r="B732" s="8"/>
      <c r="CU732" s="8"/>
      <c r="CV732" s="8"/>
      <c r="CW732" s="8"/>
      <c r="CX732" s="8"/>
      <c r="CY732" s="8"/>
      <c r="CZ732" s="8"/>
      <c r="DA732" s="8"/>
      <c r="DB732" s="8"/>
      <c r="DC732" s="8"/>
      <c r="DD732" s="8"/>
      <c r="DE732" s="8"/>
      <c r="DF732" s="8"/>
      <c r="DG732" s="8"/>
      <c r="DH732" s="8"/>
      <c r="DI732" s="8"/>
      <c r="DJ732" s="8"/>
      <c r="DK732" s="8"/>
      <c r="DL732" s="8"/>
      <c r="DM732" s="8"/>
      <c r="DN732" s="8"/>
    </row>
    <row r="733" spans="2:118" ht="15.75" customHeight="1">
      <c r="B733" s="8"/>
      <c r="CU733" s="8"/>
      <c r="CV733" s="8"/>
      <c r="CW733" s="8"/>
      <c r="CX733" s="8"/>
      <c r="CY733" s="8"/>
      <c r="CZ733" s="8"/>
      <c r="DA733" s="8"/>
      <c r="DB733" s="8"/>
      <c r="DC733" s="8"/>
      <c r="DD733" s="8"/>
      <c r="DE733" s="8"/>
      <c r="DF733" s="8"/>
      <c r="DG733" s="8"/>
      <c r="DH733" s="8"/>
      <c r="DI733" s="8"/>
      <c r="DJ733" s="8"/>
      <c r="DK733" s="8"/>
      <c r="DL733" s="8"/>
      <c r="DM733" s="8"/>
      <c r="DN733" s="8"/>
    </row>
    <row r="734" spans="2:118" ht="15.75" customHeight="1">
      <c r="B734" s="8"/>
      <c r="CU734" s="8"/>
      <c r="CV734" s="8"/>
      <c r="CW734" s="8"/>
      <c r="CX734" s="8"/>
      <c r="CY734" s="8"/>
      <c r="CZ734" s="8"/>
      <c r="DA734" s="8"/>
      <c r="DB734" s="8"/>
      <c r="DC734" s="8"/>
      <c r="DD734" s="8"/>
      <c r="DE734" s="8"/>
      <c r="DF734" s="8"/>
      <c r="DG734" s="8"/>
      <c r="DH734" s="8"/>
      <c r="DI734" s="8"/>
      <c r="DJ734" s="8"/>
      <c r="DK734" s="8"/>
      <c r="DL734" s="8"/>
      <c r="DM734" s="8"/>
      <c r="DN734" s="8"/>
    </row>
    <row r="735" spans="2:118" ht="15.75" customHeight="1">
      <c r="B735" s="8"/>
      <c r="CU735" s="8"/>
      <c r="CV735" s="8"/>
      <c r="CW735" s="8"/>
      <c r="CX735" s="8"/>
      <c r="CY735" s="8"/>
      <c r="CZ735" s="8"/>
      <c r="DA735" s="8"/>
      <c r="DB735" s="8"/>
      <c r="DC735" s="8"/>
      <c r="DD735" s="8"/>
      <c r="DE735" s="8"/>
      <c r="DF735" s="8"/>
      <c r="DG735" s="8"/>
      <c r="DH735" s="8"/>
      <c r="DI735" s="8"/>
      <c r="DJ735" s="8"/>
      <c r="DK735" s="8"/>
      <c r="DL735" s="8"/>
      <c r="DM735" s="8"/>
      <c r="DN735" s="8"/>
    </row>
    <row r="736" spans="2:118" ht="15.75" customHeight="1">
      <c r="B736" s="8"/>
      <c r="CU736" s="8"/>
      <c r="CV736" s="8"/>
      <c r="CW736" s="8"/>
      <c r="CX736" s="8"/>
      <c r="CY736" s="8"/>
      <c r="CZ736" s="8"/>
      <c r="DA736" s="8"/>
      <c r="DB736" s="8"/>
      <c r="DC736" s="8"/>
      <c r="DD736" s="8"/>
      <c r="DE736" s="8"/>
      <c r="DF736" s="8"/>
      <c r="DG736" s="8"/>
      <c r="DH736" s="8"/>
      <c r="DI736" s="8"/>
      <c r="DJ736" s="8"/>
      <c r="DK736" s="8"/>
      <c r="DL736" s="8"/>
      <c r="DM736" s="8"/>
      <c r="DN736" s="8"/>
    </row>
    <row r="737" spans="2:118" ht="15.75" customHeight="1">
      <c r="B737" s="8"/>
      <c r="CU737" s="8"/>
      <c r="CV737" s="8"/>
      <c r="CW737" s="8"/>
      <c r="CX737" s="8"/>
      <c r="CY737" s="8"/>
      <c r="CZ737" s="8"/>
      <c r="DA737" s="8"/>
      <c r="DB737" s="8"/>
      <c r="DC737" s="8"/>
      <c r="DD737" s="8"/>
      <c r="DE737" s="8"/>
      <c r="DF737" s="8"/>
      <c r="DG737" s="8"/>
      <c r="DH737" s="8"/>
      <c r="DI737" s="8"/>
      <c r="DJ737" s="8"/>
      <c r="DK737" s="8"/>
      <c r="DL737" s="8"/>
      <c r="DM737" s="8"/>
      <c r="DN737" s="8"/>
    </row>
    <row r="738" spans="2:118" ht="15.75" customHeight="1">
      <c r="B738" s="8"/>
      <c r="CU738" s="8"/>
      <c r="CV738" s="8"/>
      <c r="CW738" s="8"/>
      <c r="CX738" s="8"/>
      <c r="CY738" s="8"/>
      <c r="CZ738" s="8"/>
      <c r="DA738" s="8"/>
      <c r="DB738" s="8"/>
      <c r="DC738" s="8"/>
      <c r="DD738" s="8"/>
      <c r="DE738" s="8"/>
      <c r="DF738" s="8"/>
      <c r="DG738" s="8"/>
      <c r="DH738" s="8"/>
      <c r="DI738" s="8"/>
      <c r="DJ738" s="8"/>
      <c r="DK738" s="8"/>
      <c r="DL738" s="8"/>
      <c r="DM738" s="8"/>
      <c r="DN738" s="8"/>
    </row>
    <row r="739" spans="2:118" ht="15.75" customHeight="1">
      <c r="B739" s="8"/>
      <c r="CU739" s="8"/>
      <c r="CV739" s="8"/>
      <c r="CW739" s="8"/>
      <c r="CX739" s="8"/>
      <c r="CY739" s="8"/>
      <c r="CZ739" s="8"/>
      <c r="DA739" s="8"/>
      <c r="DB739" s="8"/>
      <c r="DC739" s="8"/>
      <c r="DD739" s="8"/>
      <c r="DE739" s="8"/>
      <c r="DF739" s="8"/>
      <c r="DG739" s="8"/>
      <c r="DH739" s="8"/>
      <c r="DI739" s="8"/>
      <c r="DJ739" s="8"/>
      <c r="DK739" s="8"/>
      <c r="DL739" s="8"/>
      <c r="DM739" s="8"/>
      <c r="DN739" s="8"/>
    </row>
    <row r="740" spans="2:118" ht="15.75" customHeight="1">
      <c r="B740" s="8"/>
      <c r="CU740" s="8"/>
      <c r="CV740" s="8"/>
      <c r="CW740" s="8"/>
      <c r="CX740" s="8"/>
      <c r="CY740" s="8"/>
      <c r="CZ740" s="8"/>
      <c r="DA740" s="8"/>
      <c r="DB740" s="8"/>
      <c r="DC740" s="8"/>
      <c r="DD740" s="8"/>
      <c r="DE740" s="8"/>
      <c r="DF740" s="8"/>
      <c r="DG740" s="8"/>
      <c r="DH740" s="8"/>
      <c r="DI740" s="8"/>
      <c r="DJ740" s="8"/>
      <c r="DK740" s="8"/>
      <c r="DL740" s="8"/>
      <c r="DM740" s="8"/>
      <c r="DN740" s="8"/>
    </row>
    <row r="741" spans="2:118" ht="15.75" customHeight="1">
      <c r="B741" s="8"/>
      <c r="CU741" s="8"/>
      <c r="CV741" s="8"/>
      <c r="CW741" s="8"/>
      <c r="CX741" s="8"/>
      <c r="CY741" s="8"/>
      <c r="CZ741" s="8"/>
      <c r="DA741" s="8"/>
      <c r="DB741" s="8"/>
      <c r="DC741" s="8"/>
      <c r="DD741" s="8"/>
      <c r="DE741" s="8"/>
      <c r="DF741" s="8"/>
      <c r="DG741" s="8"/>
      <c r="DH741" s="8"/>
      <c r="DI741" s="8"/>
      <c r="DJ741" s="8"/>
      <c r="DK741" s="8"/>
      <c r="DL741" s="8"/>
      <c r="DM741" s="8"/>
      <c r="DN741" s="8"/>
    </row>
    <row r="742" spans="2:118" ht="15.75" customHeight="1">
      <c r="B742" s="8"/>
      <c r="CU742" s="8"/>
      <c r="CV742" s="8"/>
      <c r="CW742" s="8"/>
      <c r="CX742" s="8"/>
      <c r="CY742" s="8"/>
      <c r="CZ742" s="8"/>
      <c r="DA742" s="8"/>
      <c r="DB742" s="8"/>
      <c r="DC742" s="8"/>
      <c r="DD742" s="8"/>
      <c r="DE742" s="8"/>
      <c r="DF742" s="8"/>
      <c r="DG742" s="8"/>
      <c r="DH742" s="8"/>
      <c r="DI742" s="8"/>
      <c r="DJ742" s="8"/>
      <c r="DK742" s="8"/>
      <c r="DL742" s="8"/>
      <c r="DM742" s="8"/>
      <c r="DN742" s="8"/>
    </row>
    <row r="743" spans="2:118" ht="15.75" customHeight="1">
      <c r="B743" s="8"/>
      <c r="CU743" s="8"/>
      <c r="CV743" s="8"/>
      <c r="CW743" s="8"/>
      <c r="CX743" s="8"/>
      <c r="CY743" s="8"/>
      <c r="CZ743" s="8"/>
      <c r="DA743" s="8"/>
      <c r="DB743" s="8"/>
      <c r="DC743" s="8"/>
      <c r="DD743" s="8"/>
      <c r="DE743" s="8"/>
      <c r="DF743" s="8"/>
      <c r="DG743" s="8"/>
      <c r="DH743" s="8"/>
      <c r="DI743" s="8"/>
      <c r="DJ743" s="8"/>
      <c r="DK743" s="8"/>
      <c r="DL743" s="8"/>
      <c r="DM743" s="8"/>
      <c r="DN743" s="8"/>
    </row>
    <row r="744" spans="2:118" ht="15.75" customHeight="1">
      <c r="B744" s="8"/>
      <c r="CU744" s="8"/>
      <c r="CV744" s="8"/>
      <c r="CW744" s="8"/>
      <c r="CX744" s="8"/>
      <c r="CY744" s="8"/>
      <c r="CZ744" s="8"/>
      <c r="DA744" s="8"/>
      <c r="DB744" s="8"/>
      <c r="DC744" s="8"/>
      <c r="DD744" s="8"/>
      <c r="DE744" s="8"/>
      <c r="DF744" s="8"/>
      <c r="DG744" s="8"/>
      <c r="DH744" s="8"/>
      <c r="DI744" s="8"/>
      <c r="DJ744" s="8"/>
      <c r="DK744" s="8"/>
      <c r="DL744" s="8"/>
      <c r="DM744" s="8"/>
      <c r="DN744" s="8"/>
    </row>
    <row r="745" spans="2:118" ht="15.75" customHeight="1">
      <c r="B745" s="8"/>
      <c r="CU745" s="8"/>
      <c r="CV745" s="8"/>
      <c r="CW745" s="8"/>
      <c r="CX745" s="8"/>
      <c r="CY745" s="8"/>
      <c r="CZ745" s="8"/>
      <c r="DA745" s="8"/>
      <c r="DB745" s="8"/>
      <c r="DC745" s="8"/>
      <c r="DD745" s="8"/>
      <c r="DE745" s="8"/>
      <c r="DF745" s="8"/>
      <c r="DG745" s="8"/>
      <c r="DH745" s="8"/>
      <c r="DI745" s="8"/>
      <c r="DJ745" s="8"/>
      <c r="DK745" s="8"/>
      <c r="DL745" s="8"/>
      <c r="DM745" s="8"/>
      <c r="DN745" s="8"/>
    </row>
    <row r="746" spans="2:118" ht="15.75" customHeight="1">
      <c r="B746" s="8"/>
      <c r="CU746" s="8"/>
      <c r="CV746" s="8"/>
      <c r="CW746" s="8"/>
      <c r="CX746" s="8"/>
      <c r="CY746" s="8"/>
      <c r="CZ746" s="8"/>
      <c r="DA746" s="8"/>
      <c r="DB746" s="8"/>
      <c r="DC746" s="8"/>
      <c r="DD746" s="8"/>
      <c r="DE746" s="8"/>
      <c r="DF746" s="8"/>
      <c r="DG746" s="8"/>
      <c r="DH746" s="8"/>
      <c r="DI746" s="8"/>
      <c r="DJ746" s="8"/>
      <c r="DK746" s="8"/>
      <c r="DL746" s="8"/>
      <c r="DM746" s="8"/>
      <c r="DN746" s="8"/>
    </row>
    <row r="747" spans="2:118" ht="15.75" customHeight="1">
      <c r="B747" s="8"/>
      <c r="CU747" s="8"/>
      <c r="CV747" s="8"/>
      <c r="CW747" s="8"/>
      <c r="CX747" s="8"/>
      <c r="CY747" s="8"/>
      <c r="CZ747" s="8"/>
      <c r="DA747" s="8"/>
      <c r="DB747" s="8"/>
      <c r="DC747" s="8"/>
      <c r="DD747" s="8"/>
      <c r="DE747" s="8"/>
      <c r="DF747" s="8"/>
      <c r="DG747" s="8"/>
      <c r="DH747" s="8"/>
      <c r="DI747" s="8"/>
      <c r="DJ747" s="8"/>
      <c r="DK747" s="8"/>
      <c r="DL747" s="8"/>
      <c r="DM747" s="8"/>
      <c r="DN747" s="8"/>
    </row>
    <row r="748" spans="2:118" ht="15.75" customHeight="1">
      <c r="B748" s="8"/>
      <c r="CU748" s="8"/>
      <c r="CV748" s="8"/>
      <c r="CW748" s="8"/>
      <c r="CX748" s="8"/>
      <c r="CY748" s="8"/>
      <c r="CZ748" s="8"/>
      <c r="DA748" s="8"/>
      <c r="DB748" s="8"/>
      <c r="DC748" s="8"/>
      <c r="DD748" s="8"/>
      <c r="DE748" s="8"/>
      <c r="DF748" s="8"/>
      <c r="DG748" s="8"/>
      <c r="DH748" s="8"/>
      <c r="DI748" s="8"/>
      <c r="DJ748" s="8"/>
      <c r="DK748" s="8"/>
      <c r="DL748" s="8"/>
      <c r="DM748" s="8"/>
      <c r="DN748" s="8"/>
    </row>
    <row r="749" spans="2:118" ht="15.75" customHeight="1">
      <c r="B749" s="8"/>
      <c r="CU749" s="8"/>
      <c r="CV749" s="8"/>
      <c r="CW749" s="8"/>
      <c r="CX749" s="8"/>
      <c r="CY749" s="8"/>
      <c r="CZ749" s="8"/>
      <c r="DA749" s="8"/>
      <c r="DB749" s="8"/>
      <c r="DC749" s="8"/>
      <c r="DD749" s="8"/>
      <c r="DE749" s="8"/>
      <c r="DF749" s="8"/>
      <c r="DG749" s="8"/>
      <c r="DH749" s="8"/>
      <c r="DI749" s="8"/>
      <c r="DJ749" s="8"/>
      <c r="DK749" s="8"/>
      <c r="DL749" s="8"/>
      <c r="DM749" s="8"/>
      <c r="DN749" s="8"/>
    </row>
    <row r="750" spans="2:118" ht="15.75" customHeight="1">
      <c r="B750" s="8"/>
      <c r="CU750" s="8"/>
      <c r="CV750" s="8"/>
      <c r="CW750" s="8"/>
      <c r="CX750" s="8"/>
      <c r="CY750" s="8"/>
      <c r="CZ750" s="8"/>
      <c r="DA750" s="8"/>
      <c r="DB750" s="8"/>
      <c r="DC750" s="8"/>
      <c r="DD750" s="8"/>
      <c r="DE750" s="8"/>
      <c r="DF750" s="8"/>
      <c r="DG750" s="8"/>
      <c r="DH750" s="8"/>
      <c r="DI750" s="8"/>
      <c r="DJ750" s="8"/>
      <c r="DK750" s="8"/>
      <c r="DL750" s="8"/>
      <c r="DM750" s="8"/>
      <c r="DN750" s="8"/>
    </row>
    <row r="751" spans="2:118" ht="15.75" customHeight="1">
      <c r="B751" s="8"/>
      <c r="CU751" s="8"/>
      <c r="CV751" s="8"/>
      <c r="CW751" s="8"/>
      <c r="CX751" s="8"/>
      <c r="CY751" s="8"/>
      <c r="CZ751" s="8"/>
      <c r="DA751" s="8"/>
      <c r="DB751" s="8"/>
      <c r="DC751" s="8"/>
      <c r="DD751" s="8"/>
      <c r="DE751" s="8"/>
      <c r="DF751" s="8"/>
      <c r="DG751" s="8"/>
      <c r="DH751" s="8"/>
      <c r="DI751" s="8"/>
      <c r="DJ751" s="8"/>
      <c r="DK751" s="8"/>
      <c r="DL751" s="8"/>
      <c r="DM751" s="8"/>
      <c r="DN751" s="8"/>
    </row>
    <row r="752" spans="2:118" ht="15.75" customHeight="1">
      <c r="B752" s="8"/>
      <c r="CU752" s="8"/>
      <c r="CV752" s="8"/>
      <c r="CW752" s="8"/>
      <c r="CX752" s="8"/>
      <c r="CY752" s="8"/>
      <c r="CZ752" s="8"/>
      <c r="DA752" s="8"/>
      <c r="DB752" s="8"/>
      <c r="DC752" s="8"/>
      <c r="DD752" s="8"/>
      <c r="DE752" s="8"/>
      <c r="DF752" s="8"/>
      <c r="DG752" s="8"/>
      <c r="DH752" s="8"/>
      <c r="DI752" s="8"/>
      <c r="DJ752" s="8"/>
      <c r="DK752" s="8"/>
      <c r="DL752" s="8"/>
      <c r="DM752" s="8"/>
      <c r="DN752" s="8"/>
    </row>
    <row r="753" spans="2:118" ht="15.75" customHeight="1">
      <c r="B753" s="8"/>
      <c r="CU753" s="8"/>
      <c r="CV753" s="8"/>
      <c r="CW753" s="8"/>
      <c r="CX753" s="8"/>
      <c r="CY753" s="8"/>
      <c r="CZ753" s="8"/>
      <c r="DA753" s="8"/>
      <c r="DB753" s="8"/>
      <c r="DC753" s="8"/>
      <c r="DD753" s="8"/>
      <c r="DE753" s="8"/>
      <c r="DF753" s="8"/>
      <c r="DG753" s="8"/>
      <c r="DH753" s="8"/>
      <c r="DI753" s="8"/>
      <c r="DJ753" s="8"/>
      <c r="DK753" s="8"/>
      <c r="DL753" s="8"/>
      <c r="DM753" s="8"/>
      <c r="DN753" s="8"/>
    </row>
    <row r="754" spans="2:118" ht="15.75" customHeight="1">
      <c r="B754" s="8"/>
      <c r="CU754" s="8"/>
      <c r="CV754" s="8"/>
      <c r="CW754" s="8"/>
      <c r="CX754" s="8"/>
      <c r="CY754" s="8"/>
      <c r="CZ754" s="8"/>
      <c r="DA754" s="8"/>
      <c r="DB754" s="8"/>
      <c r="DC754" s="8"/>
      <c r="DD754" s="8"/>
      <c r="DE754" s="8"/>
      <c r="DF754" s="8"/>
      <c r="DG754" s="8"/>
      <c r="DH754" s="8"/>
      <c r="DI754" s="8"/>
      <c r="DJ754" s="8"/>
      <c r="DK754" s="8"/>
      <c r="DL754" s="8"/>
      <c r="DM754" s="8"/>
      <c r="DN754" s="8"/>
    </row>
    <row r="755" spans="2:118" ht="15.75" customHeight="1">
      <c r="B755" s="8"/>
      <c r="CU755" s="8"/>
      <c r="CV755" s="8"/>
      <c r="CW755" s="8"/>
      <c r="CX755" s="8"/>
      <c r="CY755" s="8"/>
      <c r="CZ755" s="8"/>
      <c r="DA755" s="8"/>
      <c r="DB755" s="8"/>
      <c r="DC755" s="8"/>
      <c r="DD755" s="8"/>
      <c r="DE755" s="8"/>
      <c r="DF755" s="8"/>
      <c r="DG755" s="8"/>
      <c r="DH755" s="8"/>
      <c r="DI755" s="8"/>
      <c r="DJ755" s="8"/>
      <c r="DK755" s="8"/>
      <c r="DL755" s="8"/>
      <c r="DM755" s="8"/>
      <c r="DN755" s="8"/>
    </row>
    <row r="756" spans="2:118" ht="15.75" customHeight="1">
      <c r="B756" s="8"/>
      <c r="CU756" s="8"/>
      <c r="CV756" s="8"/>
      <c r="CW756" s="8"/>
      <c r="CX756" s="8"/>
      <c r="CY756" s="8"/>
      <c r="CZ756" s="8"/>
      <c r="DA756" s="8"/>
      <c r="DB756" s="8"/>
      <c r="DC756" s="8"/>
      <c r="DD756" s="8"/>
      <c r="DE756" s="8"/>
      <c r="DF756" s="8"/>
      <c r="DG756" s="8"/>
      <c r="DH756" s="8"/>
      <c r="DI756" s="8"/>
      <c r="DJ756" s="8"/>
      <c r="DK756" s="8"/>
      <c r="DL756" s="8"/>
      <c r="DM756" s="8"/>
      <c r="DN756" s="8"/>
    </row>
    <row r="757" spans="2:118" ht="15.75" customHeight="1">
      <c r="B757" s="8"/>
      <c r="CU757" s="8"/>
      <c r="CV757" s="8"/>
      <c r="CW757" s="8"/>
      <c r="CX757" s="8"/>
      <c r="CY757" s="8"/>
      <c r="CZ757" s="8"/>
      <c r="DA757" s="8"/>
      <c r="DB757" s="8"/>
      <c r="DC757" s="8"/>
      <c r="DD757" s="8"/>
      <c r="DE757" s="8"/>
      <c r="DF757" s="8"/>
      <c r="DG757" s="8"/>
      <c r="DH757" s="8"/>
      <c r="DI757" s="8"/>
      <c r="DJ757" s="8"/>
      <c r="DK757" s="8"/>
      <c r="DL757" s="8"/>
      <c r="DM757" s="8"/>
      <c r="DN757" s="8"/>
    </row>
    <row r="758" spans="2:118" ht="15.75" customHeight="1">
      <c r="B758" s="8"/>
      <c r="CU758" s="8"/>
      <c r="CV758" s="8"/>
      <c r="CW758" s="8"/>
      <c r="CX758" s="8"/>
      <c r="CY758" s="8"/>
      <c r="CZ758" s="8"/>
      <c r="DA758" s="8"/>
      <c r="DB758" s="8"/>
      <c r="DC758" s="8"/>
      <c r="DD758" s="8"/>
      <c r="DE758" s="8"/>
      <c r="DF758" s="8"/>
      <c r="DG758" s="8"/>
      <c r="DH758" s="8"/>
      <c r="DI758" s="8"/>
      <c r="DJ758" s="8"/>
      <c r="DK758" s="8"/>
      <c r="DL758" s="8"/>
      <c r="DM758" s="8"/>
      <c r="DN758" s="8"/>
    </row>
    <row r="759" spans="2:118" ht="15.75" customHeight="1">
      <c r="B759" s="8"/>
      <c r="CU759" s="8"/>
      <c r="CV759" s="8"/>
      <c r="CW759" s="8"/>
      <c r="CX759" s="8"/>
      <c r="CY759" s="8"/>
      <c r="CZ759" s="8"/>
      <c r="DA759" s="8"/>
      <c r="DB759" s="8"/>
      <c r="DC759" s="8"/>
      <c r="DD759" s="8"/>
      <c r="DE759" s="8"/>
      <c r="DF759" s="8"/>
      <c r="DG759" s="8"/>
      <c r="DH759" s="8"/>
      <c r="DI759" s="8"/>
      <c r="DJ759" s="8"/>
      <c r="DK759" s="8"/>
      <c r="DL759" s="8"/>
      <c r="DM759" s="8"/>
      <c r="DN759" s="8"/>
    </row>
    <row r="760" spans="2:118" ht="15.75" customHeight="1">
      <c r="B760" s="8"/>
      <c r="CU760" s="8"/>
      <c r="CV760" s="8"/>
      <c r="CW760" s="8"/>
      <c r="CX760" s="8"/>
      <c r="CY760" s="8"/>
      <c r="CZ760" s="8"/>
      <c r="DA760" s="8"/>
      <c r="DB760" s="8"/>
      <c r="DC760" s="8"/>
      <c r="DD760" s="8"/>
      <c r="DE760" s="8"/>
      <c r="DF760" s="8"/>
      <c r="DG760" s="8"/>
      <c r="DH760" s="8"/>
      <c r="DI760" s="8"/>
      <c r="DJ760" s="8"/>
      <c r="DK760" s="8"/>
      <c r="DL760" s="8"/>
      <c r="DM760" s="8"/>
      <c r="DN760" s="8"/>
    </row>
    <row r="761" spans="2:118" ht="15.75" customHeight="1">
      <c r="B761" s="8"/>
      <c r="CU761" s="8"/>
      <c r="CV761" s="8"/>
      <c r="CW761" s="8"/>
      <c r="CX761" s="8"/>
      <c r="CY761" s="8"/>
      <c r="CZ761" s="8"/>
      <c r="DA761" s="8"/>
      <c r="DB761" s="8"/>
      <c r="DC761" s="8"/>
      <c r="DD761" s="8"/>
      <c r="DE761" s="8"/>
      <c r="DF761" s="8"/>
      <c r="DG761" s="8"/>
      <c r="DH761" s="8"/>
      <c r="DI761" s="8"/>
      <c r="DJ761" s="8"/>
      <c r="DK761" s="8"/>
      <c r="DL761" s="8"/>
      <c r="DM761" s="8"/>
      <c r="DN761" s="8"/>
    </row>
    <row r="762" spans="2:118" ht="15.75" customHeight="1">
      <c r="B762" s="8"/>
      <c r="CU762" s="8"/>
      <c r="CV762" s="8"/>
      <c r="CW762" s="8"/>
      <c r="CX762" s="8"/>
      <c r="CY762" s="8"/>
      <c r="CZ762" s="8"/>
      <c r="DA762" s="8"/>
      <c r="DB762" s="8"/>
      <c r="DC762" s="8"/>
      <c r="DD762" s="8"/>
      <c r="DE762" s="8"/>
      <c r="DF762" s="8"/>
      <c r="DG762" s="8"/>
      <c r="DH762" s="8"/>
      <c r="DI762" s="8"/>
      <c r="DJ762" s="8"/>
      <c r="DK762" s="8"/>
      <c r="DL762" s="8"/>
      <c r="DM762" s="8"/>
      <c r="DN762" s="8"/>
    </row>
    <row r="763" spans="2:118" ht="15.75" customHeight="1">
      <c r="B763" s="8"/>
      <c r="CU763" s="8"/>
      <c r="CV763" s="8"/>
      <c r="CW763" s="8"/>
      <c r="CX763" s="8"/>
      <c r="CY763" s="8"/>
      <c r="CZ763" s="8"/>
      <c r="DA763" s="8"/>
      <c r="DB763" s="8"/>
      <c r="DC763" s="8"/>
      <c r="DD763" s="8"/>
      <c r="DE763" s="8"/>
      <c r="DF763" s="8"/>
      <c r="DG763" s="8"/>
      <c r="DH763" s="8"/>
      <c r="DI763" s="8"/>
      <c r="DJ763" s="8"/>
      <c r="DK763" s="8"/>
      <c r="DL763" s="8"/>
      <c r="DM763" s="8"/>
      <c r="DN763" s="8"/>
    </row>
    <row r="764" spans="2:118" ht="15.75" customHeight="1">
      <c r="B764" s="8"/>
      <c r="CU764" s="8"/>
      <c r="CV764" s="8"/>
      <c r="CW764" s="8"/>
      <c r="CX764" s="8"/>
      <c r="CY764" s="8"/>
      <c r="CZ764" s="8"/>
      <c r="DA764" s="8"/>
      <c r="DB764" s="8"/>
      <c r="DC764" s="8"/>
      <c r="DD764" s="8"/>
      <c r="DE764" s="8"/>
      <c r="DF764" s="8"/>
      <c r="DG764" s="8"/>
      <c r="DH764" s="8"/>
      <c r="DI764" s="8"/>
      <c r="DJ764" s="8"/>
      <c r="DK764" s="8"/>
      <c r="DL764" s="8"/>
      <c r="DM764" s="8"/>
      <c r="DN764" s="8"/>
    </row>
    <row r="765" spans="2:118" ht="15.75" customHeight="1">
      <c r="B765" s="8"/>
      <c r="CU765" s="8"/>
      <c r="CV765" s="8"/>
      <c r="CW765" s="8"/>
      <c r="CX765" s="8"/>
      <c r="CY765" s="8"/>
      <c r="CZ765" s="8"/>
      <c r="DA765" s="8"/>
      <c r="DB765" s="8"/>
      <c r="DC765" s="8"/>
      <c r="DD765" s="8"/>
      <c r="DE765" s="8"/>
      <c r="DF765" s="8"/>
      <c r="DG765" s="8"/>
      <c r="DH765" s="8"/>
      <c r="DI765" s="8"/>
      <c r="DJ765" s="8"/>
      <c r="DK765" s="8"/>
      <c r="DL765" s="8"/>
      <c r="DM765" s="8"/>
      <c r="DN765" s="8"/>
    </row>
    <row r="766" spans="2:118" ht="15.75" customHeight="1">
      <c r="B766" s="8"/>
      <c r="CU766" s="8"/>
      <c r="CV766" s="8"/>
      <c r="CW766" s="8"/>
      <c r="CX766" s="8"/>
      <c r="CY766" s="8"/>
      <c r="CZ766" s="8"/>
      <c r="DA766" s="8"/>
      <c r="DB766" s="8"/>
      <c r="DC766" s="8"/>
      <c r="DD766" s="8"/>
      <c r="DE766" s="8"/>
      <c r="DF766" s="8"/>
      <c r="DG766" s="8"/>
      <c r="DH766" s="8"/>
      <c r="DI766" s="8"/>
      <c r="DJ766" s="8"/>
      <c r="DK766" s="8"/>
      <c r="DL766" s="8"/>
      <c r="DM766" s="8"/>
      <c r="DN766" s="8"/>
    </row>
    <row r="767" spans="2:118" ht="15.75" customHeight="1">
      <c r="B767" s="8"/>
      <c r="CU767" s="8"/>
      <c r="CV767" s="8"/>
      <c r="CW767" s="8"/>
      <c r="CX767" s="8"/>
      <c r="CY767" s="8"/>
      <c r="CZ767" s="8"/>
      <c r="DA767" s="8"/>
      <c r="DB767" s="8"/>
      <c r="DC767" s="8"/>
      <c r="DD767" s="8"/>
      <c r="DE767" s="8"/>
      <c r="DF767" s="8"/>
      <c r="DG767" s="8"/>
      <c r="DH767" s="8"/>
      <c r="DI767" s="8"/>
      <c r="DJ767" s="8"/>
      <c r="DK767" s="8"/>
      <c r="DL767" s="8"/>
      <c r="DM767" s="8"/>
      <c r="DN767" s="8"/>
    </row>
    <row r="768" spans="2:118" ht="15.75" customHeight="1">
      <c r="B768" s="8"/>
      <c r="CU768" s="8"/>
      <c r="CV768" s="8"/>
      <c r="CW768" s="8"/>
      <c r="CX768" s="8"/>
      <c r="CY768" s="8"/>
      <c r="CZ768" s="8"/>
      <c r="DA768" s="8"/>
      <c r="DB768" s="8"/>
      <c r="DC768" s="8"/>
      <c r="DD768" s="8"/>
      <c r="DE768" s="8"/>
      <c r="DF768" s="8"/>
      <c r="DG768" s="8"/>
      <c r="DH768" s="8"/>
      <c r="DI768" s="8"/>
      <c r="DJ768" s="8"/>
      <c r="DK768" s="8"/>
      <c r="DL768" s="8"/>
      <c r="DM768" s="8"/>
      <c r="DN768" s="8"/>
    </row>
    <row r="769" spans="2:118" ht="15.75" customHeight="1">
      <c r="B769" s="8"/>
      <c r="CU769" s="8"/>
      <c r="CV769" s="8"/>
      <c r="CW769" s="8"/>
      <c r="CX769" s="8"/>
      <c r="CY769" s="8"/>
      <c r="CZ769" s="8"/>
      <c r="DA769" s="8"/>
      <c r="DB769" s="8"/>
      <c r="DC769" s="8"/>
      <c r="DD769" s="8"/>
      <c r="DE769" s="8"/>
      <c r="DF769" s="8"/>
      <c r="DG769" s="8"/>
      <c r="DH769" s="8"/>
      <c r="DI769" s="8"/>
      <c r="DJ769" s="8"/>
      <c r="DK769" s="8"/>
      <c r="DL769" s="8"/>
      <c r="DM769" s="8"/>
      <c r="DN769" s="8"/>
    </row>
    <row r="770" spans="2:118" ht="15.75" customHeight="1">
      <c r="B770" s="8"/>
      <c r="CU770" s="8"/>
      <c r="CV770" s="8"/>
      <c r="CW770" s="8"/>
      <c r="CX770" s="8"/>
      <c r="CY770" s="8"/>
      <c r="CZ770" s="8"/>
      <c r="DA770" s="8"/>
      <c r="DB770" s="8"/>
      <c r="DC770" s="8"/>
      <c r="DD770" s="8"/>
      <c r="DE770" s="8"/>
      <c r="DF770" s="8"/>
      <c r="DG770" s="8"/>
      <c r="DH770" s="8"/>
      <c r="DI770" s="8"/>
      <c r="DJ770" s="8"/>
      <c r="DK770" s="8"/>
      <c r="DL770" s="8"/>
      <c r="DM770" s="8"/>
      <c r="DN770" s="8"/>
    </row>
    <row r="771" spans="2:118" ht="15.75" customHeight="1">
      <c r="B771" s="8"/>
      <c r="CU771" s="8"/>
      <c r="CV771" s="8"/>
      <c r="CW771" s="8"/>
      <c r="CX771" s="8"/>
      <c r="CY771" s="8"/>
      <c r="CZ771" s="8"/>
      <c r="DA771" s="8"/>
      <c r="DB771" s="8"/>
      <c r="DC771" s="8"/>
      <c r="DD771" s="8"/>
      <c r="DE771" s="8"/>
      <c r="DF771" s="8"/>
      <c r="DG771" s="8"/>
      <c r="DH771" s="8"/>
      <c r="DI771" s="8"/>
      <c r="DJ771" s="8"/>
      <c r="DK771" s="8"/>
      <c r="DL771" s="8"/>
      <c r="DM771" s="8"/>
      <c r="DN771" s="8"/>
    </row>
    <row r="772" spans="2:118" ht="15.75" customHeight="1">
      <c r="B772" s="8"/>
      <c r="CU772" s="8"/>
      <c r="CV772" s="8"/>
      <c r="CW772" s="8"/>
      <c r="CX772" s="8"/>
      <c r="CY772" s="8"/>
      <c r="CZ772" s="8"/>
      <c r="DA772" s="8"/>
      <c r="DB772" s="8"/>
      <c r="DC772" s="8"/>
      <c r="DD772" s="8"/>
      <c r="DE772" s="8"/>
      <c r="DF772" s="8"/>
      <c r="DG772" s="8"/>
      <c r="DH772" s="8"/>
      <c r="DI772" s="8"/>
      <c r="DJ772" s="8"/>
      <c r="DK772" s="8"/>
      <c r="DL772" s="8"/>
      <c r="DM772" s="8"/>
      <c r="DN772" s="8"/>
    </row>
    <row r="773" spans="2:118" ht="15.75" customHeight="1">
      <c r="B773" s="8"/>
      <c r="CU773" s="8"/>
      <c r="CV773" s="8"/>
      <c r="CW773" s="8"/>
      <c r="CX773" s="8"/>
      <c r="CY773" s="8"/>
      <c r="CZ773" s="8"/>
      <c r="DA773" s="8"/>
      <c r="DB773" s="8"/>
      <c r="DC773" s="8"/>
      <c r="DD773" s="8"/>
      <c r="DE773" s="8"/>
      <c r="DF773" s="8"/>
      <c r="DG773" s="8"/>
      <c r="DH773" s="8"/>
      <c r="DI773" s="8"/>
      <c r="DJ773" s="8"/>
      <c r="DK773" s="8"/>
      <c r="DL773" s="8"/>
      <c r="DM773" s="8"/>
      <c r="DN773" s="8"/>
    </row>
    <row r="774" spans="2:118" ht="15.75" customHeight="1">
      <c r="B774" s="8"/>
      <c r="CU774" s="8"/>
      <c r="CV774" s="8"/>
      <c r="CW774" s="8"/>
      <c r="CX774" s="8"/>
      <c r="CY774" s="8"/>
      <c r="CZ774" s="8"/>
      <c r="DA774" s="8"/>
      <c r="DB774" s="8"/>
      <c r="DC774" s="8"/>
      <c r="DD774" s="8"/>
      <c r="DE774" s="8"/>
      <c r="DF774" s="8"/>
      <c r="DG774" s="8"/>
      <c r="DH774" s="8"/>
      <c r="DI774" s="8"/>
      <c r="DJ774" s="8"/>
      <c r="DK774" s="8"/>
      <c r="DL774" s="8"/>
      <c r="DM774" s="8"/>
      <c r="DN774" s="8"/>
    </row>
    <row r="775" spans="2:118" ht="15.75" customHeight="1">
      <c r="B775" s="8"/>
      <c r="CU775" s="8"/>
      <c r="CV775" s="8"/>
      <c r="CW775" s="8"/>
      <c r="CX775" s="8"/>
      <c r="CY775" s="8"/>
      <c r="CZ775" s="8"/>
      <c r="DA775" s="8"/>
      <c r="DB775" s="8"/>
      <c r="DC775" s="8"/>
      <c r="DD775" s="8"/>
      <c r="DE775" s="8"/>
      <c r="DF775" s="8"/>
      <c r="DG775" s="8"/>
      <c r="DH775" s="8"/>
      <c r="DI775" s="8"/>
      <c r="DJ775" s="8"/>
      <c r="DK775" s="8"/>
      <c r="DL775" s="8"/>
      <c r="DM775" s="8"/>
      <c r="DN775" s="8"/>
    </row>
    <row r="776" spans="2:118" ht="15.75" customHeight="1">
      <c r="B776" s="8"/>
      <c r="CU776" s="8"/>
      <c r="CV776" s="8"/>
      <c r="CW776" s="8"/>
      <c r="CX776" s="8"/>
      <c r="CY776" s="8"/>
      <c r="CZ776" s="8"/>
      <c r="DA776" s="8"/>
      <c r="DB776" s="8"/>
      <c r="DC776" s="8"/>
      <c r="DD776" s="8"/>
      <c r="DE776" s="8"/>
      <c r="DF776" s="8"/>
      <c r="DG776" s="8"/>
      <c r="DH776" s="8"/>
      <c r="DI776" s="8"/>
      <c r="DJ776" s="8"/>
      <c r="DK776" s="8"/>
      <c r="DL776" s="8"/>
      <c r="DM776" s="8"/>
      <c r="DN776" s="8"/>
    </row>
    <row r="777" spans="2:118" ht="15.75" customHeight="1">
      <c r="B777" s="8"/>
      <c r="CU777" s="8"/>
      <c r="CV777" s="8"/>
      <c r="CW777" s="8"/>
      <c r="CX777" s="8"/>
      <c r="CY777" s="8"/>
      <c r="CZ777" s="8"/>
      <c r="DA777" s="8"/>
      <c r="DB777" s="8"/>
      <c r="DC777" s="8"/>
      <c r="DD777" s="8"/>
      <c r="DE777" s="8"/>
      <c r="DF777" s="8"/>
      <c r="DG777" s="8"/>
      <c r="DH777" s="8"/>
      <c r="DI777" s="8"/>
      <c r="DJ777" s="8"/>
      <c r="DK777" s="8"/>
      <c r="DL777" s="8"/>
      <c r="DM777" s="8"/>
      <c r="DN777" s="8"/>
    </row>
    <row r="778" spans="2:118" ht="15.75" customHeight="1">
      <c r="B778" s="8"/>
      <c r="CU778" s="8"/>
      <c r="CV778" s="8"/>
      <c r="CW778" s="8"/>
      <c r="CX778" s="8"/>
      <c r="CY778" s="8"/>
      <c r="CZ778" s="8"/>
      <c r="DA778" s="8"/>
      <c r="DB778" s="8"/>
      <c r="DC778" s="8"/>
      <c r="DD778" s="8"/>
      <c r="DE778" s="8"/>
      <c r="DF778" s="8"/>
      <c r="DG778" s="8"/>
      <c r="DH778" s="8"/>
      <c r="DI778" s="8"/>
      <c r="DJ778" s="8"/>
      <c r="DK778" s="8"/>
      <c r="DL778" s="8"/>
      <c r="DM778" s="8"/>
      <c r="DN778" s="8"/>
    </row>
    <row r="779" spans="2:118" ht="15.75" customHeight="1">
      <c r="B779" s="8"/>
      <c r="CU779" s="8"/>
      <c r="CV779" s="8"/>
      <c r="CW779" s="8"/>
      <c r="CX779" s="8"/>
      <c r="CY779" s="8"/>
      <c r="CZ779" s="8"/>
      <c r="DA779" s="8"/>
      <c r="DB779" s="8"/>
      <c r="DC779" s="8"/>
      <c r="DD779" s="8"/>
      <c r="DE779" s="8"/>
      <c r="DF779" s="8"/>
      <c r="DG779" s="8"/>
      <c r="DH779" s="8"/>
      <c r="DI779" s="8"/>
      <c r="DJ779" s="8"/>
      <c r="DK779" s="8"/>
      <c r="DL779" s="8"/>
      <c r="DM779" s="8"/>
      <c r="DN779" s="8"/>
    </row>
    <row r="780" spans="2:118" ht="15.75" customHeight="1">
      <c r="B780" s="8"/>
      <c r="CU780" s="8"/>
      <c r="CV780" s="8"/>
      <c r="CW780" s="8"/>
      <c r="CX780" s="8"/>
      <c r="CY780" s="8"/>
      <c r="CZ780" s="8"/>
      <c r="DA780" s="8"/>
      <c r="DB780" s="8"/>
      <c r="DC780" s="8"/>
      <c r="DD780" s="8"/>
      <c r="DE780" s="8"/>
      <c r="DF780" s="8"/>
      <c r="DG780" s="8"/>
      <c r="DH780" s="8"/>
      <c r="DI780" s="8"/>
      <c r="DJ780" s="8"/>
      <c r="DK780" s="8"/>
      <c r="DL780" s="8"/>
      <c r="DM780" s="8"/>
      <c r="DN780" s="8"/>
    </row>
    <row r="781" spans="2:118" ht="15.75" customHeight="1">
      <c r="B781" s="8"/>
      <c r="CU781" s="8"/>
      <c r="CV781" s="8"/>
      <c r="CW781" s="8"/>
      <c r="CX781" s="8"/>
      <c r="CY781" s="8"/>
      <c r="CZ781" s="8"/>
      <c r="DA781" s="8"/>
      <c r="DB781" s="8"/>
      <c r="DC781" s="8"/>
      <c r="DD781" s="8"/>
      <c r="DE781" s="8"/>
      <c r="DF781" s="8"/>
      <c r="DG781" s="8"/>
      <c r="DH781" s="8"/>
      <c r="DI781" s="8"/>
      <c r="DJ781" s="8"/>
      <c r="DK781" s="8"/>
      <c r="DL781" s="8"/>
      <c r="DM781" s="8"/>
      <c r="DN781" s="8"/>
    </row>
    <row r="782" spans="2:118" ht="15.75" customHeight="1">
      <c r="B782" s="8"/>
      <c r="CU782" s="8"/>
      <c r="CV782" s="8"/>
      <c r="CW782" s="8"/>
      <c r="CX782" s="8"/>
      <c r="CY782" s="8"/>
      <c r="CZ782" s="8"/>
      <c r="DA782" s="8"/>
      <c r="DB782" s="8"/>
      <c r="DC782" s="8"/>
      <c r="DD782" s="8"/>
      <c r="DE782" s="8"/>
      <c r="DF782" s="8"/>
      <c r="DG782" s="8"/>
      <c r="DH782" s="8"/>
      <c r="DI782" s="8"/>
      <c r="DJ782" s="8"/>
      <c r="DK782" s="8"/>
      <c r="DL782" s="8"/>
      <c r="DM782" s="8"/>
      <c r="DN782" s="8"/>
    </row>
    <row r="783" spans="2:118" ht="15.75" customHeight="1">
      <c r="B783" s="8"/>
      <c r="CU783" s="8"/>
      <c r="CV783" s="8"/>
      <c r="CW783" s="8"/>
      <c r="CX783" s="8"/>
      <c r="CY783" s="8"/>
      <c r="CZ783" s="8"/>
      <c r="DA783" s="8"/>
      <c r="DB783" s="8"/>
      <c r="DC783" s="8"/>
      <c r="DD783" s="8"/>
      <c r="DE783" s="8"/>
      <c r="DF783" s="8"/>
      <c r="DG783" s="8"/>
      <c r="DH783" s="8"/>
      <c r="DI783" s="8"/>
      <c r="DJ783" s="8"/>
      <c r="DK783" s="8"/>
      <c r="DL783" s="8"/>
      <c r="DM783" s="8"/>
      <c r="DN783" s="8"/>
    </row>
    <row r="784" spans="2:118" ht="15.75" customHeight="1">
      <c r="B784" s="8"/>
      <c r="CU784" s="8"/>
      <c r="CV784" s="8"/>
      <c r="CW784" s="8"/>
      <c r="CX784" s="8"/>
      <c r="CY784" s="8"/>
      <c r="CZ784" s="8"/>
      <c r="DA784" s="8"/>
      <c r="DB784" s="8"/>
      <c r="DC784" s="8"/>
      <c r="DD784" s="8"/>
      <c r="DE784" s="8"/>
      <c r="DF784" s="8"/>
      <c r="DG784" s="8"/>
      <c r="DH784" s="8"/>
      <c r="DI784" s="8"/>
      <c r="DJ784" s="8"/>
      <c r="DK784" s="8"/>
      <c r="DL784" s="8"/>
      <c r="DM784" s="8"/>
      <c r="DN784" s="8"/>
    </row>
    <row r="785" spans="2:118" ht="15.75" customHeight="1">
      <c r="B785" s="8"/>
      <c r="CU785" s="8"/>
      <c r="CV785" s="8"/>
      <c r="CW785" s="8"/>
      <c r="CX785" s="8"/>
      <c r="CY785" s="8"/>
      <c r="CZ785" s="8"/>
      <c r="DA785" s="8"/>
      <c r="DB785" s="8"/>
      <c r="DC785" s="8"/>
      <c r="DD785" s="8"/>
      <c r="DE785" s="8"/>
      <c r="DF785" s="8"/>
      <c r="DG785" s="8"/>
      <c r="DH785" s="8"/>
      <c r="DI785" s="8"/>
      <c r="DJ785" s="8"/>
      <c r="DK785" s="8"/>
      <c r="DL785" s="8"/>
      <c r="DM785" s="8"/>
      <c r="DN785" s="8"/>
    </row>
    <row r="786" spans="2:118" ht="15.75" customHeight="1">
      <c r="B786" s="8"/>
      <c r="CU786" s="8"/>
      <c r="CV786" s="8"/>
      <c r="CW786" s="8"/>
      <c r="CX786" s="8"/>
      <c r="CY786" s="8"/>
      <c r="CZ786" s="8"/>
      <c r="DA786" s="8"/>
      <c r="DB786" s="8"/>
      <c r="DC786" s="8"/>
      <c r="DD786" s="8"/>
      <c r="DE786" s="8"/>
      <c r="DF786" s="8"/>
      <c r="DG786" s="8"/>
      <c r="DH786" s="8"/>
      <c r="DI786" s="8"/>
      <c r="DJ786" s="8"/>
      <c r="DK786" s="8"/>
      <c r="DL786" s="8"/>
      <c r="DM786" s="8"/>
      <c r="DN786" s="8"/>
    </row>
    <row r="787" spans="2:118" ht="15.75" customHeight="1">
      <c r="B787" s="8"/>
      <c r="CU787" s="8"/>
      <c r="CV787" s="8"/>
      <c r="CW787" s="8"/>
      <c r="CX787" s="8"/>
      <c r="CY787" s="8"/>
      <c r="CZ787" s="8"/>
      <c r="DA787" s="8"/>
      <c r="DB787" s="8"/>
      <c r="DC787" s="8"/>
      <c r="DD787" s="8"/>
      <c r="DE787" s="8"/>
      <c r="DF787" s="8"/>
      <c r="DG787" s="8"/>
      <c r="DH787" s="8"/>
      <c r="DI787" s="8"/>
      <c r="DJ787" s="8"/>
      <c r="DK787" s="8"/>
      <c r="DL787" s="8"/>
      <c r="DM787" s="8"/>
      <c r="DN787" s="8"/>
    </row>
    <row r="788" spans="2:118" ht="15.75" customHeight="1">
      <c r="B788" s="8"/>
      <c r="CU788" s="8"/>
      <c r="CV788" s="8"/>
      <c r="CW788" s="8"/>
      <c r="CX788" s="8"/>
      <c r="CY788" s="8"/>
      <c r="CZ788" s="8"/>
      <c r="DA788" s="8"/>
      <c r="DB788" s="8"/>
      <c r="DC788" s="8"/>
      <c r="DD788" s="8"/>
      <c r="DE788" s="8"/>
      <c r="DF788" s="8"/>
      <c r="DG788" s="8"/>
      <c r="DH788" s="8"/>
      <c r="DI788" s="8"/>
      <c r="DJ788" s="8"/>
      <c r="DK788" s="8"/>
      <c r="DL788" s="8"/>
      <c r="DM788" s="8"/>
      <c r="DN788" s="8"/>
    </row>
    <row r="789" spans="2:118" ht="15.75" customHeight="1">
      <c r="B789" s="8"/>
      <c r="CU789" s="8"/>
      <c r="CV789" s="8"/>
      <c r="CW789" s="8"/>
      <c r="CX789" s="8"/>
      <c r="CY789" s="8"/>
      <c r="CZ789" s="8"/>
      <c r="DA789" s="8"/>
      <c r="DB789" s="8"/>
      <c r="DC789" s="8"/>
      <c r="DD789" s="8"/>
      <c r="DE789" s="8"/>
      <c r="DF789" s="8"/>
      <c r="DG789" s="8"/>
      <c r="DH789" s="8"/>
      <c r="DI789" s="8"/>
      <c r="DJ789" s="8"/>
      <c r="DK789" s="8"/>
      <c r="DL789" s="8"/>
      <c r="DM789" s="8"/>
      <c r="DN789" s="8"/>
    </row>
    <row r="790" spans="2:118" ht="15.75" customHeight="1">
      <c r="B790" s="8"/>
      <c r="CU790" s="8"/>
      <c r="CV790" s="8"/>
      <c r="CW790" s="8"/>
      <c r="CX790" s="8"/>
      <c r="CY790" s="8"/>
      <c r="CZ790" s="8"/>
      <c r="DA790" s="8"/>
      <c r="DB790" s="8"/>
      <c r="DC790" s="8"/>
      <c r="DD790" s="8"/>
      <c r="DE790" s="8"/>
      <c r="DF790" s="8"/>
      <c r="DG790" s="8"/>
      <c r="DH790" s="8"/>
      <c r="DI790" s="8"/>
      <c r="DJ790" s="8"/>
      <c r="DK790" s="8"/>
      <c r="DL790" s="8"/>
      <c r="DM790" s="8"/>
      <c r="DN790" s="8"/>
    </row>
    <row r="791" spans="2:118" ht="15.75" customHeight="1">
      <c r="B791" s="8"/>
      <c r="CU791" s="8"/>
      <c r="CV791" s="8"/>
      <c r="CW791" s="8"/>
      <c r="CX791" s="8"/>
      <c r="CY791" s="8"/>
      <c r="CZ791" s="8"/>
      <c r="DA791" s="8"/>
      <c r="DB791" s="8"/>
      <c r="DC791" s="8"/>
      <c r="DD791" s="8"/>
      <c r="DE791" s="8"/>
      <c r="DF791" s="8"/>
      <c r="DG791" s="8"/>
      <c r="DH791" s="8"/>
      <c r="DI791" s="8"/>
      <c r="DJ791" s="8"/>
      <c r="DK791" s="8"/>
      <c r="DL791" s="8"/>
      <c r="DM791" s="8"/>
      <c r="DN791" s="8"/>
    </row>
    <row r="792" spans="2:118" ht="15.75" customHeight="1">
      <c r="B792" s="8"/>
      <c r="CU792" s="8"/>
      <c r="CV792" s="8"/>
      <c r="CW792" s="8"/>
      <c r="CX792" s="8"/>
      <c r="CY792" s="8"/>
      <c r="CZ792" s="8"/>
      <c r="DA792" s="8"/>
      <c r="DB792" s="8"/>
      <c r="DC792" s="8"/>
      <c r="DD792" s="8"/>
      <c r="DE792" s="8"/>
      <c r="DF792" s="8"/>
      <c r="DG792" s="8"/>
      <c r="DH792" s="8"/>
      <c r="DI792" s="8"/>
      <c r="DJ792" s="8"/>
      <c r="DK792" s="8"/>
      <c r="DL792" s="8"/>
      <c r="DM792" s="8"/>
      <c r="DN792" s="8"/>
    </row>
    <row r="793" spans="2:118" ht="15.75" customHeight="1">
      <c r="B793" s="8"/>
      <c r="CU793" s="8"/>
      <c r="CV793" s="8"/>
      <c r="CW793" s="8"/>
      <c r="CX793" s="8"/>
      <c r="CY793" s="8"/>
      <c r="CZ793" s="8"/>
      <c r="DA793" s="8"/>
      <c r="DB793" s="8"/>
      <c r="DC793" s="8"/>
      <c r="DD793" s="8"/>
      <c r="DE793" s="8"/>
      <c r="DF793" s="8"/>
      <c r="DG793" s="8"/>
      <c r="DH793" s="8"/>
      <c r="DI793" s="8"/>
      <c r="DJ793" s="8"/>
      <c r="DK793" s="8"/>
      <c r="DL793" s="8"/>
      <c r="DM793" s="8"/>
      <c r="DN793" s="8"/>
    </row>
    <row r="794" spans="2:118" ht="15.75" customHeight="1">
      <c r="B794" s="8"/>
      <c r="CU794" s="8"/>
      <c r="CV794" s="8"/>
      <c r="CW794" s="8"/>
      <c r="CX794" s="8"/>
      <c r="CY794" s="8"/>
      <c r="CZ794" s="8"/>
      <c r="DA794" s="8"/>
      <c r="DB794" s="8"/>
      <c r="DC794" s="8"/>
      <c r="DD794" s="8"/>
      <c r="DE794" s="8"/>
      <c r="DF794" s="8"/>
      <c r="DG794" s="8"/>
      <c r="DH794" s="8"/>
      <c r="DI794" s="8"/>
      <c r="DJ794" s="8"/>
      <c r="DK794" s="8"/>
      <c r="DL794" s="8"/>
      <c r="DM794" s="8"/>
      <c r="DN794" s="8"/>
    </row>
    <row r="795" spans="2:118" ht="15.75" customHeight="1">
      <c r="B795" s="8"/>
      <c r="CU795" s="8"/>
      <c r="CV795" s="8"/>
      <c r="CW795" s="8"/>
      <c r="CX795" s="8"/>
      <c r="CY795" s="8"/>
      <c r="CZ795" s="8"/>
      <c r="DA795" s="8"/>
      <c r="DB795" s="8"/>
      <c r="DC795" s="8"/>
      <c r="DD795" s="8"/>
      <c r="DE795" s="8"/>
      <c r="DF795" s="8"/>
      <c r="DG795" s="8"/>
      <c r="DH795" s="8"/>
      <c r="DI795" s="8"/>
      <c r="DJ795" s="8"/>
      <c r="DK795" s="8"/>
      <c r="DL795" s="8"/>
      <c r="DM795" s="8"/>
      <c r="DN795" s="8"/>
    </row>
    <row r="796" spans="2:118" ht="15.75" customHeight="1">
      <c r="B796" s="8"/>
      <c r="CU796" s="8"/>
      <c r="CV796" s="8"/>
      <c r="CW796" s="8"/>
      <c r="CX796" s="8"/>
      <c r="CY796" s="8"/>
      <c r="CZ796" s="8"/>
      <c r="DA796" s="8"/>
      <c r="DB796" s="8"/>
      <c r="DC796" s="8"/>
      <c r="DD796" s="8"/>
      <c r="DE796" s="8"/>
      <c r="DF796" s="8"/>
      <c r="DG796" s="8"/>
      <c r="DH796" s="8"/>
      <c r="DI796" s="8"/>
      <c r="DJ796" s="8"/>
      <c r="DK796" s="8"/>
      <c r="DL796" s="8"/>
      <c r="DM796" s="8"/>
      <c r="DN796" s="8"/>
    </row>
    <row r="797" spans="2:118" ht="15.75" customHeight="1">
      <c r="B797" s="8"/>
      <c r="CU797" s="8"/>
      <c r="CV797" s="8"/>
      <c r="CW797" s="8"/>
      <c r="CX797" s="8"/>
      <c r="CY797" s="8"/>
      <c r="CZ797" s="8"/>
      <c r="DA797" s="8"/>
      <c r="DB797" s="8"/>
      <c r="DC797" s="8"/>
      <c r="DD797" s="8"/>
      <c r="DE797" s="8"/>
      <c r="DF797" s="8"/>
      <c r="DG797" s="8"/>
      <c r="DH797" s="8"/>
      <c r="DI797" s="8"/>
      <c r="DJ797" s="8"/>
      <c r="DK797" s="8"/>
      <c r="DL797" s="8"/>
      <c r="DM797" s="8"/>
      <c r="DN797" s="8"/>
    </row>
    <row r="798" spans="2:118" ht="15.75" customHeight="1">
      <c r="B798" s="8"/>
      <c r="CU798" s="8"/>
      <c r="CV798" s="8"/>
      <c r="CW798" s="8"/>
      <c r="CX798" s="8"/>
      <c r="CY798" s="8"/>
      <c r="CZ798" s="8"/>
      <c r="DA798" s="8"/>
      <c r="DB798" s="8"/>
      <c r="DC798" s="8"/>
      <c r="DD798" s="8"/>
      <c r="DE798" s="8"/>
      <c r="DF798" s="8"/>
      <c r="DG798" s="8"/>
      <c r="DH798" s="8"/>
      <c r="DI798" s="8"/>
      <c r="DJ798" s="8"/>
      <c r="DK798" s="8"/>
      <c r="DL798" s="8"/>
      <c r="DM798" s="8"/>
      <c r="DN798" s="8"/>
    </row>
    <row r="799" spans="2:118" ht="15.75" customHeight="1">
      <c r="B799" s="8"/>
      <c r="CU799" s="8"/>
      <c r="CV799" s="8"/>
      <c r="CW799" s="8"/>
      <c r="CX799" s="8"/>
      <c r="CY799" s="8"/>
      <c r="CZ799" s="8"/>
      <c r="DA799" s="8"/>
      <c r="DB799" s="8"/>
      <c r="DC799" s="8"/>
      <c r="DD799" s="8"/>
      <c r="DE799" s="8"/>
      <c r="DF799" s="8"/>
      <c r="DG799" s="8"/>
      <c r="DH799" s="8"/>
      <c r="DI799" s="8"/>
      <c r="DJ799" s="8"/>
      <c r="DK799" s="8"/>
      <c r="DL799" s="8"/>
      <c r="DM799" s="8"/>
      <c r="DN799" s="8"/>
    </row>
    <row r="800" spans="2:118" ht="15.75" customHeight="1">
      <c r="B800" s="8"/>
      <c r="CU800" s="8"/>
      <c r="CV800" s="8"/>
      <c r="CW800" s="8"/>
      <c r="CX800" s="8"/>
      <c r="CY800" s="8"/>
      <c r="CZ800" s="8"/>
      <c r="DA800" s="8"/>
      <c r="DB800" s="8"/>
      <c r="DC800" s="8"/>
      <c r="DD800" s="8"/>
      <c r="DE800" s="8"/>
      <c r="DF800" s="8"/>
      <c r="DG800" s="8"/>
      <c r="DH800" s="8"/>
      <c r="DI800" s="8"/>
      <c r="DJ800" s="8"/>
      <c r="DK800" s="8"/>
      <c r="DL800" s="8"/>
      <c r="DM800" s="8"/>
      <c r="DN800" s="8"/>
    </row>
    <row r="801" spans="2:118" ht="15.75" customHeight="1">
      <c r="B801" s="8"/>
      <c r="CU801" s="8"/>
      <c r="CV801" s="8"/>
      <c r="CW801" s="8"/>
      <c r="CX801" s="8"/>
      <c r="CY801" s="8"/>
      <c r="CZ801" s="8"/>
      <c r="DA801" s="8"/>
      <c r="DB801" s="8"/>
      <c r="DC801" s="8"/>
      <c r="DD801" s="8"/>
      <c r="DE801" s="8"/>
      <c r="DF801" s="8"/>
      <c r="DG801" s="8"/>
      <c r="DH801" s="8"/>
      <c r="DI801" s="8"/>
      <c r="DJ801" s="8"/>
      <c r="DK801" s="8"/>
      <c r="DL801" s="8"/>
      <c r="DM801" s="8"/>
      <c r="DN801" s="8"/>
    </row>
    <row r="802" spans="2:118" ht="15.75" customHeight="1">
      <c r="B802" s="8"/>
      <c r="CU802" s="8"/>
      <c r="CV802" s="8"/>
      <c r="CW802" s="8"/>
      <c r="CX802" s="8"/>
      <c r="CY802" s="8"/>
      <c r="CZ802" s="8"/>
      <c r="DA802" s="8"/>
      <c r="DB802" s="8"/>
      <c r="DC802" s="8"/>
      <c r="DD802" s="8"/>
      <c r="DE802" s="8"/>
      <c r="DF802" s="8"/>
      <c r="DG802" s="8"/>
      <c r="DH802" s="8"/>
      <c r="DI802" s="8"/>
      <c r="DJ802" s="8"/>
      <c r="DK802" s="8"/>
      <c r="DL802" s="8"/>
      <c r="DM802" s="8"/>
      <c r="DN802" s="8"/>
    </row>
    <row r="803" spans="2:118" ht="15.75" customHeight="1">
      <c r="B803" s="8"/>
      <c r="CU803" s="8"/>
      <c r="CV803" s="8"/>
      <c r="CW803" s="8"/>
      <c r="CX803" s="8"/>
      <c r="CY803" s="8"/>
      <c r="CZ803" s="8"/>
      <c r="DA803" s="8"/>
      <c r="DB803" s="8"/>
      <c r="DC803" s="8"/>
      <c r="DD803" s="8"/>
      <c r="DE803" s="8"/>
      <c r="DF803" s="8"/>
      <c r="DG803" s="8"/>
      <c r="DH803" s="8"/>
      <c r="DI803" s="8"/>
      <c r="DJ803" s="8"/>
      <c r="DK803" s="8"/>
      <c r="DL803" s="8"/>
      <c r="DM803" s="8"/>
      <c r="DN803" s="8"/>
    </row>
    <row r="804" spans="2:118" ht="15.75" customHeight="1">
      <c r="B804" s="8"/>
      <c r="CU804" s="8"/>
      <c r="CV804" s="8"/>
      <c r="CW804" s="8"/>
      <c r="CX804" s="8"/>
      <c r="CY804" s="8"/>
      <c r="CZ804" s="8"/>
      <c r="DA804" s="8"/>
      <c r="DB804" s="8"/>
      <c r="DC804" s="8"/>
      <c r="DD804" s="8"/>
      <c r="DE804" s="8"/>
      <c r="DF804" s="8"/>
      <c r="DG804" s="8"/>
      <c r="DH804" s="8"/>
      <c r="DI804" s="8"/>
      <c r="DJ804" s="8"/>
      <c r="DK804" s="8"/>
      <c r="DL804" s="8"/>
      <c r="DM804" s="8"/>
      <c r="DN804" s="8"/>
    </row>
    <row r="805" spans="2:118" ht="15.75" customHeight="1">
      <c r="B805" s="8"/>
      <c r="CU805" s="8"/>
      <c r="CV805" s="8"/>
      <c r="CW805" s="8"/>
      <c r="CX805" s="8"/>
      <c r="CY805" s="8"/>
      <c r="CZ805" s="8"/>
      <c r="DA805" s="8"/>
      <c r="DB805" s="8"/>
      <c r="DC805" s="8"/>
      <c r="DD805" s="8"/>
      <c r="DE805" s="8"/>
      <c r="DF805" s="8"/>
      <c r="DG805" s="8"/>
      <c r="DH805" s="8"/>
      <c r="DI805" s="8"/>
      <c r="DJ805" s="8"/>
      <c r="DK805" s="8"/>
      <c r="DL805" s="8"/>
      <c r="DM805" s="8"/>
      <c r="DN805" s="8"/>
    </row>
    <row r="806" spans="2:118" ht="15.75" customHeight="1">
      <c r="B806" s="8"/>
      <c r="CU806" s="8"/>
      <c r="CV806" s="8"/>
      <c r="CW806" s="8"/>
      <c r="CX806" s="8"/>
      <c r="CY806" s="8"/>
      <c r="CZ806" s="8"/>
      <c r="DA806" s="8"/>
      <c r="DB806" s="8"/>
      <c r="DC806" s="8"/>
      <c r="DD806" s="8"/>
      <c r="DE806" s="8"/>
      <c r="DF806" s="8"/>
      <c r="DG806" s="8"/>
      <c r="DH806" s="8"/>
      <c r="DI806" s="8"/>
      <c r="DJ806" s="8"/>
      <c r="DK806" s="8"/>
      <c r="DL806" s="8"/>
      <c r="DM806" s="8"/>
      <c r="DN806" s="8"/>
    </row>
    <row r="807" spans="2:118" ht="15.75" customHeight="1">
      <c r="B807" s="8"/>
      <c r="CU807" s="8"/>
      <c r="CV807" s="8"/>
      <c r="CW807" s="8"/>
      <c r="CX807" s="8"/>
      <c r="CY807" s="8"/>
      <c r="CZ807" s="8"/>
      <c r="DA807" s="8"/>
      <c r="DB807" s="8"/>
      <c r="DC807" s="8"/>
      <c r="DD807" s="8"/>
      <c r="DE807" s="8"/>
      <c r="DF807" s="8"/>
      <c r="DG807" s="8"/>
      <c r="DH807" s="8"/>
      <c r="DI807" s="8"/>
      <c r="DJ807" s="8"/>
      <c r="DK807" s="8"/>
      <c r="DL807" s="8"/>
      <c r="DM807" s="8"/>
      <c r="DN807" s="8"/>
    </row>
    <row r="808" spans="2:118" ht="15.75" customHeight="1">
      <c r="B808" s="8"/>
      <c r="CU808" s="8"/>
      <c r="CV808" s="8"/>
      <c r="CW808" s="8"/>
      <c r="CX808" s="8"/>
      <c r="CY808" s="8"/>
      <c r="CZ808" s="8"/>
      <c r="DA808" s="8"/>
      <c r="DB808" s="8"/>
      <c r="DC808" s="8"/>
      <c r="DD808" s="8"/>
      <c r="DE808" s="8"/>
      <c r="DF808" s="8"/>
      <c r="DG808" s="8"/>
      <c r="DH808" s="8"/>
      <c r="DI808" s="8"/>
      <c r="DJ808" s="8"/>
      <c r="DK808" s="8"/>
      <c r="DL808" s="8"/>
      <c r="DM808" s="8"/>
      <c r="DN808" s="8"/>
    </row>
    <row r="809" spans="2:118" ht="15.75" customHeight="1">
      <c r="B809" s="8"/>
      <c r="CU809" s="8"/>
      <c r="CV809" s="8"/>
      <c r="CW809" s="8"/>
      <c r="CX809" s="8"/>
      <c r="CY809" s="8"/>
      <c r="CZ809" s="8"/>
      <c r="DA809" s="8"/>
      <c r="DB809" s="8"/>
      <c r="DC809" s="8"/>
      <c r="DD809" s="8"/>
      <c r="DE809" s="8"/>
      <c r="DF809" s="8"/>
      <c r="DG809" s="8"/>
      <c r="DH809" s="8"/>
      <c r="DI809" s="8"/>
      <c r="DJ809" s="8"/>
      <c r="DK809" s="8"/>
      <c r="DL809" s="8"/>
      <c r="DM809" s="8"/>
      <c r="DN809" s="8"/>
    </row>
    <row r="810" spans="2:118" ht="15.75" customHeight="1">
      <c r="B810" s="8"/>
      <c r="CU810" s="8"/>
      <c r="CV810" s="8"/>
      <c r="CW810" s="8"/>
      <c r="CX810" s="8"/>
      <c r="CY810" s="8"/>
      <c r="CZ810" s="8"/>
      <c r="DA810" s="8"/>
      <c r="DB810" s="8"/>
      <c r="DC810" s="8"/>
      <c r="DD810" s="8"/>
      <c r="DE810" s="8"/>
      <c r="DF810" s="8"/>
      <c r="DG810" s="8"/>
      <c r="DH810" s="8"/>
      <c r="DI810" s="8"/>
      <c r="DJ810" s="8"/>
      <c r="DK810" s="8"/>
      <c r="DL810" s="8"/>
      <c r="DM810" s="8"/>
      <c r="DN810" s="8"/>
    </row>
    <row r="811" spans="2:118" ht="15.75" customHeight="1">
      <c r="B811" s="8"/>
      <c r="CU811" s="8"/>
      <c r="CV811" s="8"/>
      <c r="CW811" s="8"/>
      <c r="CX811" s="8"/>
      <c r="CY811" s="8"/>
      <c r="CZ811" s="8"/>
      <c r="DA811" s="8"/>
      <c r="DB811" s="8"/>
      <c r="DC811" s="8"/>
      <c r="DD811" s="8"/>
      <c r="DE811" s="8"/>
      <c r="DF811" s="8"/>
      <c r="DG811" s="8"/>
      <c r="DH811" s="8"/>
      <c r="DI811" s="8"/>
      <c r="DJ811" s="8"/>
      <c r="DK811" s="8"/>
      <c r="DL811" s="8"/>
      <c r="DM811" s="8"/>
      <c r="DN811" s="8"/>
    </row>
    <row r="812" spans="2:118" ht="15.75" customHeight="1">
      <c r="B812" s="8"/>
      <c r="CU812" s="8"/>
      <c r="CV812" s="8"/>
      <c r="CW812" s="8"/>
      <c r="CX812" s="8"/>
      <c r="CY812" s="8"/>
      <c r="CZ812" s="8"/>
      <c r="DA812" s="8"/>
      <c r="DB812" s="8"/>
      <c r="DC812" s="8"/>
      <c r="DD812" s="8"/>
      <c r="DE812" s="8"/>
      <c r="DF812" s="8"/>
      <c r="DG812" s="8"/>
      <c r="DH812" s="8"/>
      <c r="DI812" s="8"/>
      <c r="DJ812" s="8"/>
      <c r="DK812" s="8"/>
      <c r="DL812" s="8"/>
      <c r="DM812" s="8"/>
      <c r="DN812" s="8"/>
    </row>
    <row r="813" spans="2:118" ht="15.75" customHeight="1">
      <c r="B813" s="8"/>
      <c r="CU813" s="8"/>
      <c r="CV813" s="8"/>
      <c r="CW813" s="8"/>
      <c r="CX813" s="8"/>
      <c r="CY813" s="8"/>
      <c r="CZ813" s="8"/>
      <c r="DA813" s="8"/>
      <c r="DB813" s="8"/>
      <c r="DC813" s="8"/>
      <c r="DD813" s="8"/>
      <c r="DE813" s="8"/>
      <c r="DF813" s="8"/>
      <c r="DG813" s="8"/>
      <c r="DH813" s="8"/>
      <c r="DI813" s="8"/>
      <c r="DJ813" s="8"/>
      <c r="DK813" s="8"/>
      <c r="DL813" s="8"/>
      <c r="DM813" s="8"/>
      <c r="DN813" s="8"/>
    </row>
    <row r="814" spans="2:118" ht="15.75" customHeight="1">
      <c r="B814" s="8"/>
      <c r="CU814" s="8"/>
      <c r="CV814" s="8"/>
      <c r="CW814" s="8"/>
      <c r="CX814" s="8"/>
      <c r="CY814" s="8"/>
      <c r="CZ814" s="8"/>
      <c r="DA814" s="8"/>
      <c r="DB814" s="8"/>
      <c r="DC814" s="8"/>
      <c r="DD814" s="8"/>
      <c r="DE814" s="8"/>
      <c r="DF814" s="8"/>
      <c r="DG814" s="8"/>
      <c r="DH814" s="8"/>
      <c r="DI814" s="8"/>
      <c r="DJ814" s="8"/>
      <c r="DK814" s="8"/>
      <c r="DL814" s="8"/>
      <c r="DM814" s="8"/>
      <c r="DN814" s="8"/>
    </row>
    <row r="815" spans="2:118" ht="15.75" customHeight="1">
      <c r="B815" s="8"/>
      <c r="CU815" s="8"/>
      <c r="CV815" s="8"/>
      <c r="CW815" s="8"/>
      <c r="CX815" s="8"/>
      <c r="CY815" s="8"/>
      <c r="CZ815" s="8"/>
      <c r="DA815" s="8"/>
      <c r="DB815" s="8"/>
      <c r="DC815" s="8"/>
      <c r="DD815" s="8"/>
      <c r="DE815" s="8"/>
      <c r="DF815" s="8"/>
      <c r="DG815" s="8"/>
      <c r="DH815" s="8"/>
      <c r="DI815" s="8"/>
      <c r="DJ815" s="8"/>
      <c r="DK815" s="8"/>
      <c r="DL815" s="8"/>
      <c r="DM815" s="8"/>
      <c r="DN815" s="8"/>
    </row>
    <row r="816" spans="2:118" ht="15.75" customHeight="1">
      <c r="B816" s="8"/>
      <c r="CU816" s="8"/>
      <c r="CV816" s="8"/>
      <c r="CW816" s="8"/>
      <c r="CX816" s="8"/>
      <c r="CY816" s="8"/>
      <c r="CZ816" s="8"/>
      <c r="DA816" s="8"/>
      <c r="DB816" s="8"/>
      <c r="DC816" s="8"/>
      <c r="DD816" s="8"/>
      <c r="DE816" s="8"/>
      <c r="DF816" s="8"/>
      <c r="DG816" s="8"/>
      <c r="DH816" s="8"/>
      <c r="DI816" s="8"/>
      <c r="DJ816" s="8"/>
      <c r="DK816" s="8"/>
      <c r="DL816" s="8"/>
      <c r="DM816" s="8"/>
      <c r="DN816" s="8"/>
    </row>
    <row r="817" spans="2:118" ht="15.75" customHeight="1">
      <c r="B817" s="8"/>
      <c r="CU817" s="8"/>
      <c r="CV817" s="8"/>
      <c r="CW817" s="8"/>
      <c r="CX817" s="8"/>
      <c r="CY817" s="8"/>
      <c r="CZ817" s="8"/>
      <c r="DA817" s="8"/>
      <c r="DB817" s="8"/>
      <c r="DC817" s="8"/>
      <c r="DD817" s="8"/>
      <c r="DE817" s="8"/>
      <c r="DF817" s="8"/>
      <c r="DG817" s="8"/>
      <c r="DH817" s="8"/>
      <c r="DI817" s="8"/>
      <c r="DJ817" s="8"/>
      <c r="DK817" s="8"/>
      <c r="DL817" s="8"/>
      <c r="DM817" s="8"/>
      <c r="DN817" s="8"/>
    </row>
    <row r="818" spans="2:118" ht="15.75" customHeight="1">
      <c r="B818" s="8"/>
      <c r="CU818" s="8"/>
      <c r="CV818" s="8"/>
      <c r="CW818" s="8"/>
      <c r="CX818" s="8"/>
      <c r="CY818" s="8"/>
      <c r="CZ818" s="8"/>
      <c r="DA818" s="8"/>
      <c r="DB818" s="8"/>
      <c r="DC818" s="8"/>
      <c r="DD818" s="8"/>
      <c r="DE818" s="8"/>
      <c r="DF818" s="8"/>
      <c r="DG818" s="8"/>
      <c r="DH818" s="8"/>
      <c r="DI818" s="8"/>
      <c r="DJ818" s="8"/>
      <c r="DK818" s="8"/>
      <c r="DL818" s="8"/>
      <c r="DM818" s="8"/>
      <c r="DN818" s="8"/>
    </row>
    <row r="819" spans="2:118" ht="15.75" customHeight="1">
      <c r="B819" s="8"/>
      <c r="CU819" s="8"/>
      <c r="CV819" s="8"/>
      <c r="CW819" s="8"/>
      <c r="CX819" s="8"/>
      <c r="CY819" s="8"/>
      <c r="CZ819" s="8"/>
      <c r="DA819" s="8"/>
      <c r="DB819" s="8"/>
      <c r="DC819" s="8"/>
      <c r="DD819" s="8"/>
      <c r="DE819" s="8"/>
      <c r="DF819" s="8"/>
      <c r="DG819" s="8"/>
      <c r="DH819" s="8"/>
      <c r="DI819" s="8"/>
      <c r="DJ819" s="8"/>
      <c r="DK819" s="8"/>
      <c r="DL819" s="8"/>
      <c r="DM819" s="8"/>
      <c r="DN819" s="8"/>
    </row>
    <row r="820" spans="2:118" ht="15.75" customHeight="1">
      <c r="B820" s="8"/>
      <c r="CU820" s="8"/>
      <c r="CV820" s="8"/>
      <c r="CW820" s="8"/>
      <c r="CX820" s="8"/>
      <c r="CY820" s="8"/>
      <c r="CZ820" s="8"/>
      <c r="DA820" s="8"/>
      <c r="DB820" s="8"/>
      <c r="DC820" s="8"/>
      <c r="DD820" s="8"/>
      <c r="DE820" s="8"/>
      <c r="DF820" s="8"/>
      <c r="DG820" s="8"/>
      <c r="DH820" s="8"/>
      <c r="DI820" s="8"/>
      <c r="DJ820" s="8"/>
      <c r="DK820" s="8"/>
      <c r="DL820" s="8"/>
      <c r="DM820" s="8"/>
      <c r="DN820" s="8"/>
    </row>
    <row r="821" spans="2:118" ht="15.75" customHeight="1">
      <c r="B821" s="8"/>
      <c r="CU821" s="8"/>
      <c r="CV821" s="8"/>
      <c r="CW821" s="8"/>
      <c r="CX821" s="8"/>
      <c r="CY821" s="8"/>
      <c r="CZ821" s="8"/>
      <c r="DA821" s="8"/>
      <c r="DB821" s="8"/>
      <c r="DC821" s="8"/>
      <c r="DD821" s="8"/>
      <c r="DE821" s="8"/>
      <c r="DF821" s="8"/>
      <c r="DG821" s="8"/>
      <c r="DH821" s="8"/>
      <c r="DI821" s="8"/>
      <c r="DJ821" s="8"/>
      <c r="DK821" s="8"/>
      <c r="DL821" s="8"/>
      <c r="DM821" s="8"/>
      <c r="DN821" s="8"/>
    </row>
    <row r="822" spans="2:118" ht="15.75" customHeight="1">
      <c r="B822" s="8"/>
      <c r="CU822" s="8"/>
      <c r="CV822" s="8"/>
      <c r="CW822" s="8"/>
      <c r="CX822" s="8"/>
      <c r="CY822" s="8"/>
      <c r="CZ822" s="8"/>
      <c r="DA822" s="8"/>
      <c r="DB822" s="8"/>
      <c r="DC822" s="8"/>
      <c r="DD822" s="8"/>
      <c r="DE822" s="8"/>
      <c r="DF822" s="8"/>
      <c r="DG822" s="8"/>
      <c r="DH822" s="8"/>
      <c r="DI822" s="8"/>
      <c r="DJ822" s="8"/>
      <c r="DK822" s="8"/>
      <c r="DL822" s="8"/>
      <c r="DM822" s="8"/>
      <c r="DN822" s="8"/>
    </row>
    <row r="823" spans="2:118" ht="15.75" customHeight="1">
      <c r="B823" s="8"/>
      <c r="CU823" s="8"/>
      <c r="CV823" s="8"/>
      <c r="CW823" s="8"/>
      <c r="CX823" s="8"/>
      <c r="CY823" s="8"/>
      <c r="CZ823" s="8"/>
      <c r="DA823" s="8"/>
      <c r="DB823" s="8"/>
      <c r="DC823" s="8"/>
      <c r="DD823" s="8"/>
      <c r="DE823" s="8"/>
      <c r="DF823" s="8"/>
      <c r="DG823" s="8"/>
      <c r="DH823" s="8"/>
      <c r="DI823" s="8"/>
      <c r="DJ823" s="8"/>
      <c r="DK823" s="8"/>
      <c r="DL823" s="8"/>
      <c r="DM823" s="8"/>
      <c r="DN823" s="8"/>
    </row>
    <row r="824" spans="2:118" ht="15.75" customHeight="1">
      <c r="B824" s="8"/>
      <c r="CU824" s="8"/>
      <c r="CV824" s="8"/>
      <c r="CW824" s="8"/>
      <c r="CX824" s="8"/>
      <c r="CY824" s="8"/>
      <c r="CZ824" s="8"/>
      <c r="DA824" s="8"/>
      <c r="DB824" s="8"/>
      <c r="DC824" s="8"/>
      <c r="DD824" s="8"/>
      <c r="DE824" s="8"/>
      <c r="DF824" s="8"/>
      <c r="DG824" s="8"/>
      <c r="DH824" s="8"/>
      <c r="DI824" s="8"/>
      <c r="DJ824" s="8"/>
      <c r="DK824" s="8"/>
      <c r="DL824" s="8"/>
      <c r="DM824" s="8"/>
      <c r="DN824" s="8"/>
    </row>
    <row r="825" spans="2:118" ht="15.75" customHeight="1">
      <c r="B825" s="8"/>
      <c r="CU825" s="8"/>
      <c r="CV825" s="8"/>
      <c r="CW825" s="8"/>
      <c r="CX825" s="8"/>
      <c r="CY825" s="8"/>
      <c r="CZ825" s="8"/>
      <c r="DA825" s="8"/>
      <c r="DB825" s="8"/>
      <c r="DC825" s="8"/>
      <c r="DD825" s="8"/>
      <c r="DE825" s="8"/>
      <c r="DF825" s="8"/>
      <c r="DG825" s="8"/>
      <c r="DH825" s="8"/>
      <c r="DI825" s="8"/>
      <c r="DJ825" s="8"/>
      <c r="DK825" s="8"/>
      <c r="DL825" s="8"/>
      <c r="DM825" s="8"/>
      <c r="DN825" s="8"/>
    </row>
    <row r="826" spans="2:118" ht="15.75" customHeight="1">
      <c r="B826" s="8"/>
      <c r="CU826" s="8"/>
      <c r="CV826" s="8"/>
      <c r="CW826" s="8"/>
      <c r="CX826" s="8"/>
      <c r="CY826" s="8"/>
      <c r="CZ826" s="8"/>
      <c r="DA826" s="8"/>
      <c r="DB826" s="8"/>
      <c r="DC826" s="8"/>
      <c r="DD826" s="8"/>
      <c r="DE826" s="8"/>
      <c r="DF826" s="8"/>
      <c r="DG826" s="8"/>
      <c r="DH826" s="8"/>
      <c r="DI826" s="8"/>
      <c r="DJ826" s="8"/>
      <c r="DK826" s="8"/>
      <c r="DL826" s="8"/>
      <c r="DM826" s="8"/>
      <c r="DN826" s="8"/>
    </row>
    <row r="827" spans="2:118" ht="15.75" customHeight="1">
      <c r="B827" s="8"/>
      <c r="CU827" s="8"/>
      <c r="CV827" s="8"/>
      <c r="CW827" s="8"/>
      <c r="CX827" s="8"/>
      <c r="CY827" s="8"/>
      <c r="CZ827" s="8"/>
      <c r="DA827" s="8"/>
      <c r="DB827" s="8"/>
      <c r="DC827" s="8"/>
      <c r="DD827" s="8"/>
      <c r="DE827" s="8"/>
      <c r="DF827" s="8"/>
      <c r="DG827" s="8"/>
      <c r="DH827" s="8"/>
      <c r="DI827" s="8"/>
      <c r="DJ827" s="8"/>
      <c r="DK827" s="8"/>
      <c r="DL827" s="8"/>
      <c r="DM827" s="8"/>
      <c r="DN827" s="8"/>
    </row>
    <row r="828" spans="2:118" ht="15.75" customHeight="1">
      <c r="B828" s="8"/>
      <c r="CU828" s="8"/>
      <c r="CV828" s="8"/>
      <c r="CW828" s="8"/>
      <c r="CX828" s="8"/>
      <c r="CY828" s="8"/>
      <c r="CZ828" s="8"/>
      <c r="DA828" s="8"/>
      <c r="DB828" s="8"/>
      <c r="DC828" s="8"/>
      <c r="DD828" s="8"/>
      <c r="DE828" s="8"/>
      <c r="DF828" s="8"/>
      <c r="DG828" s="8"/>
      <c r="DH828" s="8"/>
      <c r="DI828" s="8"/>
      <c r="DJ828" s="8"/>
      <c r="DK828" s="8"/>
      <c r="DL828" s="8"/>
      <c r="DM828" s="8"/>
      <c r="DN828" s="8"/>
    </row>
    <row r="829" spans="2:118" ht="15.75" customHeight="1">
      <c r="B829" s="8"/>
      <c r="CU829" s="8"/>
      <c r="CV829" s="8"/>
      <c r="CW829" s="8"/>
      <c r="CX829" s="8"/>
      <c r="CY829" s="8"/>
      <c r="CZ829" s="8"/>
      <c r="DA829" s="8"/>
      <c r="DB829" s="8"/>
      <c r="DC829" s="8"/>
      <c r="DD829" s="8"/>
      <c r="DE829" s="8"/>
      <c r="DF829" s="8"/>
      <c r="DG829" s="8"/>
      <c r="DH829" s="8"/>
      <c r="DI829" s="8"/>
      <c r="DJ829" s="8"/>
      <c r="DK829" s="8"/>
      <c r="DL829" s="8"/>
      <c r="DM829" s="8"/>
      <c r="DN829" s="8"/>
    </row>
    <row r="830" spans="2:118" ht="15.75" customHeight="1">
      <c r="B830" s="8"/>
      <c r="CU830" s="8"/>
      <c r="CV830" s="8"/>
      <c r="CW830" s="8"/>
      <c r="CX830" s="8"/>
      <c r="CY830" s="8"/>
      <c r="CZ830" s="8"/>
      <c r="DA830" s="8"/>
      <c r="DB830" s="8"/>
      <c r="DC830" s="8"/>
      <c r="DD830" s="8"/>
      <c r="DE830" s="8"/>
      <c r="DF830" s="8"/>
      <c r="DG830" s="8"/>
      <c r="DH830" s="8"/>
      <c r="DI830" s="8"/>
      <c r="DJ830" s="8"/>
      <c r="DK830" s="8"/>
      <c r="DL830" s="8"/>
      <c r="DM830" s="8"/>
      <c r="DN830" s="8"/>
    </row>
    <row r="831" spans="2:118" ht="15.75" customHeight="1">
      <c r="B831" s="8"/>
      <c r="CU831" s="8"/>
      <c r="CV831" s="8"/>
      <c r="CW831" s="8"/>
      <c r="CX831" s="8"/>
      <c r="CY831" s="8"/>
      <c r="CZ831" s="8"/>
      <c r="DA831" s="8"/>
      <c r="DB831" s="8"/>
      <c r="DC831" s="8"/>
      <c r="DD831" s="8"/>
      <c r="DE831" s="8"/>
      <c r="DF831" s="8"/>
      <c r="DG831" s="8"/>
      <c r="DH831" s="8"/>
      <c r="DI831" s="8"/>
      <c r="DJ831" s="8"/>
      <c r="DK831" s="8"/>
      <c r="DL831" s="8"/>
      <c r="DM831" s="8"/>
      <c r="DN831" s="8"/>
    </row>
    <row r="832" spans="2:118" ht="15.75" customHeight="1">
      <c r="B832" s="8"/>
      <c r="CU832" s="8"/>
      <c r="CV832" s="8"/>
      <c r="CW832" s="8"/>
      <c r="CX832" s="8"/>
      <c r="CY832" s="8"/>
      <c r="CZ832" s="8"/>
      <c r="DA832" s="8"/>
      <c r="DB832" s="8"/>
      <c r="DC832" s="8"/>
      <c r="DD832" s="8"/>
      <c r="DE832" s="8"/>
      <c r="DF832" s="8"/>
      <c r="DG832" s="8"/>
      <c r="DH832" s="8"/>
      <c r="DI832" s="8"/>
      <c r="DJ832" s="8"/>
      <c r="DK832" s="8"/>
      <c r="DL832" s="8"/>
      <c r="DM832" s="8"/>
      <c r="DN832" s="8"/>
    </row>
    <row r="833" spans="2:118" ht="15.75" customHeight="1">
      <c r="B833" s="8"/>
      <c r="CU833" s="8"/>
      <c r="CV833" s="8"/>
      <c r="CW833" s="8"/>
      <c r="CX833" s="8"/>
      <c r="CY833" s="8"/>
      <c r="CZ833" s="8"/>
      <c r="DA833" s="8"/>
      <c r="DB833" s="8"/>
      <c r="DC833" s="8"/>
      <c r="DD833" s="8"/>
      <c r="DE833" s="8"/>
      <c r="DF833" s="8"/>
      <c r="DG833" s="8"/>
      <c r="DH833" s="8"/>
      <c r="DI833" s="8"/>
      <c r="DJ833" s="8"/>
      <c r="DK833" s="8"/>
      <c r="DL833" s="8"/>
      <c r="DM833" s="8"/>
      <c r="DN833" s="8"/>
    </row>
    <row r="834" spans="2:118" ht="15.75" customHeight="1">
      <c r="B834" s="8"/>
      <c r="CU834" s="8"/>
      <c r="CV834" s="8"/>
      <c r="CW834" s="8"/>
      <c r="CX834" s="8"/>
      <c r="CY834" s="8"/>
      <c r="CZ834" s="8"/>
      <c r="DA834" s="8"/>
      <c r="DB834" s="8"/>
      <c r="DC834" s="8"/>
      <c r="DD834" s="8"/>
      <c r="DE834" s="8"/>
      <c r="DF834" s="8"/>
      <c r="DG834" s="8"/>
      <c r="DH834" s="8"/>
      <c r="DI834" s="8"/>
      <c r="DJ834" s="8"/>
      <c r="DK834" s="8"/>
      <c r="DL834" s="8"/>
      <c r="DM834" s="8"/>
      <c r="DN834" s="8"/>
    </row>
    <row r="835" spans="2:118" ht="15.75" customHeight="1">
      <c r="B835" s="8"/>
      <c r="CU835" s="8"/>
      <c r="CV835" s="8"/>
      <c r="CW835" s="8"/>
      <c r="CX835" s="8"/>
      <c r="CY835" s="8"/>
      <c r="CZ835" s="8"/>
      <c r="DA835" s="8"/>
      <c r="DB835" s="8"/>
      <c r="DC835" s="8"/>
      <c r="DD835" s="8"/>
      <c r="DE835" s="8"/>
      <c r="DF835" s="8"/>
      <c r="DG835" s="8"/>
      <c r="DH835" s="8"/>
      <c r="DI835" s="8"/>
      <c r="DJ835" s="8"/>
      <c r="DK835" s="8"/>
      <c r="DL835" s="8"/>
      <c r="DM835" s="8"/>
      <c r="DN835" s="8"/>
    </row>
    <row r="836" spans="2:118" ht="15.75" customHeight="1">
      <c r="B836" s="8"/>
      <c r="CU836" s="8"/>
      <c r="CV836" s="8"/>
      <c r="CW836" s="8"/>
      <c r="CX836" s="8"/>
      <c r="CY836" s="8"/>
      <c r="CZ836" s="8"/>
      <c r="DA836" s="8"/>
      <c r="DB836" s="8"/>
      <c r="DC836" s="8"/>
      <c r="DD836" s="8"/>
      <c r="DE836" s="8"/>
      <c r="DF836" s="8"/>
      <c r="DG836" s="8"/>
      <c r="DH836" s="8"/>
      <c r="DI836" s="8"/>
      <c r="DJ836" s="8"/>
      <c r="DK836" s="8"/>
      <c r="DL836" s="8"/>
      <c r="DM836" s="8"/>
      <c r="DN836" s="8"/>
    </row>
    <row r="837" spans="2:118" ht="15.75" customHeight="1">
      <c r="B837" s="8"/>
      <c r="CU837" s="8"/>
      <c r="CV837" s="8"/>
      <c r="CW837" s="8"/>
      <c r="CX837" s="8"/>
      <c r="CY837" s="8"/>
      <c r="CZ837" s="8"/>
      <c r="DA837" s="8"/>
      <c r="DB837" s="8"/>
      <c r="DC837" s="8"/>
      <c r="DD837" s="8"/>
      <c r="DE837" s="8"/>
      <c r="DF837" s="8"/>
      <c r="DG837" s="8"/>
      <c r="DH837" s="8"/>
      <c r="DI837" s="8"/>
      <c r="DJ837" s="8"/>
      <c r="DK837" s="8"/>
      <c r="DL837" s="8"/>
      <c r="DM837" s="8"/>
      <c r="DN837" s="8"/>
    </row>
    <row r="838" spans="2:118" ht="15.75" customHeight="1">
      <c r="B838" s="8"/>
      <c r="CU838" s="8"/>
      <c r="CV838" s="8"/>
      <c r="CW838" s="8"/>
      <c r="CX838" s="8"/>
      <c r="CY838" s="8"/>
      <c r="CZ838" s="8"/>
      <c r="DA838" s="8"/>
      <c r="DB838" s="8"/>
      <c r="DC838" s="8"/>
      <c r="DD838" s="8"/>
      <c r="DE838" s="8"/>
      <c r="DF838" s="8"/>
      <c r="DG838" s="8"/>
      <c r="DH838" s="8"/>
      <c r="DI838" s="8"/>
      <c r="DJ838" s="8"/>
      <c r="DK838" s="8"/>
      <c r="DL838" s="8"/>
      <c r="DM838" s="8"/>
      <c r="DN838" s="8"/>
    </row>
    <row r="839" spans="2:118" ht="15.75" customHeight="1">
      <c r="B839" s="8"/>
      <c r="CU839" s="8"/>
      <c r="CV839" s="8"/>
      <c r="CW839" s="8"/>
      <c r="CX839" s="8"/>
      <c r="CY839" s="8"/>
      <c r="CZ839" s="8"/>
      <c r="DA839" s="8"/>
      <c r="DB839" s="8"/>
      <c r="DC839" s="8"/>
      <c r="DD839" s="8"/>
      <c r="DE839" s="8"/>
      <c r="DF839" s="8"/>
      <c r="DG839" s="8"/>
      <c r="DH839" s="8"/>
      <c r="DI839" s="8"/>
      <c r="DJ839" s="8"/>
      <c r="DK839" s="8"/>
      <c r="DL839" s="8"/>
      <c r="DM839" s="8"/>
      <c r="DN839" s="8"/>
    </row>
    <row r="840" spans="2:118" ht="15.75" customHeight="1">
      <c r="B840" s="8"/>
      <c r="CU840" s="8"/>
      <c r="CV840" s="8"/>
      <c r="CW840" s="8"/>
      <c r="CX840" s="8"/>
      <c r="CY840" s="8"/>
      <c r="CZ840" s="8"/>
      <c r="DA840" s="8"/>
      <c r="DB840" s="8"/>
      <c r="DC840" s="8"/>
      <c r="DD840" s="8"/>
      <c r="DE840" s="8"/>
      <c r="DF840" s="8"/>
      <c r="DG840" s="8"/>
      <c r="DH840" s="8"/>
      <c r="DI840" s="8"/>
      <c r="DJ840" s="8"/>
      <c r="DK840" s="8"/>
      <c r="DL840" s="8"/>
      <c r="DM840" s="8"/>
      <c r="DN840" s="8"/>
    </row>
    <row r="841" spans="2:118" ht="15.75" customHeight="1">
      <c r="B841" s="8"/>
      <c r="CU841" s="8"/>
      <c r="CV841" s="8"/>
      <c r="CW841" s="8"/>
      <c r="CX841" s="8"/>
      <c r="CY841" s="8"/>
      <c r="CZ841" s="8"/>
      <c r="DA841" s="8"/>
      <c r="DB841" s="8"/>
      <c r="DC841" s="8"/>
      <c r="DD841" s="8"/>
      <c r="DE841" s="8"/>
      <c r="DF841" s="8"/>
      <c r="DG841" s="8"/>
      <c r="DH841" s="8"/>
      <c r="DI841" s="8"/>
      <c r="DJ841" s="8"/>
      <c r="DK841" s="8"/>
      <c r="DL841" s="8"/>
      <c r="DM841" s="8"/>
      <c r="DN841" s="8"/>
    </row>
    <row r="842" spans="2:118" ht="15.75" customHeight="1">
      <c r="B842" s="8"/>
      <c r="CU842" s="8"/>
      <c r="CV842" s="8"/>
      <c r="CW842" s="8"/>
      <c r="CX842" s="8"/>
      <c r="CY842" s="8"/>
      <c r="CZ842" s="8"/>
      <c r="DA842" s="8"/>
      <c r="DB842" s="8"/>
      <c r="DC842" s="8"/>
      <c r="DD842" s="8"/>
      <c r="DE842" s="8"/>
      <c r="DF842" s="8"/>
      <c r="DG842" s="8"/>
      <c r="DH842" s="8"/>
      <c r="DI842" s="8"/>
      <c r="DJ842" s="8"/>
      <c r="DK842" s="8"/>
      <c r="DL842" s="8"/>
      <c r="DM842" s="8"/>
      <c r="DN842" s="8"/>
    </row>
    <row r="843" spans="2:118" ht="15.75" customHeight="1">
      <c r="B843" s="8"/>
      <c r="CU843" s="8"/>
      <c r="CV843" s="8"/>
      <c r="CW843" s="8"/>
      <c r="CX843" s="8"/>
      <c r="CY843" s="8"/>
      <c r="CZ843" s="8"/>
      <c r="DA843" s="8"/>
      <c r="DB843" s="8"/>
      <c r="DC843" s="8"/>
      <c r="DD843" s="8"/>
      <c r="DE843" s="8"/>
      <c r="DF843" s="8"/>
      <c r="DG843" s="8"/>
      <c r="DH843" s="8"/>
      <c r="DI843" s="8"/>
      <c r="DJ843" s="8"/>
      <c r="DK843" s="8"/>
      <c r="DL843" s="8"/>
      <c r="DM843" s="8"/>
      <c r="DN843" s="8"/>
    </row>
    <row r="844" spans="2:118" ht="15.75" customHeight="1">
      <c r="B844" s="8"/>
      <c r="CU844" s="8"/>
      <c r="CV844" s="8"/>
      <c r="CW844" s="8"/>
      <c r="CX844" s="8"/>
      <c r="CY844" s="8"/>
      <c r="CZ844" s="8"/>
      <c r="DA844" s="8"/>
      <c r="DB844" s="8"/>
      <c r="DC844" s="8"/>
      <c r="DD844" s="8"/>
      <c r="DE844" s="8"/>
      <c r="DF844" s="8"/>
      <c r="DG844" s="8"/>
      <c r="DH844" s="8"/>
      <c r="DI844" s="8"/>
      <c r="DJ844" s="8"/>
      <c r="DK844" s="8"/>
      <c r="DL844" s="8"/>
      <c r="DM844" s="8"/>
      <c r="DN844" s="8"/>
    </row>
    <row r="845" spans="2:118" ht="15.75" customHeight="1">
      <c r="B845" s="8"/>
      <c r="CU845" s="8"/>
      <c r="CV845" s="8"/>
      <c r="CW845" s="8"/>
      <c r="CX845" s="8"/>
      <c r="CY845" s="8"/>
      <c r="CZ845" s="8"/>
      <c r="DA845" s="8"/>
      <c r="DB845" s="8"/>
      <c r="DC845" s="8"/>
      <c r="DD845" s="8"/>
      <c r="DE845" s="8"/>
      <c r="DF845" s="8"/>
      <c r="DG845" s="8"/>
      <c r="DH845" s="8"/>
      <c r="DI845" s="8"/>
      <c r="DJ845" s="8"/>
      <c r="DK845" s="8"/>
      <c r="DL845" s="8"/>
      <c r="DM845" s="8"/>
      <c r="DN845" s="8"/>
    </row>
    <row r="846" spans="2:118" ht="15.75" customHeight="1">
      <c r="B846" s="8"/>
      <c r="CU846" s="8"/>
      <c r="CV846" s="8"/>
      <c r="CW846" s="8"/>
      <c r="CX846" s="8"/>
      <c r="CY846" s="8"/>
      <c r="CZ846" s="8"/>
      <c r="DA846" s="8"/>
      <c r="DB846" s="8"/>
      <c r="DC846" s="8"/>
      <c r="DD846" s="8"/>
      <c r="DE846" s="8"/>
      <c r="DF846" s="8"/>
      <c r="DG846" s="8"/>
      <c r="DH846" s="8"/>
      <c r="DI846" s="8"/>
      <c r="DJ846" s="8"/>
      <c r="DK846" s="8"/>
      <c r="DL846" s="8"/>
      <c r="DM846" s="8"/>
      <c r="DN846" s="8"/>
    </row>
    <row r="847" spans="2:118" ht="15.75" customHeight="1">
      <c r="B847" s="8"/>
      <c r="CU847" s="8"/>
      <c r="CV847" s="8"/>
      <c r="CW847" s="8"/>
      <c r="CX847" s="8"/>
      <c r="CY847" s="8"/>
      <c r="CZ847" s="8"/>
      <c r="DA847" s="8"/>
      <c r="DB847" s="8"/>
      <c r="DC847" s="8"/>
      <c r="DD847" s="8"/>
      <c r="DE847" s="8"/>
      <c r="DF847" s="8"/>
      <c r="DG847" s="8"/>
      <c r="DH847" s="8"/>
      <c r="DI847" s="8"/>
      <c r="DJ847" s="8"/>
      <c r="DK847" s="8"/>
      <c r="DL847" s="8"/>
      <c r="DM847" s="8"/>
      <c r="DN847" s="8"/>
    </row>
    <row r="848" spans="2:118" ht="15.75" customHeight="1">
      <c r="B848" s="8"/>
      <c r="CU848" s="8"/>
      <c r="CV848" s="8"/>
      <c r="CW848" s="8"/>
      <c r="CX848" s="8"/>
      <c r="CY848" s="8"/>
      <c r="CZ848" s="8"/>
      <c r="DA848" s="8"/>
      <c r="DB848" s="8"/>
      <c r="DC848" s="8"/>
      <c r="DD848" s="8"/>
      <c r="DE848" s="8"/>
      <c r="DF848" s="8"/>
      <c r="DG848" s="8"/>
      <c r="DH848" s="8"/>
      <c r="DI848" s="8"/>
      <c r="DJ848" s="8"/>
      <c r="DK848" s="8"/>
      <c r="DL848" s="8"/>
      <c r="DM848" s="8"/>
      <c r="DN848" s="8"/>
    </row>
    <row r="849" spans="2:118" ht="15.75" customHeight="1">
      <c r="B849" s="8"/>
      <c r="CU849" s="8"/>
      <c r="CV849" s="8"/>
      <c r="CW849" s="8"/>
      <c r="CX849" s="8"/>
      <c r="CY849" s="8"/>
      <c r="CZ849" s="8"/>
      <c r="DA849" s="8"/>
      <c r="DB849" s="8"/>
      <c r="DC849" s="8"/>
      <c r="DD849" s="8"/>
      <c r="DE849" s="8"/>
      <c r="DF849" s="8"/>
      <c r="DG849" s="8"/>
      <c r="DH849" s="8"/>
      <c r="DI849" s="8"/>
      <c r="DJ849" s="8"/>
      <c r="DK849" s="8"/>
      <c r="DL849" s="8"/>
      <c r="DM849" s="8"/>
      <c r="DN849" s="8"/>
    </row>
    <row r="850" spans="2:118" ht="15.75" customHeight="1">
      <c r="B850" s="8"/>
      <c r="CU850" s="8"/>
      <c r="CV850" s="8"/>
      <c r="CW850" s="8"/>
      <c r="CX850" s="8"/>
      <c r="CY850" s="8"/>
      <c r="CZ850" s="8"/>
      <c r="DA850" s="8"/>
      <c r="DB850" s="8"/>
      <c r="DC850" s="8"/>
      <c r="DD850" s="8"/>
      <c r="DE850" s="8"/>
      <c r="DF850" s="8"/>
      <c r="DG850" s="8"/>
      <c r="DH850" s="8"/>
      <c r="DI850" s="8"/>
      <c r="DJ850" s="8"/>
      <c r="DK850" s="8"/>
      <c r="DL850" s="8"/>
      <c r="DM850" s="8"/>
      <c r="DN850" s="8"/>
    </row>
    <row r="851" spans="2:118" ht="15.75" customHeight="1">
      <c r="B851" s="8"/>
      <c r="CU851" s="8"/>
      <c r="CV851" s="8"/>
      <c r="CW851" s="8"/>
      <c r="CX851" s="8"/>
      <c r="CY851" s="8"/>
      <c r="CZ851" s="8"/>
      <c r="DA851" s="8"/>
      <c r="DB851" s="8"/>
      <c r="DC851" s="8"/>
      <c r="DD851" s="8"/>
      <c r="DE851" s="8"/>
      <c r="DF851" s="8"/>
      <c r="DG851" s="8"/>
      <c r="DH851" s="8"/>
      <c r="DI851" s="8"/>
      <c r="DJ851" s="8"/>
      <c r="DK851" s="8"/>
      <c r="DL851" s="8"/>
      <c r="DM851" s="8"/>
      <c r="DN851" s="8"/>
    </row>
    <row r="852" spans="2:118" ht="15.75" customHeight="1">
      <c r="B852" s="8"/>
      <c r="CU852" s="8"/>
      <c r="CV852" s="8"/>
      <c r="CW852" s="8"/>
      <c r="CX852" s="8"/>
      <c r="CY852" s="8"/>
      <c r="CZ852" s="8"/>
      <c r="DA852" s="8"/>
      <c r="DB852" s="8"/>
      <c r="DC852" s="8"/>
      <c r="DD852" s="8"/>
      <c r="DE852" s="8"/>
      <c r="DF852" s="8"/>
      <c r="DG852" s="8"/>
      <c r="DH852" s="8"/>
      <c r="DI852" s="8"/>
      <c r="DJ852" s="8"/>
      <c r="DK852" s="8"/>
      <c r="DL852" s="8"/>
      <c r="DM852" s="8"/>
      <c r="DN852" s="8"/>
    </row>
    <row r="853" spans="2:118" ht="15.75" customHeight="1">
      <c r="B853" s="8"/>
      <c r="CU853" s="8"/>
      <c r="CV853" s="8"/>
      <c r="CW853" s="8"/>
      <c r="CX853" s="8"/>
      <c r="CY853" s="8"/>
      <c r="CZ853" s="8"/>
      <c r="DA853" s="8"/>
      <c r="DB853" s="8"/>
      <c r="DC853" s="8"/>
      <c r="DD853" s="8"/>
      <c r="DE853" s="8"/>
      <c r="DF853" s="8"/>
      <c r="DG853" s="8"/>
      <c r="DH853" s="8"/>
      <c r="DI853" s="8"/>
      <c r="DJ853" s="8"/>
      <c r="DK853" s="8"/>
      <c r="DL853" s="8"/>
      <c r="DM853" s="8"/>
      <c r="DN853" s="8"/>
    </row>
    <row r="854" spans="2:118" ht="15.75" customHeight="1">
      <c r="B854" s="8"/>
      <c r="CU854" s="8"/>
      <c r="CV854" s="8"/>
      <c r="CW854" s="8"/>
      <c r="CX854" s="8"/>
      <c r="CY854" s="8"/>
      <c r="CZ854" s="8"/>
      <c r="DA854" s="8"/>
      <c r="DB854" s="8"/>
      <c r="DC854" s="8"/>
      <c r="DD854" s="8"/>
      <c r="DE854" s="8"/>
      <c r="DF854" s="8"/>
      <c r="DG854" s="8"/>
      <c r="DH854" s="8"/>
      <c r="DI854" s="8"/>
      <c r="DJ854" s="8"/>
      <c r="DK854" s="8"/>
      <c r="DL854" s="8"/>
      <c r="DM854" s="8"/>
      <c r="DN854" s="8"/>
    </row>
    <row r="855" spans="2:118" ht="15.75" customHeight="1">
      <c r="B855" s="8"/>
      <c r="CU855" s="8"/>
      <c r="CV855" s="8"/>
      <c r="CW855" s="8"/>
      <c r="CX855" s="8"/>
      <c r="CY855" s="8"/>
      <c r="CZ855" s="8"/>
      <c r="DA855" s="8"/>
      <c r="DB855" s="8"/>
      <c r="DC855" s="8"/>
      <c r="DD855" s="8"/>
      <c r="DE855" s="8"/>
      <c r="DF855" s="8"/>
      <c r="DG855" s="8"/>
      <c r="DH855" s="8"/>
      <c r="DI855" s="8"/>
      <c r="DJ855" s="8"/>
      <c r="DK855" s="8"/>
      <c r="DL855" s="8"/>
      <c r="DM855" s="8"/>
      <c r="DN855" s="8"/>
    </row>
    <row r="856" spans="2:118" ht="15.75" customHeight="1">
      <c r="B856" s="8"/>
      <c r="CU856" s="8"/>
      <c r="CV856" s="8"/>
      <c r="CW856" s="8"/>
      <c r="CX856" s="8"/>
      <c r="CY856" s="8"/>
      <c r="CZ856" s="8"/>
      <c r="DA856" s="8"/>
      <c r="DB856" s="8"/>
      <c r="DC856" s="8"/>
      <c r="DD856" s="8"/>
      <c r="DE856" s="8"/>
      <c r="DF856" s="8"/>
      <c r="DG856" s="8"/>
      <c r="DH856" s="8"/>
      <c r="DI856" s="8"/>
      <c r="DJ856" s="8"/>
      <c r="DK856" s="8"/>
      <c r="DL856" s="8"/>
      <c r="DM856" s="8"/>
      <c r="DN856" s="8"/>
    </row>
    <row r="857" spans="2:118" ht="15.75" customHeight="1">
      <c r="B857" s="8"/>
      <c r="CU857" s="8"/>
      <c r="CV857" s="8"/>
      <c r="CW857" s="8"/>
      <c r="CX857" s="8"/>
      <c r="CY857" s="8"/>
      <c r="CZ857" s="8"/>
      <c r="DA857" s="8"/>
      <c r="DB857" s="8"/>
      <c r="DC857" s="8"/>
      <c r="DD857" s="8"/>
      <c r="DE857" s="8"/>
      <c r="DF857" s="8"/>
      <c r="DG857" s="8"/>
      <c r="DH857" s="8"/>
      <c r="DI857" s="8"/>
      <c r="DJ857" s="8"/>
      <c r="DK857" s="8"/>
      <c r="DL857" s="8"/>
      <c r="DM857" s="8"/>
      <c r="DN857" s="8"/>
    </row>
    <row r="858" spans="2:118" ht="15.75" customHeight="1">
      <c r="B858" s="8"/>
      <c r="CU858" s="8"/>
      <c r="CV858" s="8"/>
      <c r="CW858" s="8"/>
      <c r="CX858" s="8"/>
      <c r="CY858" s="8"/>
      <c r="CZ858" s="8"/>
      <c r="DA858" s="8"/>
      <c r="DB858" s="8"/>
      <c r="DC858" s="8"/>
      <c r="DD858" s="8"/>
      <c r="DE858" s="8"/>
      <c r="DF858" s="8"/>
      <c r="DG858" s="8"/>
      <c r="DH858" s="8"/>
      <c r="DI858" s="8"/>
      <c r="DJ858" s="8"/>
      <c r="DK858" s="8"/>
      <c r="DL858" s="8"/>
      <c r="DM858" s="8"/>
      <c r="DN858" s="8"/>
    </row>
    <row r="859" spans="2:118" ht="15.75" customHeight="1">
      <c r="B859" s="8"/>
      <c r="CU859" s="8"/>
      <c r="CV859" s="8"/>
      <c r="CW859" s="8"/>
      <c r="CX859" s="8"/>
      <c r="CY859" s="8"/>
      <c r="CZ859" s="8"/>
      <c r="DA859" s="8"/>
      <c r="DB859" s="8"/>
      <c r="DC859" s="8"/>
      <c r="DD859" s="8"/>
      <c r="DE859" s="8"/>
      <c r="DF859" s="8"/>
      <c r="DG859" s="8"/>
      <c r="DH859" s="8"/>
      <c r="DI859" s="8"/>
      <c r="DJ859" s="8"/>
      <c r="DK859" s="8"/>
      <c r="DL859" s="8"/>
      <c r="DM859" s="8"/>
      <c r="DN859" s="8"/>
    </row>
    <row r="860" spans="2:118" ht="15.75" customHeight="1">
      <c r="B860" s="8"/>
      <c r="CU860" s="8"/>
      <c r="CV860" s="8"/>
      <c r="CW860" s="8"/>
      <c r="CX860" s="8"/>
      <c r="CY860" s="8"/>
      <c r="CZ860" s="8"/>
      <c r="DA860" s="8"/>
      <c r="DB860" s="8"/>
      <c r="DC860" s="8"/>
      <c r="DD860" s="8"/>
      <c r="DE860" s="8"/>
      <c r="DF860" s="8"/>
      <c r="DG860" s="8"/>
      <c r="DH860" s="8"/>
      <c r="DI860" s="8"/>
      <c r="DJ860" s="8"/>
      <c r="DK860" s="8"/>
      <c r="DL860" s="8"/>
      <c r="DM860" s="8"/>
      <c r="DN860" s="8"/>
    </row>
    <row r="861" spans="2:118" ht="15.75" customHeight="1">
      <c r="B861" s="8"/>
      <c r="CU861" s="8"/>
      <c r="CV861" s="8"/>
      <c r="CW861" s="8"/>
      <c r="CX861" s="8"/>
      <c r="CY861" s="8"/>
      <c r="CZ861" s="8"/>
      <c r="DA861" s="8"/>
      <c r="DB861" s="8"/>
      <c r="DC861" s="8"/>
      <c r="DD861" s="8"/>
      <c r="DE861" s="8"/>
      <c r="DF861" s="8"/>
      <c r="DG861" s="8"/>
      <c r="DH861" s="8"/>
      <c r="DI861" s="8"/>
      <c r="DJ861" s="8"/>
      <c r="DK861" s="8"/>
      <c r="DL861" s="8"/>
      <c r="DM861" s="8"/>
      <c r="DN861" s="8"/>
    </row>
    <row r="862" spans="2:118" ht="15.75" customHeight="1">
      <c r="B862" s="8"/>
      <c r="CU862" s="8"/>
      <c r="CV862" s="8"/>
      <c r="CW862" s="8"/>
      <c r="CX862" s="8"/>
      <c r="CY862" s="8"/>
      <c r="CZ862" s="8"/>
      <c r="DA862" s="8"/>
      <c r="DB862" s="8"/>
      <c r="DC862" s="8"/>
      <c r="DD862" s="8"/>
      <c r="DE862" s="8"/>
      <c r="DF862" s="8"/>
      <c r="DG862" s="8"/>
      <c r="DH862" s="8"/>
      <c r="DI862" s="8"/>
      <c r="DJ862" s="8"/>
      <c r="DK862" s="8"/>
      <c r="DL862" s="8"/>
      <c r="DM862" s="8"/>
      <c r="DN862" s="8"/>
    </row>
    <row r="863" spans="2:118" ht="15.75" customHeight="1">
      <c r="B863" s="8"/>
      <c r="CU863" s="8"/>
      <c r="CV863" s="8"/>
      <c r="CW863" s="8"/>
      <c r="CX863" s="8"/>
      <c r="CY863" s="8"/>
      <c r="CZ863" s="8"/>
      <c r="DA863" s="8"/>
      <c r="DB863" s="8"/>
      <c r="DC863" s="8"/>
      <c r="DD863" s="8"/>
      <c r="DE863" s="8"/>
      <c r="DF863" s="8"/>
      <c r="DG863" s="8"/>
      <c r="DH863" s="8"/>
      <c r="DI863" s="8"/>
      <c r="DJ863" s="8"/>
      <c r="DK863" s="8"/>
      <c r="DL863" s="8"/>
      <c r="DM863" s="8"/>
      <c r="DN863" s="8"/>
    </row>
    <row r="864" spans="2:118" ht="15.75" customHeight="1">
      <c r="B864" s="8"/>
      <c r="CU864" s="8"/>
      <c r="CV864" s="8"/>
      <c r="CW864" s="8"/>
      <c r="CX864" s="8"/>
      <c r="CY864" s="8"/>
      <c r="CZ864" s="8"/>
      <c r="DA864" s="8"/>
      <c r="DB864" s="8"/>
      <c r="DC864" s="8"/>
      <c r="DD864" s="8"/>
      <c r="DE864" s="8"/>
      <c r="DF864" s="8"/>
      <c r="DG864" s="8"/>
      <c r="DH864" s="8"/>
      <c r="DI864" s="8"/>
      <c r="DJ864" s="8"/>
      <c r="DK864" s="8"/>
      <c r="DL864" s="8"/>
      <c r="DM864" s="8"/>
      <c r="DN864" s="8"/>
    </row>
    <row r="865" spans="2:118" ht="15.75" customHeight="1">
      <c r="B865" s="8"/>
      <c r="CU865" s="8"/>
      <c r="CV865" s="8"/>
      <c r="CW865" s="8"/>
      <c r="CX865" s="8"/>
      <c r="CY865" s="8"/>
      <c r="CZ865" s="8"/>
      <c r="DA865" s="8"/>
      <c r="DB865" s="8"/>
      <c r="DC865" s="8"/>
      <c r="DD865" s="8"/>
      <c r="DE865" s="8"/>
      <c r="DF865" s="8"/>
      <c r="DG865" s="8"/>
      <c r="DH865" s="8"/>
      <c r="DI865" s="8"/>
      <c r="DJ865" s="8"/>
      <c r="DK865" s="8"/>
      <c r="DL865" s="8"/>
      <c r="DM865" s="8"/>
      <c r="DN865" s="8"/>
    </row>
    <row r="866" spans="2:118" ht="15.75" customHeight="1">
      <c r="B866" s="8"/>
      <c r="CU866" s="8"/>
      <c r="CV866" s="8"/>
      <c r="CW866" s="8"/>
      <c r="CX866" s="8"/>
      <c r="CY866" s="8"/>
      <c r="CZ866" s="8"/>
      <c r="DA866" s="8"/>
      <c r="DB866" s="8"/>
      <c r="DC866" s="8"/>
      <c r="DD866" s="8"/>
      <c r="DE866" s="8"/>
      <c r="DF866" s="8"/>
      <c r="DG866" s="8"/>
      <c r="DH866" s="8"/>
      <c r="DI866" s="8"/>
      <c r="DJ866" s="8"/>
      <c r="DK866" s="8"/>
      <c r="DL866" s="8"/>
      <c r="DM866" s="8"/>
      <c r="DN866" s="8"/>
    </row>
    <row r="867" spans="2:118" ht="15.75" customHeight="1">
      <c r="B867" s="8"/>
      <c r="CU867" s="8"/>
      <c r="CV867" s="8"/>
      <c r="CW867" s="8"/>
      <c r="CX867" s="8"/>
      <c r="CY867" s="8"/>
      <c r="CZ867" s="8"/>
      <c r="DA867" s="8"/>
      <c r="DB867" s="8"/>
      <c r="DC867" s="8"/>
      <c r="DD867" s="8"/>
      <c r="DE867" s="8"/>
      <c r="DF867" s="8"/>
      <c r="DG867" s="8"/>
      <c r="DH867" s="8"/>
      <c r="DI867" s="8"/>
      <c r="DJ867" s="8"/>
      <c r="DK867" s="8"/>
      <c r="DL867" s="8"/>
      <c r="DM867" s="8"/>
      <c r="DN867" s="8"/>
    </row>
    <row r="868" spans="2:118" ht="15.75" customHeight="1">
      <c r="B868" s="8"/>
      <c r="CU868" s="8"/>
      <c r="CV868" s="8"/>
      <c r="CW868" s="8"/>
      <c r="CX868" s="8"/>
      <c r="CY868" s="8"/>
      <c r="CZ868" s="8"/>
      <c r="DA868" s="8"/>
      <c r="DB868" s="8"/>
      <c r="DC868" s="8"/>
      <c r="DD868" s="8"/>
      <c r="DE868" s="8"/>
      <c r="DF868" s="8"/>
      <c r="DG868" s="8"/>
      <c r="DH868" s="8"/>
      <c r="DI868" s="8"/>
      <c r="DJ868" s="8"/>
      <c r="DK868" s="8"/>
      <c r="DL868" s="8"/>
      <c r="DM868" s="8"/>
      <c r="DN868" s="8"/>
    </row>
    <row r="869" spans="2:118" ht="15.75" customHeight="1">
      <c r="B869" s="8"/>
      <c r="CU869" s="8"/>
      <c r="CV869" s="8"/>
      <c r="CW869" s="8"/>
      <c r="CX869" s="8"/>
      <c r="CY869" s="8"/>
      <c r="CZ869" s="8"/>
      <c r="DA869" s="8"/>
      <c r="DB869" s="8"/>
      <c r="DC869" s="8"/>
      <c r="DD869" s="8"/>
      <c r="DE869" s="8"/>
      <c r="DF869" s="8"/>
      <c r="DG869" s="8"/>
      <c r="DH869" s="8"/>
      <c r="DI869" s="8"/>
      <c r="DJ869" s="8"/>
      <c r="DK869" s="8"/>
      <c r="DL869" s="8"/>
      <c r="DM869" s="8"/>
      <c r="DN869" s="8"/>
    </row>
    <row r="870" spans="2:118" ht="15.75" customHeight="1">
      <c r="B870" s="8"/>
      <c r="CU870" s="8"/>
      <c r="CV870" s="8"/>
      <c r="CW870" s="8"/>
      <c r="CX870" s="8"/>
      <c r="CY870" s="8"/>
      <c r="CZ870" s="8"/>
      <c r="DA870" s="8"/>
      <c r="DB870" s="8"/>
      <c r="DC870" s="8"/>
      <c r="DD870" s="8"/>
      <c r="DE870" s="8"/>
      <c r="DF870" s="8"/>
      <c r="DG870" s="8"/>
      <c r="DH870" s="8"/>
      <c r="DI870" s="8"/>
      <c r="DJ870" s="8"/>
      <c r="DK870" s="8"/>
      <c r="DL870" s="8"/>
      <c r="DM870" s="8"/>
      <c r="DN870" s="8"/>
    </row>
    <row r="871" spans="2:118" ht="15.75" customHeight="1">
      <c r="B871" s="8"/>
      <c r="CU871" s="8"/>
      <c r="CV871" s="8"/>
      <c r="CW871" s="8"/>
      <c r="CX871" s="8"/>
      <c r="CY871" s="8"/>
      <c r="CZ871" s="8"/>
      <c r="DA871" s="8"/>
      <c r="DB871" s="8"/>
      <c r="DC871" s="8"/>
      <c r="DD871" s="8"/>
      <c r="DE871" s="8"/>
      <c r="DF871" s="8"/>
      <c r="DG871" s="8"/>
      <c r="DH871" s="8"/>
      <c r="DI871" s="8"/>
      <c r="DJ871" s="8"/>
      <c r="DK871" s="8"/>
      <c r="DL871" s="8"/>
      <c r="DM871" s="8"/>
      <c r="DN871" s="8"/>
    </row>
    <row r="872" spans="2:118" ht="15.75" customHeight="1">
      <c r="B872" s="8"/>
      <c r="CU872" s="8"/>
      <c r="CV872" s="8"/>
      <c r="CW872" s="8"/>
      <c r="CX872" s="8"/>
      <c r="CY872" s="8"/>
      <c r="CZ872" s="8"/>
      <c r="DA872" s="8"/>
      <c r="DB872" s="8"/>
      <c r="DC872" s="8"/>
      <c r="DD872" s="8"/>
      <c r="DE872" s="8"/>
      <c r="DF872" s="8"/>
      <c r="DG872" s="8"/>
      <c r="DH872" s="8"/>
      <c r="DI872" s="8"/>
      <c r="DJ872" s="8"/>
      <c r="DK872" s="8"/>
      <c r="DL872" s="8"/>
      <c r="DM872" s="8"/>
      <c r="DN872" s="8"/>
    </row>
    <row r="873" spans="2:118" ht="15.75" customHeight="1">
      <c r="B873" s="8"/>
      <c r="CU873" s="8"/>
      <c r="CV873" s="8"/>
      <c r="CW873" s="8"/>
      <c r="CX873" s="8"/>
      <c r="CY873" s="8"/>
      <c r="CZ873" s="8"/>
      <c r="DA873" s="8"/>
      <c r="DB873" s="8"/>
      <c r="DC873" s="8"/>
      <c r="DD873" s="8"/>
      <c r="DE873" s="8"/>
      <c r="DF873" s="8"/>
      <c r="DG873" s="8"/>
      <c r="DH873" s="8"/>
      <c r="DI873" s="8"/>
      <c r="DJ873" s="8"/>
      <c r="DK873" s="8"/>
      <c r="DL873" s="8"/>
      <c r="DM873" s="8"/>
      <c r="DN873" s="8"/>
    </row>
    <row r="874" spans="2:118" ht="15.75" customHeight="1">
      <c r="B874" s="8"/>
      <c r="CU874" s="8"/>
      <c r="CV874" s="8"/>
      <c r="CW874" s="8"/>
      <c r="CX874" s="8"/>
      <c r="CY874" s="8"/>
      <c r="CZ874" s="8"/>
      <c r="DA874" s="8"/>
      <c r="DB874" s="8"/>
      <c r="DC874" s="8"/>
      <c r="DD874" s="8"/>
      <c r="DE874" s="8"/>
      <c r="DF874" s="8"/>
      <c r="DG874" s="8"/>
      <c r="DH874" s="8"/>
      <c r="DI874" s="8"/>
      <c r="DJ874" s="8"/>
      <c r="DK874" s="8"/>
      <c r="DL874" s="8"/>
      <c r="DM874" s="8"/>
      <c r="DN874" s="8"/>
    </row>
    <row r="875" spans="2:118" ht="15.75" customHeight="1">
      <c r="B875" s="8"/>
      <c r="CU875" s="8"/>
      <c r="CV875" s="8"/>
      <c r="CW875" s="8"/>
      <c r="CX875" s="8"/>
      <c r="CY875" s="8"/>
      <c r="CZ875" s="8"/>
      <c r="DA875" s="8"/>
      <c r="DB875" s="8"/>
      <c r="DC875" s="8"/>
      <c r="DD875" s="8"/>
      <c r="DE875" s="8"/>
      <c r="DF875" s="8"/>
      <c r="DG875" s="8"/>
      <c r="DH875" s="8"/>
      <c r="DI875" s="8"/>
      <c r="DJ875" s="8"/>
      <c r="DK875" s="8"/>
      <c r="DL875" s="8"/>
      <c r="DM875" s="8"/>
      <c r="DN875" s="8"/>
    </row>
    <row r="876" spans="2:118" ht="15.75" customHeight="1">
      <c r="B876" s="8"/>
      <c r="CU876" s="8"/>
      <c r="CV876" s="8"/>
      <c r="CW876" s="8"/>
      <c r="CX876" s="8"/>
      <c r="CY876" s="8"/>
      <c r="CZ876" s="8"/>
      <c r="DA876" s="8"/>
      <c r="DB876" s="8"/>
      <c r="DC876" s="8"/>
      <c r="DD876" s="8"/>
      <c r="DE876" s="8"/>
      <c r="DF876" s="8"/>
      <c r="DG876" s="8"/>
      <c r="DH876" s="8"/>
      <c r="DI876" s="8"/>
      <c r="DJ876" s="8"/>
      <c r="DK876" s="8"/>
      <c r="DL876" s="8"/>
      <c r="DM876" s="8"/>
      <c r="DN876" s="8"/>
    </row>
    <row r="877" spans="2:118" ht="15.75" customHeight="1">
      <c r="B877" s="8"/>
      <c r="CU877" s="8"/>
      <c r="CV877" s="8"/>
      <c r="CW877" s="8"/>
      <c r="CX877" s="8"/>
      <c r="CY877" s="8"/>
      <c r="CZ877" s="8"/>
      <c r="DA877" s="8"/>
      <c r="DB877" s="8"/>
      <c r="DC877" s="8"/>
      <c r="DD877" s="8"/>
      <c r="DE877" s="8"/>
      <c r="DF877" s="8"/>
      <c r="DG877" s="8"/>
      <c r="DH877" s="8"/>
      <c r="DI877" s="8"/>
      <c r="DJ877" s="8"/>
      <c r="DK877" s="8"/>
      <c r="DL877" s="8"/>
      <c r="DM877" s="8"/>
      <c r="DN877" s="8"/>
    </row>
    <row r="878" spans="2:118" ht="15.75" customHeight="1">
      <c r="B878" s="8"/>
      <c r="CU878" s="8"/>
      <c r="CV878" s="8"/>
      <c r="CW878" s="8"/>
      <c r="CX878" s="8"/>
      <c r="CY878" s="8"/>
      <c r="CZ878" s="8"/>
      <c r="DA878" s="8"/>
      <c r="DB878" s="8"/>
      <c r="DC878" s="8"/>
      <c r="DD878" s="8"/>
      <c r="DE878" s="8"/>
      <c r="DF878" s="8"/>
      <c r="DG878" s="8"/>
      <c r="DH878" s="8"/>
      <c r="DI878" s="8"/>
      <c r="DJ878" s="8"/>
      <c r="DK878" s="8"/>
      <c r="DL878" s="8"/>
      <c r="DM878" s="8"/>
      <c r="DN878" s="8"/>
    </row>
    <row r="879" spans="2:118" ht="15.75" customHeight="1">
      <c r="B879" s="8"/>
      <c r="CU879" s="8"/>
      <c r="CV879" s="8"/>
      <c r="CW879" s="8"/>
      <c r="CX879" s="8"/>
      <c r="CY879" s="8"/>
      <c r="CZ879" s="8"/>
      <c r="DA879" s="8"/>
      <c r="DB879" s="8"/>
      <c r="DC879" s="8"/>
      <c r="DD879" s="8"/>
      <c r="DE879" s="8"/>
      <c r="DF879" s="8"/>
      <c r="DG879" s="8"/>
      <c r="DH879" s="8"/>
      <c r="DI879" s="8"/>
      <c r="DJ879" s="8"/>
      <c r="DK879" s="8"/>
      <c r="DL879" s="8"/>
      <c r="DM879" s="8"/>
      <c r="DN879" s="8"/>
    </row>
    <row r="880" spans="2:118" ht="15.75" customHeight="1">
      <c r="B880" s="8"/>
      <c r="CU880" s="8"/>
      <c r="CV880" s="8"/>
      <c r="CW880" s="8"/>
      <c r="CX880" s="8"/>
      <c r="CY880" s="8"/>
      <c r="CZ880" s="8"/>
      <c r="DA880" s="8"/>
      <c r="DB880" s="8"/>
      <c r="DC880" s="8"/>
      <c r="DD880" s="8"/>
      <c r="DE880" s="8"/>
      <c r="DF880" s="8"/>
      <c r="DG880" s="8"/>
      <c r="DH880" s="8"/>
      <c r="DI880" s="8"/>
      <c r="DJ880" s="8"/>
      <c r="DK880" s="8"/>
      <c r="DL880" s="8"/>
      <c r="DM880" s="8"/>
      <c r="DN880" s="8"/>
    </row>
    <row r="881" spans="2:118" ht="15.75" customHeight="1">
      <c r="B881" s="8"/>
      <c r="CU881" s="8"/>
      <c r="CV881" s="8"/>
      <c r="CW881" s="8"/>
      <c r="CX881" s="8"/>
      <c r="CY881" s="8"/>
      <c r="CZ881" s="8"/>
      <c r="DA881" s="8"/>
      <c r="DB881" s="8"/>
      <c r="DC881" s="8"/>
      <c r="DD881" s="8"/>
      <c r="DE881" s="8"/>
      <c r="DF881" s="8"/>
      <c r="DG881" s="8"/>
      <c r="DH881" s="8"/>
      <c r="DI881" s="8"/>
      <c r="DJ881" s="8"/>
      <c r="DK881" s="8"/>
      <c r="DL881" s="8"/>
      <c r="DM881" s="8"/>
      <c r="DN881" s="8"/>
    </row>
    <row r="882" spans="2:118" ht="15.75" customHeight="1">
      <c r="B882" s="8"/>
      <c r="CU882" s="8"/>
      <c r="CV882" s="8"/>
      <c r="CW882" s="8"/>
      <c r="CX882" s="8"/>
      <c r="CY882" s="8"/>
      <c r="CZ882" s="8"/>
      <c r="DA882" s="8"/>
      <c r="DB882" s="8"/>
      <c r="DC882" s="8"/>
      <c r="DD882" s="8"/>
      <c r="DE882" s="8"/>
      <c r="DF882" s="8"/>
      <c r="DG882" s="8"/>
      <c r="DH882" s="8"/>
      <c r="DI882" s="8"/>
      <c r="DJ882" s="8"/>
      <c r="DK882" s="8"/>
      <c r="DL882" s="8"/>
      <c r="DM882" s="8"/>
      <c r="DN882" s="8"/>
    </row>
    <row r="883" spans="2:118" ht="15.75" customHeight="1">
      <c r="B883" s="8"/>
      <c r="CU883" s="8"/>
      <c r="CV883" s="8"/>
      <c r="CW883" s="8"/>
      <c r="CX883" s="8"/>
      <c r="CY883" s="8"/>
      <c r="CZ883" s="8"/>
      <c r="DA883" s="8"/>
      <c r="DB883" s="8"/>
      <c r="DC883" s="8"/>
      <c r="DD883" s="8"/>
      <c r="DE883" s="8"/>
      <c r="DF883" s="8"/>
      <c r="DG883" s="8"/>
      <c r="DH883" s="8"/>
      <c r="DI883" s="8"/>
      <c r="DJ883" s="8"/>
      <c r="DK883" s="8"/>
      <c r="DL883" s="8"/>
      <c r="DM883" s="8"/>
      <c r="DN883" s="8"/>
    </row>
    <row r="884" spans="2:118" ht="15.75" customHeight="1">
      <c r="B884" s="8"/>
      <c r="CU884" s="8"/>
      <c r="CV884" s="8"/>
      <c r="CW884" s="8"/>
      <c r="CX884" s="8"/>
      <c r="CY884" s="8"/>
      <c r="CZ884" s="8"/>
      <c r="DA884" s="8"/>
      <c r="DB884" s="8"/>
      <c r="DC884" s="8"/>
      <c r="DD884" s="8"/>
      <c r="DE884" s="8"/>
      <c r="DF884" s="8"/>
      <c r="DG884" s="8"/>
      <c r="DH884" s="8"/>
      <c r="DI884" s="8"/>
      <c r="DJ884" s="8"/>
      <c r="DK884" s="8"/>
      <c r="DL884" s="8"/>
      <c r="DM884" s="8"/>
      <c r="DN884" s="8"/>
    </row>
    <row r="885" spans="2:118" ht="15.75" customHeight="1">
      <c r="B885" s="8"/>
      <c r="CU885" s="8"/>
      <c r="CV885" s="8"/>
      <c r="CW885" s="8"/>
      <c r="CX885" s="8"/>
      <c r="CY885" s="8"/>
      <c r="CZ885" s="8"/>
      <c r="DA885" s="8"/>
      <c r="DB885" s="8"/>
      <c r="DC885" s="8"/>
      <c r="DD885" s="8"/>
      <c r="DE885" s="8"/>
      <c r="DF885" s="8"/>
      <c r="DG885" s="8"/>
      <c r="DH885" s="8"/>
      <c r="DI885" s="8"/>
      <c r="DJ885" s="8"/>
      <c r="DK885" s="8"/>
      <c r="DL885" s="8"/>
      <c r="DM885" s="8"/>
      <c r="DN885" s="8"/>
    </row>
    <row r="886" spans="2:118" ht="15.75" customHeight="1">
      <c r="B886" s="8"/>
      <c r="CU886" s="8"/>
      <c r="CV886" s="8"/>
      <c r="CW886" s="8"/>
      <c r="CX886" s="8"/>
      <c r="CY886" s="8"/>
      <c r="CZ886" s="8"/>
      <c r="DA886" s="8"/>
      <c r="DB886" s="8"/>
      <c r="DC886" s="8"/>
      <c r="DD886" s="8"/>
      <c r="DE886" s="8"/>
      <c r="DF886" s="8"/>
      <c r="DG886" s="8"/>
      <c r="DH886" s="8"/>
      <c r="DI886" s="8"/>
      <c r="DJ886" s="8"/>
      <c r="DK886" s="8"/>
      <c r="DL886" s="8"/>
      <c r="DM886" s="8"/>
      <c r="DN886" s="8"/>
    </row>
    <row r="887" spans="2:118" ht="15.75" customHeight="1">
      <c r="B887" s="8"/>
      <c r="CU887" s="8"/>
      <c r="CV887" s="8"/>
      <c r="CW887" s="8"/>
      <c r="CX887" s="8"/>
      <c r="CY887" s="8"/>
      <c r="CZ887" s="8"/>
      <c r="DA887" s="8"/>
      <c r="DB887" s="8"/>
      <c r="DC887" s="8"/>
      <c r="DD887" s="8"/>
      <c r="DE887" s="8"/>
      <c r="DF887" s="8"/>
      <c r="DG887" s="8"/>
      <c r="DH887" s="8"/>
      <c r="DI887" s="8"/>
      <c r="DJ887" s="8"/>
      <c r="DK887" s="8"/>
      <c r="DL887" s="8"/>
      <c r="DM887" s="8"/>
      <c r="DN887" s="8"/>
    </row>
    <row r="888" spans="2:118" ht="15.75" customHeight="1">
      <c r="B888" s="8"/>
      <c r="CU888" s="8"/>
      <c r="CV888" s="8"/>
      <c r="CW888" s="8"/>
      <c r="CX888" s="8"/>
      <c r="CY888" s="8"/>
      <c r="CZ888" s="8"/>
      <c r="DA888" s="8"/>
      <c r="DB888" s="8"/>
      <c r="DC888" s="8"/>
      <c r="DD888" s="8"/>
      <c r="DE888" s="8"/>
      <c r="DF888" s="8"/>
      <c r="DG888" s="8"/>
      <c r="DH888" s="8"/>
      <c r="DI888" s="8"/>
      <c r="DJ888" s="8"/>
      <c r="DK888" s="8"/>
      <c r="DL888" s="8"/>
      <c r="DM888" s="8"/>
      <c r="DN888" s="8"/>
    </row>
    <row r="889" spans="2:118" ht="15.75" customHeight="1">
      <c r="B889" s="8"/>
      <c r="CU889" s="8"/>
      <c r="CV889" s="8"/>
      <c r="CW889" s="8"/>
      <c r="CX889" s="8"/>
      <c r="CY889" s="8"/>
      <c r="CZ889" s="8"/>
      <c r="DA889" s="8"/>
      <c r="DB889" s="8"/>
      <c r="DC889" s="8"/>
      <c r="DD889" s="8"/>
      <c r="DE889" s="8"/>
      <c r="DF889" s="8"/>
      <c r="DG889" s="8"/>
      <c r="DH889" s="8"/>
      <c r="DI889" s="8"/>
      <c r="DJ889" s="8"/>
      <c r="DK889" s="8"/>
      <c r="DL889" s="8"/>
      <c r="DM889" s="8"/>
      <c r="DN889" s="8"/>
    </row>
    <row r="890" spans="2:118" ht="15.75" customHeight="1">
      <c r="B890" s="8"/>
      <c r="CU890" s="8"/>
      <c r="CV890" s="8"/>
      <c r="CW890" s="8"/>
      <c r="CX890" s="8"/>
      <c r="CY890" s="8"/>
      <c r="CZ890" s="8"/>
      <c r="DA890" s="8"/>
      <c r="DB890" s="8"/>
      <c r="DC890" s="8"/>
      <c r="DD890" s="8"/>
      <c r="DE890" s="8"/>
      <c r="DF890" s="8"/>
      <c r="DG890" s="8"/>
      <c r="DH890" s="8"/>
      <c r="DI890" s="8"/>
      <c r="DJ890" s="8"/>
      <c r="DK890" s="8"/>
      <c r="DL890" s="8"/>
      <c r="DM890" s="8"/>
      <c r="DN890" s="8"/>
    </row>
    <row r="891" spans="2:118" ht="15.75" customHeight="1">
      <c r="B891" s="8"/>
      <c r="CU891" s="8"/>
      <c r="CV891" s="8"/>
      <c r="CW891" s="8"/>
      <c r="CX891" s="8"/>
      <c r="CY891" s="8"/>
      <c r="CZ891" s="8"/>
      <c r="DA891" s="8"/>
      <c r="DB891" s="8"/>
      <c r="DC891" s="8"/>
      <c r="DD891" s="8"/>
      <c r="DE891" s="8"/>
      <c r="DF891" s="8"/>
      <c r="DG891" s="8"/>
      <c r="DH891" s="8"/>
      <c r="DI891" s="8"/>
      <c r="DJ891" s="8"/>
      <c r="DK891" s="8"/>
      <c r="DL891" s="8"/>
      <c r="DM891" s="8"/>
      <c r="DN891" s="8"/>
    </row>
    <row r="892" spans="2:118" ht="15.75" customHeight="1">
      <c r="B892" s="8"/>
      <c r="CU892" s="8"/>
      <c r="CV892" s="8"/>
      <c r="CW892" s="8"/>
      <c r="CX892" s="8"/>
      <c r="CY892" s="8"/>
      <c r="CZ892" s="8"/>
      <c r="DA892" s="8"/>
      <c r="DB892" s="8"/>
      <c r="DC892" s="8"/>
      <c r="DD892" s="8"/>
      <c r="DE892" s="8"/>
      <c r="DF892" s="8"/>
      <c r="DG892" s="8"/>
      <c r="DH892" s="8"/>
      <c r="DI892" s="8"/>
      <c r="DJ892" s="8"/>
      <c r="DK892" s="8"/>
      <c r="DL892" s="8"/>
      <c r="DM892" s="8"/>
      <c r="DN892" s="8"/>
    </row>
    <row r="893" spans="2:118" ht="15.75" customHeight="1">
      <c r="B893" s="8"/>
      <c r="CU893" s="8"/>
      <c r="CV893" s="8"/>
      <c r="CW893" s="8"/>
      <c r="CX893" s="8"/>
      <c r="CY893" s="8"/>
      <c r="CZ893" s="8"/>
      <c r="DA893" s="8"/>
      <c r="DB893" s="8"/>
      <c r="DC893" s="8"/>
      <c r="DD893" s="8"/>
      <c r="DE893" s="8"/>
      <c r="DF893" s="8"/>
      <c r="DG893" s="8"/>
      <c r="DH893" s="8"/>
      <c r="DI893" s="8"/>
      <c r="DJ893" s="8"/>
      <c r="DK893" s="8"/>
      <c r="DL893" s="8"/>
      <c r="DM893" s="8"/>
      <c r="DN893" s="8"/>
    </row>
    <row r="894" spans="2:118" ht="15.75" customHeight="1">
      <c r="B894" s="8"/>
      <c r="CU894" s="8"/>
      <c r="CV894" s="8"/>
      <c r="CW894" s="8"/>
      <c r="CX894" s="8"/>
      <c r="CY894" s="8"/>
      <c r="CZ894" s="8"/>
      <c r="DA894" s="8"/>
      <c r="DB894" s="8"/>
      <c r="DC894" s="8"/>
      <c r="DD894" s="8"/>
      <c r="DE894" s="8"/>
      <c r="DF894" s="8"/>
      <c r="DG894" s="8"/>
      <c r="DH894" s="8"/>
      <c r="DI894" s="8"/>
      <c r="DJ894" s="8"/>
      <c r="DK894" s="8"/>
      <c r="DL894" s="8"/>
      <c r="DM894" s="8"/>
      <c r="DN894" s="8"/>
    </row>
    <row r="895" spans="2:118" ht="15.75" customHeight="1">
      <c r="B895" s="8"/>
      <c r="CU895" s="8"/>
      <c r="CV895" s="8"/>
      <c r="CW895" s="8"/>
      <c r="CX895" s="8"/>
      <c r="CY895" s="8"/>
      <c r="CZ895" s="8"/>
      <c r="DA895" s="8"/>
      <c r="DB895" s="8"/>
      <c r="DC895" s="8"/>
      <c r="DD895" s="8"/>
      <c r="DE895" s="8"/>
      <c r="DF895" s="8"/>
      <c r="DG895" s="8"/>
      <c r="DH895" s="8"/>
      <c r="DI895" s="8"/>
      <c r="DJ895" s="8"/>
      <c r="DK895" s="8"/>
      <c r="DL895" s="8"/>
      <c r="DM895" s="8"/>
      <c r="DN895" s="8"/>
    </row>
    <row r="896" spans="2:118" ht="15.75" customHeight="1">
      <c r="B896" s="8"/>
      <c r="CU896" s="8"/>
      <c r="CV896" s="8"/>
      <c r="CW896" s="8"/>
      <c r="CX896" s="8"/>
      <c r="CY896" s="8"/>
      <c r="CZ896" s="8"/>
      <c r="DA896" s="8"/>
      <c r="DB896" s="8"/>
      <c r="DC896" s="8"/>
      <c r="DD896" s="8"/>
      <c r="DE896" s="8"/>
      <c r="DF896" s="8"/>
      <c r="DG896" s="8"/>
      <c r="DH896" s="8"/>
      <c r="DI896" s="8"/>
      <c r="DJ896" s="8"/>
      <c r="DK896" s="8"/>
      <c r="DL896" s="8"/>
      <c r="DM896" s="8"/>
      <c r="DN896" s="8"/>
    </row>
    <row r="897" spans="2:118" ht="15.75" customHeight="1">
      <c r="B897" s="8"/>
      <c r="CU897" s="8"/>
      <c r="CV897" s="8"/>
      <c r="CW897" s="8"/>
      <c r="CX897" s="8"/>
      <c r="CY897" s="8"/>
      <c r="CZ897" s="8"/>
      <c r="DA897" s="8"/>
      <c r="DB897" s="8"/>
      <c r="DC897" s="8"/>
      <c r="DD897" s="8"/>
      <c r="DE897" s="8"/>
      <c r="DF897" s="8"/>
      <c r="DG897" s="8"/>
      <c r="DH897" s="8"/>
      <c r="DI897" s="8"/>
      <c r="DJ897" s="8"/>
      <c r="DK897" s="8"/>
      <c r="DL897" s="8"/>
      <c r="DM897" s="8"/>
      <c r="DN897" s="8"/>
    </row>
    <row r="898" spans="2:118" ht="15.75" customHeight="1">
      <c r="B898" s="8"/>
      <c r="CU898" s="8"/>
      <c r="CV898" s="8"/>
      <c r="CW898" s="8"/>
      <c r="CX898" s="8"/>
      <c r="CY898" s="8"/>
      <c r="CZ898" s="8"/>
      <c r="DA898" s="8"/>
      <c r="DB898" s="8"/>
      <c r="DC898" s="8"/>
      <c r="DD898" s="8"/>
      <c r="DE898" s="8"/>
      <c r="DF898" s="8"/>
      <c r="DG898" s="8"/>
      <c r="DH898" s="8"/>
      <c r="DI898" s="8"/>
      <c r="DJ898" s="8"/>
      <c r="DK898" s="8"/>
      <c r="DL898" s="8"/>
      <c r="DM898" s="8"/>
      <c r="DN898" s="8"/>
    </row>
    <row r="899" spans="2:118" ht="15.75" customHeight="1">
      <c r="B899" s="8"/>
      <c r="CU899" s="8"/>
      <c r="CV899" s="8"/>
      <c r="CW899" s="8"/>
      <c r="CX899" s="8"/>
      <c r="CY899" s="8"/>
      <c r="CZ899" s="8"/>
      <c r="DA899" s="8"/>
      <c r="DB899" s="8"/>
      <c r="DC899" s="8"/>
      <c r="DD899" s="8"/>
      <c r="DE899" s="8"/>
      <c r="DF899" s="8"/>
      <c r="DG899" s="8"/>
      <c r="DH899" s="8"/>
      <c r="DI899" s="8"/>
      <c r="DJ899" s="8"/>
      <c r="DK899" s="8"/>
      <c r="DL899" s="8"/>
      <c r="DM899" s="8"/>
      <c r="DN899" s="8"/>
    </row>
    <row r="900" spans="2:118" ht="15.75" customHeight="1">
      <c r="B900" s="8"/>
      <c r="CU900" s="8"/>
      <c r="CV900" s="8"/>
      <c r="CW900" s="8"/>
      <c r="CX900" s="8"/>
      <c r="CY900" s="8"/>
      <c r="CZ900" s="8"/>
      <c r="DA900" s="8"/>
      <c r="DB900" s="8"/>
      <c r="DC900" s="8"/>
      <c r="DD900" s="8"/>
      <c r="DE900" s="8"/>
      <c r="DF900" s="8"/>
      <c r="DG900" s="8"/>
      <c r="DH900" s="8"/>
      <c r="DI900" s="8"/>
      <c r="DJ900" s="8"/>
      <c r="DK900" s="8"/>
      <c r="DL900" s="8"/>
      <c r="DM900" s="8"/>
      <c r="DN900" s="8"/>
    </row>
    <row r="901" spans="2:118" ht="15.75" customHeight="1">
      <c r="B901" s="8"/>
      <c r="CU901" s="8"/>
      <c r="CV901" s="8"/>
      <c r="CW901" s="8"/>
      <c r="CX901" s="8"/>
      <c r="CY901" s="8"/>
      <c r="CZ901" s="8"/>
      <c r="DA901" s="8"/>
      <c r="DB901" s="8"/>
      <c r="DC901" s="8"/>
      <c r="DD901" s="8"/>
      <c r="DE901" s="8"/>
      <c r="DF901" s="8"/>
      <c r="DG901" s="8"/>
      <c r="DH901" s="8"/>
      <c r="DI901" s="8"/>
      <c r="DJ901" s="8"/>
      <c r="DK901" s="8"/>
      <c r="DL901" s="8"/>
      <c r="DM901" s="8"/>
      <c r="DN901" s="8"/>
    </row>
    <row r="902" spans="2:118" ht="15.75" customHeight="1">
      <c r="B902" s="8"/>
      <c r="CU902" s="8"/>
      <c r="CV902" s="8"/>
      <c r="CW902" s="8"/>
      <c r="CX902" s="8"/>
      <c r="CY902" s="8"/>
      <c r="CZ902" s="8"/>
      <c r="DA902" s="8"/>
      <c r="DB902" s="8"/>
      <c r="DC902" s="8"/>
      <c r="DD902" s="8"/>
      <c r="DE902" s="8"/>
      <c r="DF902" s="8"/>
      <c r="DG902" s="8"/>
      <c r="DH902" s="8"/>
      <c r="DI902" s="8"/>
      <c r="DJ902" s="8"/>
      <c r="DK902" s="8"/>
      <c r="DL902" s="8"/>
      <c r="DM902" s="8"/>
      <c r="DN902" s="8"/>
    </row>
    <row r="903" spans="2:118" ht="15.75" customHeight="1">
      <c r="B903" s="8"/>
      <c r="CU903" s="8"/>
      <c r="CV903" s="8"/>
      <c r="CW903" s="8"/>
      <c r="CX903" s="8"/>
      <c r="CY903" s="8"/>
      <c r="CZ903" s="8"/>
      <c r="DA903" s="8"/>
      <c r="DB903" s="8"/>
      <c r="DC903" s="8"/>
      <c r="DD903" s="8"/>
      <c r="DE903" s="8"/>
      <c r="DF903" s="8"/>
      <c r="DG903" s="8"/>
      <c r="DH903" s="8"/>
      <c r="DI903" s="8"/>
      <c r="DJ903" s="8"/>
      <c r="DK903" s="8"/>
      <c r="DL903" s="8"/>
      <c r="DM903" s="8"/>
      <c r="DN903" s="8"/>
    </row>
    <row r="904" spans="2:118" ht="15.75" customHeight="1">
      <c r="B904" s="8"/>
      <c r="CU904" s="8"/>
      <c r="CV904" s="8"/>
      <c r="CW904" s="8"/>
      <c r="CX904" s="8"/>
      <c r="CY904" s="8"/>
      <c r="CZ904" s="8"/>
      <c r="DA904" s="8"/>
      <c r="DB904" s="8"/>
      <c r="DC904" s="8"/>
      <c r="DD904" s="8"/>
      <c r="DE904" s="8"/>
      <c r="DF904" s="8"/>
      <c r="DG904" s="8"/>
      <c r="DH904" s="8"/>
      <c r="DI904" s="8"/>
      <c r="DJ904" s="8"/>
      <c r="DK904" s="8"/>
      <c r="DL904" s="8"/>
      <c r="DM904" s="8"/>
      <c r="DN904" s="8"/>
    </row>
    <row r="905" spans="2:118" ht="15.75" customHeight="1">
      <c r="B905" s="8"/>
      <c r="CU905" s="8"/>
      <c r="CV905" s="8"/>
      <c r="CW905" s="8"/>
      <c r="CX905" s="8"/>
      <c r="CY905" s="8"/>
      <c r="CZ905" s="8"/>
      <c r="DA905" s="8"/>
      <c r="DB905" s="8"/>
      <c r="DC905" s="8"/>
      <c r="DD905" s="8"/>
      <c r="DE905" s="8"/>
      <c r="DF905" s="8"/>
      <c r="DG905" s="8"/>
      <c r="DH905" s="8"/>
      <c r="DI905" s="8"/>
      <c r="DJ905" s="8"/>
      <c r="DK905" s="8"/>
      <c r="DL905" s="8"/>
      <c r="DM905" s="8"/>
      <c r="DN905" s="8"/>
    </row>
    <row r="906" spans="2:118" ht="15.75" customHeight="1">
      <c r="B906" s="8"/>
      <c r="CU906" s="8"/>
      <c r="CV906" s="8"/>
      <c r="CW906" s="8"/>
      <c r="CX906" s="8"/>
      <c r="CY906" s="8"/>
      <c r="CZ906" s="8"/>
      <c r="DA906" s="8"/>
      <c r="DB906" s="8"/>
      <c r="DC906" s="8"/>
      <c r="DD906" s="8"/>
      <c r="DE906" s="8"/>
      <c r="DF906" s="8"/>
      <c r="DG906" s="8"/>
      <c r="DH906" s="8"/>
      <c r="DI906" s="8"/>
      <c r="DJ906" s="8"/>
      <c r="DK906" s="8"/>
      <c r="DL906" s="8"/>
      <c r="DM906" s="8"/>
      <c r="DN906" s="8"/>
    </row>
    <row r="907" spans="2:118" ht="15.75" customHeight="1">
      <c r="B907" s="8"/>
      <c r="CU907" s="8"/>
      <c r="CV907" s="8"/>
      <c r="CW907" s="8"/>
      <c r="CX907" s="8"/>
      <c r="CY907" s="8"/>
      <c r="CZ907" s="8"/>
      <c r="DA907" s="8"/>
      <c r="DB907" s="8"/>
      <c r="DC907" s="8"/>
      <c r="DD907" s="8"/>
      <c r="DE907" s="8"/>
      <c r="DF907" s="8"/>
      <c r="DG907" s="8"/>
      <c r="DH907" s="8"/>
      <c r="DI907" s="8"/>
      <c r="DJ907" s="8"/>
      <c r="DK907" s="8"/>
      <c r="DL907" s="8"/>
      <c r="DM907" s="8"/>
      <c r="DN907" s="8"/>
    </row>
    <row r="908" spans="2:118" ht="15.75" customHeight="1">
      <c r="B908" s="8"/>
      <c r="CU908" s="8"/>
      <c r="CV908" s="8"/>
      <c r="CW908" s="8"/>
      <c r="CX908" s="8"/>
      <c r="CY908" s="8"/>
      <c r="CZ908" s="8"/>
      <c r="DA908" s="8"/>
      <c r="DB908" s="8"/>
      <c r="DC908" s="8"/>
      <c r="DD908" s="8"/>
      <c r="DE908" s="8"/>
      <c r="DF908" s="8"/>
      <c r="DG908" s="8"/>
      <c r="DH908" s="8"/>
      <c r="DI908" s="8"/>
      <c r="DJ908" s="8"/>
      <c r="DK908" s="8"/>
      <c r="DL908" s="8"/>
      <c r="DM908" s="8"/>
      <c r="DN908" s="8"/>
    </row>
    <row r="909" spans="2:118" ht="15.75" customHeight="1">
      <c r="B909" s="8"/>
      <c r="CU909" s="8"/>
      <c r="CV909" s="8"/>
      <c r="CW909" s="8"/>
      <c r="CX909" s="8"/>
      <c r="CY909" s="8"/>
      <c r="CZ909" s="8"/>
      <c r="DA909" s="8"/>
      <c r="DB909" s="8"/>
      <c r="DC909" s="8"/>
      <c r="DD909" s="8"/>
      <c r="DE909" s="8"/>
      <c r="DF909" s="8"/>
      <c r="DG909" s="8"/>
      <c r="DH909" s="8"/>
      <c r="DI909" s="8"/>
      <c r="DJ909" s="8"/>
      <c r="DK909" s="8"/>
      <c r="DL909" s="8"/>
      <c r="DM909" s="8"/>
      <c r="DN909" s="8"/>
    </row>
    <row r="910" spans="2:118" ht="15.75" customHeight="1">
      <c r="B910" s="8"/>
      <c r="CU910" s="8"/>
      <c r="CV910" s="8"/>
      <c r="CW910" s="8"/>
      <c r="CX910" s="8"/>
      <c r="CY910" s="8"/>
      <c r="CZ910" s="8"/>
      <c r="DA910" s="8"/>
      <c r="DB910" s="8"/>
      <c r="DC910" s="8"/>
      <c r="DD910" s="8"/>
      <c r="DE910" s="8"/>
      <c r="DF910" s="8"/>
      <c r="DG910" s="8"/>
      <c r="DH910" s="8"/>
      <c r="DI910" s="8"/>
      <c r="DJ910" s="8"/>
      <c r="DK910" s="8"/>
      <c r="DL910" s="8"/>
      <c r="DM910" s="8"/>
      <c r="DN910" s="8"/>
    </row>
    <row r="911" spans="2:118" ht="15.75" customHeight="1">
      <c r="B911" s="8"/>
      <c r="CU911" s="8"/>
      <c r="CV911" s="8"/>
      <c r="CW911" s="8"/>
      <c r="CX911" s="8"/>
      <c r="CY911" s="8"/>
      <c r="CZ911" s="8"/>
      <c r="DA911" s="8"/>
      <c r="DB911" s="8"/>
      <c r="DC911" s="8"/>
      <c r="DD911" s="8"/>
      <c r="DE911" s="8"/>
      <c r="DF911" s="8"/>
      <c r="DG911" s="8"/>
      <c r="DH911" s="8"/>
      <c r="DI911" s="8"/>
      <c r="DJ911" s="8"/>
      <c r="DK911" s="8"/>
      <c r="DL911" s="8"/>
      <c r="DM911" s="8"/>
      <c r="DN911" s="8"/>
    </row>
    <row r="912" spans="2:118" ht="15.75" customHeight="1">
      <c r="B912" s="8"/>
      <c r="CU912" s="8"/>
      <c r="CV912" s="8"/>
      <c r="CW912" s="8"/>
      <c r="CX912" s="8"/>
      <c r="CY912" s="8"/>
      <c r="CZ912" s="8"/>
      <c r="DA912" s="8"/>
      <c r="DB912" s="8"/>
      <c r="DC912" s="8"/>
      <c r="DD912" s="8"/>
      <c r="DE912" s="8"/>
      <c r="DF912" s="8"/>
      <c r="DG912" s="8"/>
      <c r="DH912" s="8"/>
      <c r="DI912" s="8"/>
      <c r="DJ912" s="8"/>
      <c r="DK912" s="8"/>
      <c r="DL912" s="8"/>
      <c r="DM912" s="8"/>
      <c r="DN912" s="8"/>
    </row>
    <row r="913" spans="2:118" ht="15.75" customHeight="1">
      <c r="B913" s="8"/>
      <c r="CU913" s="8"/>
      <c r="CV913" s="8"/>
      <c r="CW913" s="8"/>
      <c r="CX913" s="8"/>
      <c r="CY913" s="8"/>
      <c r="CZ913" s="8"/>
      <c r="DA913" s="8"/>
      <c r="DB913" s="8"/>
      <c r="DC913" s="8"/>
      <c r="DD913" s="8"/>
      <c r="DE913" s="8"/>
      <c r="DF913" s="8"/>
      <c r="DG913" s="8"/>
      <c r="DH913" s="8"/>
      <c r="DI913" s="8"/>
      <c r="DJ913" s="8"/>
      <c r="DK913" s="8"/>
      <c r="DL913" s="8"/>
      <c r="DM913" s="8"/>
      <c r="DN913" s="8"/>
    </row>
    <row r="914" spans="2:118" ht="15.75" customHeight="1">
      <c r="B914" s="8"/>
      <c r="CU914" s="8"/>
      <c r="CV914" s="8"/>
      <c r="CW914" s="8"/>
      <c r="CX914" s="8"/>
      <c r="CY914" s="8"/>
      <c r="CZ914" s="8"/>
      <c r="DA914" s="8"/>
      <c r="DB914" s="8"/>
      <c r="DC914" s="8"/>
      <c r="DD914" s="8"/>
      <c r="DE914" s="8"/>
      <c r="DF914" s="8"/>
      <c r="DG914" s="8"/>
      <c r="DH914" s="8"/>
      <c r="DI914" s="8"/>
      <c r="DJ914" s="8"/>
      <c r="DK914" s="8"/>
      <c r="DL914" s="8"/>
      <c r="DM914" s="8"/>
      <c r="DN914" s="8"/>
    </row>
    <row r="915" spans="2:118" ht="15.75" customHeight="1">
      <c r="B915" s="8"/>
      <c r="CU915" s="8"/>
      <c r="CV915" s="8"/>
      <c r="CW915" s="8"/>
      <c r="CX915" s="8"/>
      <c r="CY915" s="8"/>
      <c r="CZ915" s="8"/>
      <c r="DA915" s="8"/>
      <c r="DB915" s="8"/>
      <c r="DC915" s="8"/>
      <c r="DD915" s="8"/>
      <c r="DE915" s="8"/>
      <c r="DF915" s="8"/>
      <c r="DG915" s="8"/>
      <c r="DH915" s="8"/>
      <c r="DI915" s="8"/>
      <c r="DJ915" s="8"/>
      <c r="DK915" s="8"/>
      <c r="DL915" s="8"/>
      <c r="DM915" s="8"/>
      <c r="DN915" s="8"/>
    </row>
    <row r="916" spans="2:118" ht="15.75" customHeight="1">
      <c r="B916" s="8"/>
      <c r="CU916" s="8"/>
      <c r="CV916" s="8"/>
      <c r="CW916" s="8"/>
      <c r="CX916" s="8"/>
      <c r="CY916" s="8"/>
      <c r="CZ916" s="8"/>
      <c r="DA916" s="8"/>
      <c r="DB916" s="8"/>
      <c r="DC916" s="8"/>
      <c r="DD916" s="8"/>
      <c r="DE916" s="8"/>
      <c r="DF916" s="8"/>
      <c r="DG916" s="8"/>
      <c r="DH916" s="8"/>
      <c r="DI916" s="8"/>
      <c r="DJ916" s="8"/>
      <c r="DK916" s="8"/>
      <c r="DL916" s="8"/>
      <c r="DM916" s="8"/>
      <c r="DN916" s="8"/>
    </row>
    <row r="917" spans="2:118" ht="15.75" customHeight="1">
      <c r="B917" s="8"/>
      <c r="CU917" s="8"/>
      <c r="CV917" s="8"/>
      <c r="CW917" s="8"/>
      <c r="CX917" s="8"/>
      <c r="CY917" s="8"/>
      <c r="CZ917" s="8"/>
      <c r="DA917" s="8"/>
      <c r="DB917" s="8"/>
      <c r="DC917" s="8"/>
      <c r="DD917" s="8"/>
      <c r="DE917" s="8"/>
      <c r="DF917" s="8"/>
      <c r="DG917" s="8"/>
      <c r="DH917" s="8"/>
      <c r="DI917" s="8"/>
      <c r="DJ917" s="8"/>
      <c r="DK917" s="8"/>
      <c r="DL917" s="8"/>
      <c r="DM917" s="8"/>
      <c r="DN917" s="8"/>
    </row>
    <row r="918" spans="2:118" ht="15.75" customHeight="1">
      <c r="B918" s="8"/>
      <c r="CU918" s="8"/>
      <c r="CV918" s="8"/>
      <c r="CW918" s="8"/>
      <c r="CX918" s="8"/>
      <c r="CY918" s="8"/>
      <c r="CZ918" s="8"/>
      <c r="DA918" s="8"/>
      <c r="DB918" s="8"/>
      <c r="DC918" s="8"/>
      <c r="DD918" s="8"/>
      <c r="DE918" s="8"/>
      <c r="DF918" s="8"/>
      <c r="DG918" s="8"/>
      <c r="DH918" s="8"/>
      <c r="DI918" s="8"/>
      <c r="DJ918" s="8"/>
      <c r="DK918" s="8"/>
      <c r="DL918" s="8"/>
      <c r="DM918" s="8"/>
      <c r="DN918" s="8"/>
    </row>
    <row r="919" spans="2:118" ht="15.75" customHeight="1">
      <c r="B919" s="8"/>
      <c r="CU919" s="8"/>
      <c r="CV919" s="8"/>
      <c r="CW919" s="8"/>
      <c r="CX919" s="8"/>
      <c r="CY919" s="8"/>
      <c r="CZ919" s="8"/>
      <c r="DA919" s="8"/>
      <c r="DB919" s="8"/>
      <c r="DC919" s="8"/>
      <c r="DD919" s="8"/>
      <c r="DE919" s="8"/>
      <c r="DF919" s="8"/>
      <c r="DG919" s="8"/>
      <c r="DH919" s="8"/>
      <c r="DI919" s="8"/>
      <c r="DJ919" s="8"/>
      <c r="DK919" s="8"/>
      <c r="DL919" s="8"/>
      <c r="DM919" s="8"/>
      <c r="DN919" s="8"/>
    </row>
    <row r="920" spans="2:118" ht="15.75" customHeight="1">
      <c r="B920" s="8"/>
      <c r="CU920" s="8"/>
      <c r="CV920" s="8"/>
      <c r="CW920" s="8"/>
      <c r="CX920" s="8"/>
      <c r="CY920" s="8"/>
      <c r="CZ920" s="8"/>
      <c r="DA920" s="8"/>
      <c r="DB920" s="8"/>
      <c r="DC920" s="8"/>
      <c r="DD920" s="8"/>
      <c r="DE920" s="8"/>
      <c r="DF920" s="8"/>
      <c r="DG920" s="8"/>
      <c r="DH920" s="8"/>
      <c r="DI920" s="8"/>
      <c r="DJ920" s="8"/>
      <c r="DK920" s="8"/>
      <c r="DL920" s="8"/>
      <c r="DM920" s="8"/>
      <c r="DN920" s="8"/>
    </row>
    <row r="921" spans="2:118" ht="15.75" customHeight="1">
      <c r="B921" s="8"/>
      <c r="CU921" s="8"/>
      <c r="CV921" s="8"/>
      <c r="CW921" s="8"/>
      <c r="CX921" s="8"/>
      <c r="CY921" s="8"/>
      <c r="CZ921" s="8"/>
      <c r="DA921" s="8"/>
      <c r="DB921" s="8"/>
      <c r="DC921" s="8"/>
      <c r="DD921" s="8"/>
      <c r="DE921" s="8"/>
      <c r="DF921" s="8"/>
      <c r="DG921" s="8"/>
      <c r="DH921" s="8"/>
      <c r="DI921" s="8"/>
      <c r="DJ921" s="8"/>
      <c r="DK921" s="8"/>
      <c r="DL921" s="8"/>
      <c r="DM921" s="8"/>
      <c r="DN921" s="8"/>
    </row>
    <row r="922" spans="2:118" ht="15.75" customHeight="1">
      <c r="B922" s="8"/>
      <c r="CU922" s="8"/>
      <c r="CV922" s="8"/>
      <c r="CW922" s="8"/>
      <c r="CX922" s="8"/>
      <c r="CY922" s="8"/>
      <c r="CZ922" s="8"/>
      <c r="DA922" s="8"/>
      <c r="DB922" s="8"/>
      <c r="DC922" s="8"/>
      <c r="DD922" s="8"/>
      <c r="DE922" s="8"/>
      <c r="DF922" s="8"/>
      <c r="DG922" s="8"/>
      <c r="DH922" s="8"/>
      <c r="DI922" s="8"/>
      <c r="DJ922" s="8"/>
      <c r="DK922" s="8"/>
      <c r="DL922" s="8"/>
      <c r="DM922" s="8"/>
      <c r="DN922" s="8"/>
    </row>
    <row r="923" spans="2:118" ht="15.75" customHeight="1">
      <c r="B923" s="8"/>
      <c r="CU923" s="8"/>
      <c r="CV923" s="8"/>
      <c r="CW923" s="8"/>
      <c r="CX923" s="8"/>
      <c r="CY923" s="8"/>
      <c r="CZ923" s="8"/>
      <c r="DA923" s="8"/>
      <c r="DB923" s="8"/>
      <c r="DC923" s="8"/>
      <c r="DD923" s="8"/>
      <c r="DE923" s="8"/>
      <c r="DF923" s="8"/>
      <c r="DG923" s="8"/>
      <c r="DH923" s="8"/>
      <c r="DI923" s="8"/>
      <c r="DJ923" s="8"/>
      <c r="DK923" s="8"/>
      <c r="DL923" s="8"/>
      <c r="DM923" s="8"/>
      <c r="DN923" s="8"/>
    </row>
    <row r="924" spans="2:118" ht="15.75" customHeight="1">
      <c r="B924" s="8"/>
      <c r="CU924" s="8"/>
      <c r="CV924" s="8"/>
      <c r="CW924" s="8"/>
      <c r="CX924" s="8"/>
      <c r="CY924" s="8"/>
      <c r="CZ924" s="8"/>
      <c r="DA924" s="8"/>
      <c r="DB924" s="8"/>
      <c r="DC924" s="8"/>
      <c r="DD924" s="8"/>
      <c r="DE924" s="8"/>
      <c r="DF924" s="8"/>
      <c r="DG924" s="8"/>
      <c r="DH924" s="8"/>
      <c r="DI924" s="8"/>
      <c r="DJ924" s="8"/>
      <c r="DK924" s="8"/>
      <c r="DL924" s="8"/>
      <c r="DM924" s="8"/>
      <c r="DN924" s="8"/>
    </row>
    <row r="925" spans="2:118" ht="15.75" customHeight="1">
      <c r="B925" s="8"/>
      <c r="CU925" s="8"/>
      <c r="CV925" s="8"/>
      <c r="CW925" s="8"/>
      <c r="CX925" s="8"/>
      <c r="CY925" s="8"/>
      <c r="CZ925" s="8"/>
      <c r="DA925" s="8"/>
      <c r="DB925" s="8"/>
      <c r="DC925" s="8"/>
      <c r="DD925" s="8"/>
      <c r="DE925" s="8"/>
      <c r="DF925" s="8"/>
      <c r="DG925" s="8"/>
      <c r="DH925" s="8"/>
      <c r="DI925" s="8"/>
      <c r="DJ925" s="8"/>
      <c r="DK925" s="8"/>
      <c r="DL925" s="8"/>
      <c r="DM925" s="8"/>
      <c r="DN925" s="8"/>
    </row>
    <row r="926" spans="2:118" ht="15.75" customHeight="1">
      <c r="B926" s="8"/>
      <c r="CU926" s="8"/>
      <c r="CV926" s="8"/>
      <c r="CW926" s="8"/>
      <c r="CX926" s="8"/>
      <c r="CY926" s="8"/>
      <c r="CZ926" s="8"/>
      <c r="DA926" s="8"/>
      <c r="DB926" s="8"/>
      <c r="DC926" s="8"/>
      <c r="DD926" s="8"/>
      <c r="DE926" s="8"/>
      <c r="DF926" s="8"/>
      <c r="DG926" s="8"/>
      <c r="DH926" s="8"/>
      <c r="DI926" s="8"/>
      <c r="DJ926" s="8"/>
      <c r="DK926" s="8"/>
      <c r="DL926" s="8"/>
      <c r="DM926" s="8"/>
      <c r="DN926" s="8"/>
    </row>
    <row r="927" spans="2:118" ht="15.75" customHeight="1">
      <c r="B927" s="8"/>
      <c r="CU927" s="8"/>
      <c r="CV927" s="8"/>
      <c r="CW927" s="8"/>
      <c r="CX927" s="8"/>
      <c r="CY927" s="8"/>
      <c r="CZ927" s="8"/>
      <c r="DA927" s="8"/>
      <c r="DB927" s="8"/>
      <c r="DC927" s="8"/>
      <c r="DD927" s="8"/>
      <c r="DE927" s="8"/>
      <c r="DF927" s="8"/>
      <c r="DG927" s="8"/>
      <c r="DH927" s="8"/>
      <c r="DI927" s="8"/>
      <c r="DJ927" s="8"/>
      <c r="DK927" s="8"/>
      <c r="DL927" s="8"/>
      <c r="DM927" s="8"/>
      <c r="DN927" s="8"/>
    </row>
    <row r="928" spans="2:118" ht="15.75" customHeight="1">
      <c r="B928" s="8"/>
      <c r="CU928" s="8"/>
      <c r="CV928" s="8"/>
      <c r="CW928" s="8"/>
      <c r="CX928" s="8"/>
      <c r="CY928" s="8"/>
      <c r="CZ928" s="8"/>
      <c r="DA928" s="8"/>
      <c r="DB928" s="8"/>
      <c r="DC928" s="8"/>
      <c r="DD928" s="8"/>
      <c r="DE928" s="8"/>
      <c r="DF928" s="8"/>
      <c r="DG928" s="8"/>
      <c r="DH928" s="8"/>
      <c r="DI928" s="8"/>
      <c r="DJ928" s="8"/>
      <c r="DK928" s="8"/>
      <c r="DL928" s="8"/>
      <c r="DM928" s="8"/>
      <c r="DN928" s="8"/>
    </row>
    <row r="929" spans="2:118" ht="15.75" customHeight="1">
      <c r="B929" s="8"/>
      <c r="CU929" s="8"/>
      <c r="CV929" s="8"/>
      <c r="CW929" s="8"/>
      <c r="CX929" s="8"/>
      <c r="CY929" s="8"/>
      <c r="CZ929" s="8"/>
      <c r="DA929" s="8"/>
      <c r="DB929" s="8"/>
      <c r="DC929" s="8"/>
      <c r="DD929" s="8"/>
      <c r="DE929" s="8"/>
      <c r="DF929" s="8"/>
      <c r="DG929" s="8"/>
      <c r="DH929" s="8"/>
      <c r="DI929" s="8"/>
      <c r="DJ929" s="8"/>
      <c r="DK929" s="8"/>
      <c r="DL929" s="8"/>
      <c r="DM929" s="8"/>
      <c r="DN929" s="8"/>
    </row>
    <row r="930" spans="2:118" ht="15.75" customHeight="1">
      <c r="B930" s="8"/>
      <c r="CU930" s="8"/>
      <c r="CV930" s="8"/>
      <c r="CW930" s="8"/>
      <c r="CX930" s="8"/>
      <c r="CY930" s="8"/>
      <c r="CZ930" s="8"/>
      <c r="DA930" s="8"/>
      <c r="DB930" s="8"/>
      <c r="DC930" s="8"/>
      <c r="DD930" s="8"/>
      <c r="DE930" s="8"/>
      <c r="DF930" s="8"/>
      <c r="DG930" s="8"/>
      <c r="DH930" s="8"/>
      <c r="DI930" s="8"/>
      <c r="DJ930" s="8"/>
      <c r="DK930" s="8"/>
      <c r="DL930" s="8"/>
      <c r="DM930" s="8"/>
      <c r="DN930" s="8"/>
    </row>
    <row r="931" spans="2:118" ht="15.75" customHeight="1">
      <c r="B931" s="8"/>
      <c r="CU931" s="8"/>
      <c r="CV931" s="8"/>
      <c r="CW931" s="8"/>
      <c r="CX931" s="8"/>
      <c r="CY931" s="8"/>
      <c r="CZ931" s="8"/>
      <c r="DA931" s="8"/>
      <c r="DB931" s="8"/>
      <c r="DC931" s="8"/>
      <c r="DD931" s="8"/>
      <c r="DE931" s="8"/>
      <c r="DF931" s="8"/>
      <c r="DG931" s="8"/>
      <c r="DH931" s="8"/>
      <c r="DI931" s="8"/>
      <c r="DJ931" s="8"/>
      <c r="DK931" s="8"/>
      <c r="DL931" s="8"/>
      <c r="DM931" s="8"/>
      <c r="DN931" s="8"/>
    </row>
    <row r="932" spans="2:118" ht="15.75" customHeight="1">
      <c r="B932" s="8"/>
      <c r="CU932" s="8"/>
      <c r="CV932" s="8"/>
      <c r="CW932" s="8"/>
      <c r="CX932" s="8"/>
      <c r="CY932" s="8"/>
      <c r="CZ932" s="8"/>
      <c r="DA932" s="8"/>
      <c r="DB932" s="8"/>
      <c r="DC932" s="8"/>
      <c r="DD932" s="8"/>
      <c r="DE932" s="8"/>
      <c r="DF932" s="8"/>
      <c r="DG932" s="8"/>
      <c r="DH932" s="8"/>
      <c r="DI932" s="8"/>
      <c r="DJ932" s="8"/>
      <c r="DK932" s="8"/>
      <c r="DL932" s="8"/>
      <c r="DM932" s="8"/>
      <c r="DN932" s="8"/>
    </row>
    <row r="933" spans="2:118" ht="15.75" customHeight="1">
      <c r="B933" s="8"/>
      <c r="CU933" s="8"/>
      <c r="CV933" s="8"/>
      <c r="CW933" s="8"/>
      <c r="CX933" s="8"/>
      <c r="CY933" s="8"/>
      <c r="CZ933" s="8"/>
      <c r="DA933" s="8"/>
      <c r="DB933" s="8"/>
      <c r="DC933" s="8"/>
      <c r="DD933" s="8"/>
      <c r="DE933" s="8"/>
      <c r="DF933" s="8"/>
      <c r="DG933" s="8"/>
      <c r="DH933" s="8"/>
      <c r="DI933" s="8"/>
      <c r="DJ933" s="8"/>
      <c r="DK933" s="8"/>
      <c r="DL933" s="8"/>
      <c r="DM933" s="8"/>
      <c r="DN933" s="8"/>
    </row>
    <row r="934" spans="2:118" ht="15.75" customHeight="1">
      <c r="B934" s="8"/>
      <c r="CU934" s="8"/>
      <c r="CV934" s="8"/>
      <c r="CW934" s="8"/>
      <c r="CX934" s="8"/>
      <c r="CY934" s="8"/>
      <c r="CZ934" s="8"/>
      <c r="DA934" s="8"/>
      <c r="DB934" s="8"/>
      <c r="DC934" s="8"/>
      <c r="DD934" s="8"/>
      <c r="DE934" s="8"/>
      <c r="DF934" s="8"/>
      <c r="DG934" s="8"/>
      <c r="DH934" s="8"/>
      <c r="DI934" s="8"/>
      <c r="DJ934" s="8"/>
      <c r="DK934" s="8"/>
      <c r="DL934" s="8"/>
      <c r="DM934" s="8"/>
      <c r="DN934" s="8"/>
    </row>
    <row r="935" spans="2:118" ht="15.75" customHeight="1">
      <c r="B935" s="8"/>
      <c r="CU935" s="8"/>
      <c r="CV935" s="8"/>
      <c r="CW935" s="8"/>
      <c r="CX935" s="8"/>
      <c r="CY935" s="8"/>
      <c r="CZ935" s="8"/>
      <c r="DA935" s="8"/>
      <c r="DB935" s="8"/>
      <c r="DC935" s="8"/>
      <c r="DD935" s="8"/>
      <c r="DE935" s="8"/>
      <c r="DF935" s="8"/>
      <c r="DG935" s="8"/>
      <c r="DH935" s="8"/>
      <c r="DI935" s="8"/>
      <c r="DJ935" s="8"/>
      <c r="DK935" s="8"/>
      <c r="DL935" s="8"/>
      <c r="DM935" s="8"/>
      <c r="DN935" s="8"/>
    </row>
    <row r="936" spans="2:118" ht="15.75" customHeight="1">
      <c r="B936" s="8"/>
      <c r="CU936" s="8"/>
      <c r="CV936" s="8"/>
      <c r="CW936" s="8"/>
      <c r="CX936" s="8"/>
      <c r="CY936" s="8"/>
      <c r="CZ936" s="8"/>
      <c r="DA936" s="8"/>
      <c r="DB936" s="8"/>
      <c r="DC936" s="8"/>
      <c r="DD936" s="8"/>
      <c r="DE936" s="8"/>
      <c r="DF936" s="8"/>
      <c r="DG936" s="8"/>
      <c r="DH936" s="8"/>
      <c r="DI936" s="8"/>
      <c r="DJ936" s="8"/>
      <c r="DK936" s="8"/>
      <c r="DL936" s="8"/>
      <c r="DM936" s="8"/>
      <c r="DN936" s="8"/>
    </row>
    <row r="937" spans="2:118" ht="15.75" customHeight="1">
      <c r="B937" s="8"/>
      <c r="CU937" s="8"/>
      <c r="CV937" s="8"/>
      <c r="CW937" s="8"/>
      <c r="CX937" s="8"/>
      <c r="CY937" s="8"/>
      <c r="CZ937" s="8"/>
      <c r="DA937" s="8"/>
      <c r="DB937" s="8"/>
      <c r="DC937" s="8"/>
      <c r="DD937" s="8"/>
      <c r="DE937" s="8"/>
      <c r="DF937" s="8"/>
      <c r="DG937" s="8"/>
      <c r="DH937" s="8"/>
      <c r="DI937" s="8"/>
      <c r="DJ937" s="8"/>
      <c r="DK937" s="8"/>
      <c r="DL937" s="8"/>
      <c r="DM937" s="8"/>
      <c r="DN937" s="8"/>
    </row>
    <row r="938" spans="2:118" ht="15.75" customHeight="1">
      <c r="B938" s="8"/>
      <c r="CU938" s="8"/>
      <c r="CV938" s="8"/>
      <c r="CW938" s="8"/>
      <c r="CX938" s="8"/>
      <c r="CY938" s="8"/>
      <c r="CZ938" s="8"/>
      <c r="DA938" s="8"/>
      <c r="DB938" s="8"/>
      <c r="DC938" s="8"/>
      <c r="DD938" s="8"/>
      <c r="DE938" s="8"/>
      <c r="DF938" s="8"/>
      <c r="DG938" s="8"/>
      <c r="DH938" s="8"/>
      <c r="DI938" s="8"/>
      <c r="DJ938" s="8"/>
      <c r="DK938" s="8"/>
      <c r="DL938" s="8"/>
      <c r="DM938" s="8"/>
      <c r="DN938" s="8"/>
    </row>
    <row r="939" spans="2:118" ht="15.75" customHeight="1">
      <c r="B939" s="8"/>
      <c r="CU939" s="8"/>
      <c r="CV939" s="8"/>
      <c r="CW939" s="8"/>
      <c r="CX939" s="8"/>
      <c r="CY939" s="8"/>
      <c r="CZ939" s="8"/>
      <c r="DA939" s="8"/>
      <c r="DB939" s="8"/>
      <c r="DC939" s="8"/>
      <c r="DD939" s="8"/>
      <c r="DE939" s="8"/>
      <c r="DF939" s="8"/>
      <c r="DG939" s="8"/>
      <c r="DH939" s="8"/>
      <c r="DI939" s="8"/>
      <c r="DJ939" s="8"/>
      <c r="DK939" s="8"/>
      <c r="DL939" s="8"/>
      <c r="DM939" s="8"/>
      <c r="DN939" s="8"/>
    </row>
    <row r="940" spans="2:118" ht="15.75" customHeight="1">
      <c r="B940" s="8"/>
      <c r="CU940" s="8"/>
      <c r="CV940" s="8"/>
      <c r="CW940" s="8"/>
      <c r="CX940" s="8"/>
      <c r="CY940" s="8"/>
      <c r="CZ940" s="8"/>
      <c r="DA940" s="8"/>
      <c r="DB940" s="8"/>
      <c r="DC940" s="8"/>
      <c r="DD940" s="8"/>
      <c r="DE940" s="8"/>
      <c r="DF940" s="8"/>
      <c r="DG940" s="8"/>
      <c r="DH940" s="8"/>
      <c r="DI940" s="8"/>
      <c r="DJ940" s="8"/>
      <c r="DK940" s="8"/>
      <c r="DL940" s="8"/>
      <c r="DM940" s="8"/>
      <c r="DN940" s="8"/>
    </row>
    <row r="941" spans="2:118" ht="15.75" customHeight="1">
      <c r="B941" s="8"/>
      <c r="CU941" s="8"/>
      <c r="CV941" s="8"/>
      <c r="CW941" s="8"/>
      <c r="CX941" s="8"/>
      <c r="CY941" s="8"/>
      <c r="CZ941" s="8"/>
      <c r="DA941" s="8"/>
      <c r="DB941" s="8"/>
      <c r="DC941" s="8"/>
      <c r="DD941" s="8"/>
      <c r="DE941" s="8"/>
      <c r="DF941" s="8"/>
      <c r="DG941" s="8"/>
      <c r="DH941" s="8"/>
      <c r="DI941" s="8"/>
      <c r="DJ941" s="8"/>
      <c r="DK941" s="8"/>
      <c r="DL941" s="8"/>
      <c r="DM941" s="8"/>
      <c r="DN941" s="8"/>
    </row>
    <row r="942" spans="2:118" ht="15.75" customHeight="1">
      <c r="B942" s="8"/>
      <c r="CU942" s="8"/>
      <c r="CV942" s="8"/>
      <c r="CW942" s="8"/>
      <c r="CX942" s="8"/>
      <c r="CY942" s="8"/>
      <c r="CZ942" s="8"/>
      <c r="DA942" s="8"/>
      <c r="DB942" s="8"/>
      <c r="DC942" s="8"/>
      <c r="DD942" s="8"/>
      <c r="DE942" s="8"/>
      <c r="DF942" s="8"/>
      <c r="DG942" s="8"/>
      <c r="DH942" s="8"/>
      <c r="DI942" s="8"/>
      <c r="DJ942" s="8"/>
      <c r="DK942" s="8"/>
      <c r="DL942" s="8"/>
      <c r="DM942" s="8"/>
      <c r="DN942" s="8"/>
    </row>
    <row r="943" spans="2:118" ht="15.75" customHeight="1">
      <c r="B943" s="8"/>
      <c r="CU943" s="8"/>
      <c r="CV943" s="8"/>
      <c r="CW943" s="8"/>
      <c r="CX943" s="8"/>
      <c r="CY943" s="8"/>
      <c r="CZ943" s="8"/>
      <c r="DA943" s="8"/>
      <c r="DB943" s="8"/>
      <c r="DC943" s="8"/>
      <c r="DD943" s="8"/>
      <c r="DE943" s="8"/>
      <c r="DF943" s="8"/>
      <c r="DG943" s="8"/>
      <c r="DH943" s="8"/>
      <c r="DI943" s="8"/>
      <c r="DJ943" s="8"/>
      <c r="DK943" s="8"/>
      <c r="DL943" s="8"/>
      <c r="DM943" s="8"/>
      <c r="DN943" s="8"/>
    </row>
    <row r="944" spans="2:118" ht="15.75" customHeight="1">
      <c r="B944" s="8"/>
      <c r="CU944" s="8"/>
      <c r="CV944" s="8"/>
      <c r="CW944" s="8"/>
      <c r="CX944" s="8"/>
      <c r="CY944" s="8"/>
      <c r="CZ944" s="8"/>
      <c r="DA944" s="8"/>
      <c r="DB944" s="8"/>
      <c r="DC944" s="8"/>
      <c r="DD944" s="8"/>
      <c r="DE944" s="8"/>
      <c r="DF944" s="8"/>
      <c r="DG944" s="8"/>
      <c r="DH944" s="8"/>
      <c r="DI944" s="8"/>
      <c r="DJ944" s="8"/>
      <c r="DK944" s="8"/>
      <c r="DL944" s="8"/>
      <c r="DM944" s="8"/>
      <c r="DN944" s="8"/>
    </row>
    <row r="945" spans="2:118" ht="15.75" customHeight="1">
      <c r="B945" s="8"/>
      <c r="CU945" s="8"/>
      <c r="CV945" s="8"/>
      <c r="CW945" s="8"/>
      <c r="CX945" s="8"/>
      <c r="CY945" s="8"/>
      <c r="CZ945" s="8"/>
      <c r="DA945" s="8"/>
      <c r="DB945" s="8"/>
      <c r="DC945" s="8"/>
      <c r="DD945" s="8"/>
      <c r="DE945" s="8"/>
      <c r="DF945" s="8"/>
      <c r="DG945" s="8"/>
      <c r="DH945" s="8"/>
      <c r="DI945" s="8"/>
      <c r="DJ945" s="8"/>
      <c r="DK945" s="8"/>
      <c r="DL945" s="8"/>
      <c r="DM945" s="8"/>
      <c r="DN945" s="8"/>
    </row>
    <row r="946" spans="2:118" ht="15.75" customHeight="1">
      <c r="B946" s="8"/>
      <c r="CU946" s="8"/>
      <c r="CV946" s="8"/>
      <c r="CW946" s="8"/>
      <c r="CX946" s="8"/>
      <c r="CY946" s="8"/>
      <c r="CZ946" s="8"/>
      <c r="DA946" s="8"/>
      <c r="DB946" s="8"/>
      <c r="DC946" s="8"/>
      <c r="DD946" s="8"/>
      <c r="DE946" s="8"/>
      <c r="DF946" s="8"/>
      <c r="DG946" s="8"/>
      <c r="DH946" s="8"/>
      <c r="DI946" s="8"/>
      <c r="DJ946" s="8"/>
      <c r="DK946" s="8"/>
      <c r="DL946" s="8"/>
      <c r="DM946" s="8"/>
      <c r="DN946" s="8"/>
    </row>
    <row r="947" spans="2:118" ht="15.75" customHeight="1">
      <c r="B947" s="8"/>
      <c r="CU947" s="8"/>
      <c r="CV947" s="8"/>
      <c r="CW947" s="8"/>
      <c r="CX947" s="8"/>
      <c r="CY947" s="8"/>
      <c r="CZ947" s="8"/>
      <c r="DA947" s="8"/>
      <c r="DB947" s="8"/>
      <c r="DC947" s="8"/>
      <c r="DD947" s="8"/>
      <c r="DE947" s="8"/>
      <c r="DF947" s="8"/>
      <c r="DG947" s="8"/>
      <c r="DH947" s="8"/>
      <c r="DI947" s="8"/>
      <c r="DJ947" s="8"/>
      <c r="DK947" s="8"/>
      <c r="DL947" s="8"/>
      <c r="DM947" s="8"/>
      <c r="DN947" s="8"/>
    </row>
    <row r="948" spans="2:118" ht="15.75" customHeight="1">
      <c r="B948" s="8"/>
      <c r="CU948" s="8"/>
      <c r="CV948" s="8"/>
      <c r="CW948" s="8"/>
      <c r="CX948" s="8"/>
      <c r="CY948" s="8"/>
      <c r="CZ948" s="8"/>
      <c r="DA948" s="8"/>
      <c r="DB948" s="8"/>
      <c r="DC948" s="8"/>
      <c r="DD948" s="8"/>
      <c r="DE948" s="8"/>
      <c r="DF948" s="8"/>
      <c r="DG948" s="8"/>
      <c r="DH948" s="8"/>
      <c r="DI948" s="8"/>
      <c r="DJ948" s="8"/>
      <c r="DK948" s="8"/>
      <c r="DL948" s="8"/>
      <c r="DM948" s="8"/>
      <c r="DN948" s="8"/>
    </row>
    <row r="949" spans="2:118" ht="15.75" customHeight="1">
      <c r="B949" s="8"/>
      <c r="CU949" s="8"/>
      <c r="CV949" s="8"/>
      <c r="CW949" s="8"/>
      <c r="CX949" s="8"/>
      <c r="CY949" s="8"/>
      <c r="CZ949" s="8"/>
      <c r="DA949" s="8"/>
      <c r="DB949" s="8"/>
      <c r="DC949" s="8"/>
      <c r="DD949" s="8"/>
      <c r="DE949" s="8"/>
      <c r="DF949" s="8"/>
      <c r="DG949" s="8"/>
      <c r="DH949" s="8"/>
      <c r="DI949" s="8"/>
      <c r="DJ949" s="8"/>
      <c r="DK949" s="8"/>
      <c r="DL949" s="8"/>
      <c r="DM949" s="8"/>
      <c r="DN949" s="8"/>
    </row>
    <row r="950" spans="2:118" ht="15.75" customHeight="1">
      <c r="B950" s="8"/>
      <c r="CU950" s="8"/>
      <c r="CV950" s="8"/>
      <c r="CW950" s="8"/>
      <c r="CX950" s="8"/>
      <c r="CY950" s="8"/>
      <c r="CZ950" s="8"/>
      <c r="DA950" s="8"/>
      <c r="DB950" s="8"/>
      <c r="DC950" s="8"/>
      <c r="DD950" s="8"/>
      <c r="DE950" s="8"/>
      <c r="DF950" s="8"/>
      <c r="DG950" s="8"/>
      <c r="DH950" s="8"/>
      <c r="DI950" s="8"/>
      <c r="DJ950" s="8"/>
      <c r="DK950" s="8"/>
      <c r="DL950" s="8"/>
      <c r="DM950" s="8"/>
      <c r="DN950" s="8"/>
    </row>
    <row r="951" spans="2:118" ht="15.75" customHeight="1">
      <c r="B951" s="8"/>
      <c r="CU951" s="8"/>
      <c r="CV951" s="8"/>
      <c r="CW951" s="8"/>
      <c r="CX951" s="8"/>
      <c r="CY951" s="8"/>
      <c r="CZ951" s="8"/>
      <c r="DA951" s="8"/>
      <c r="DB951" s="8"/>
      <c r="DC951" s="8"/>
      <c r="DD951" s="8"/>
      <c r="DE951" s="8"/>
      <c r="DF951" s="8"/>
      <c r="DG951" s="8"/>
      <c r="DH951" s="8"/>
      <c r="DI951" s="8"/>
      <c r="DJ951" s="8"/>
      <c r="DK951" s="8"/>
      <c r="DL951" s="8"/>
      <c r="DM951" s="8"/>
      <c r="DN951" s="8"/>
    </row>
    <row r="952" spans="2:118" ht="15.75" customHeight="1">
      <c r="B952" s="8"/>
      <c r="CU952" s="8"/>
      <c r="CV952" s="8"/>
      <c r="CW952" s="8"/>
      <c r="CX952" s="8"/>
      <c r="CY952" s="8"/>
      <c r="CZ952" s="8"/>
      <c r="DA952" s="8"/>
      <c r="DB952" s="8"/>
      <c r="DC952" s="8"/>
      <c r="DD952" s="8"/>
      <c r="DE952" s="8"/>
      <c r="DF952" s="8"/>
      <c r="DG952" s="8"/>
      <c r="DH952" s="8"/>
      <c r="DI952" s="8"/>
      <c r="DJ952" s="8"/>
      <c r="DK952" s="8"/>
      <c r="DL952" s="8"/>
      <c r="DM952" s="8"/>
      <c r="DN952" s="8"/>
    </row>
    <row r="953" spans="2:118" ht="15.75" customHeight="1">
      <c r="B953" s="8"/>
      <c r="CU953" s="8"/>
      <c r="CV953" s="8"/>
      <c r="CW953" s="8"/>
      <c r="CX953" s="8"/>
      <c r="CY953" s="8"/>
      <c r="CZ953" s="8"/>
      <c r="DA953" s="8"/>
      <c r="DB953" s="8"/>
      <c r="DC953" s="8"/>
      <c r="DD953" s="8"/>
      <c r="DE953" s="8"/>
      <c r="DF953" s="8"/>
      <c r="DG953" s="8"/>
      <c r="DH953" s="8"/>
      <c r="DI953" s="8"/>
      <c r="DJ953" s="8"/>
      <c r="DK953" s="8"/>
      <c r="DL953" s="8"/>
      <c r="DM953" s="8"/>
      <c r="DN953" s="8"/>
    </row>
    <row r="954" spans="2:118" ht="15.75" customHeight="1">
      <c r="B954" s="8"/>
      <c r="CU954" s="8"/>
      <c r="CV954" s="8"/>
      <c r="CW954" s="8"/>
      <c r="CX954" s="8"/>
      <c r="CY954" s="8"/>
      <c r="CZ954" s="8"/>
      <c r="DA954" s="8"/>
      <c r="DB954" s="8"/>
      <c r="DC954" s="8"/>
      <c r="DD954" s="8"/>
      <c r="DE954" s="8"/>
      <c r="DF954" s="8"/>
      <c r="DG954" s="8"/>
      <c r="DH954" s="8"/>
      <c r="DI954" s="8"/>
      <c r="DJ954" s="8"/>
      <c r="DK954" s="8"/>
      <c r="DL954" s="8"/>
      <c r="DM954" s="8"/>
      <c r="DN954" s="8"/>
    </row>
    <row r="955" spans="2:118" ht="15.75" customHeight="1">
      <c r="B955" s="8"/>
      <c r="CU955" s="8"/>
      <c r="CV955" s="8"/>
      <c r="CW955" s="8"/>
      <c r="CX955" s="8"/>
      <c r="CY955" s="8"/>
      <c r="CZ955" s="8"/>
      <c r="DA955" s="8"/>
      <c r="DB955" s="8"/>
      <c r="DC955" s="8"/>
      <c r="DD955" s="8"/>
      <c r="DE955" s="8"/>
      <c r="DF955" s="8"/>
      <c r="DG955" s="8"/>
      <c r="DH955" s="8"/>
      <c r="DI955" s="8"/>
      <c r="DJ955" s="8"/>
      <c r="DK955" s="8"/>
      <c r="DL955" s="8"/>
      <c r="DM955" s="8"/>
      <c r="DN955" s="8"/>
    </row>
    <row r="956" spans="2:118" ht="15.75" customHeight="1">
      <c r="B956" s="8"/>
      <c r="CU956" s="8"/>
      <c r="CV956" s="8"/>
      <c r="CW956" s="8"/>
      <c r="CX956" s="8"/>
      <c r="CY956" s="8"/>
      <c r="CZ956" s="8"/>
      <c r="DA956" s="8"/>
      <c r="DB956" s="8"/>
      <c r="DC956" s="8"/>
      <c r="DD956" s="8"/>
      <c r="DE956" s="8"/>
      <c r="DF956" s="8"/>
      <c r="DG956" s="8"/>
      <c r="DH956" s="8"/>
      <c r="DI956" s="8"/>
      <c r="DJ956" s="8"/>
      <c r="DK956" s="8"/>
      <c r="DL956" s="8"/>
      <c r="DM956" s="8"/>
      <c r="DN956" s="8"/>
    </row>
    <row r="957" spans="2:118" ht="15.75" customHeight="1">
      <c r="B957" s="8"/>
      <c r="CU957" s="8"/>
      <c r="CV957" s="8"/>
      <c r="CW957" s="8"/>
      <c r="CX957" s="8"/>
      <c r="CY957" s="8"/>
      <c r="CZ957" s="8"/>
      <c r="DA957" s="8"/>
      <c r="DB957" s="8"/>
      <c r="DC957" s="8"/>
      <c r="DD957" s="8"/>
      <c r="DE957" s="8"/>
      <c r="DF957" s="8"/>
      <c r="DG957" s="8"/>
      <c r="DH957" s="8"/>
      <c r="DI957" s="8"/>
      <c r="DJ957" s="8"/>
      <c r="DK957" s="8"/>
      <c r="DL957" s="8"/>
      <c r="DM957" s="8"/>
      <c r="DN957" s="8"/>
    </row>
    <row r="958" spans="2:118" ht="15.75" customHeight="1">
      <c r="B958" s="8"/>
      <c r="CU958" s="8"/>
      <c r="CV958" s="8"/>
      <c r="CW958" s="8"/>
      <c r="CX958" s="8"/>
      <c r="CY958" s="8"/>
      <c r="CZ958" s="8"/>
      <c r="DA958" s="8"/>
      <c r="DB958" s="8"/>
      <c r="DC958" s="8"/>
      <c r="DD958" s="8"/>
      <c r="DE958" s="8"/>
      <c r="DF958" s="8"/>
      <c r="DG958" s="8"/>
      <c r="DH958" s="8"/>
      <c r="DI958" s="8"/>
      <c r="DJ958" s="8"/>
      <c r="DK958" s="8"/>
      <c r="DL958" s="8"/>
      <c r="DM958" s="8"/>
      <c r="DN958" s="8"/>
    </row>
    <row r="959" spans="2:118" ht="15.75" customHeight="1">
      <c r="B959" s="8"/>
      <c r="CU959" s="8"/>
      <c r="CV959" s="8"/>
      <c r="CW959" s="8"/>
      <c r="CX959" s="8"/>
      <c r="CY959" s="8"/>
      <c r="CZ959" s="8"/>
      <c r="DA959" s="8"/>
      <c r="DB959" s="8"/>
      <c r="DC959" s="8"/>
      <c r="DD959" s="8"/>
      <c r="DE959" s="8"/>
      <c r="DF959" s="8"/>
      <c r="DG959" s="8"/>
      <c r="DH959" s="8"/>
      <c r="DI959" s="8"/>
      <c r="DJ959" s="8"/>
      <c r="DK959" s="8"/>
      <c r="DL959" s="8"/>
      <c r="DM959" s="8"/>
      <c r="DN959" s="8"/>
    </row>
    <row r="960" spans="2:118" ht="15.75" customHeight="1">
      <c r="B960" s="8"/>
      <c r="CU960" s="8"/>
      <c r="CV960" s="8"/>
      <c r="CW960" s="8"/>
      <c r="CX960" s="8"/>
      <c r="CY960" s="8"/>
      <c r="CZ960" s="8"/>
      <c r="DA960" s="8"/>
      <c r="DB960" s="8"/>
      <c r="DC960" s="8"/>
      <c r="DD960" s="8"/>
      <c r="DE960" s="8"/>
      <c r="DF960" s="8"/>
      <c r="DG960" s="8"/>
      <c r="DH960" s="8"/>
      <c r="DI960" s="8"/>
      <c r="DJ960" s="8"/>
      <c r="DK960" s="8"/>
      <c r="DL960" s="8"/>
      <c r="DM960" s="8"/>
      <c r="DN960" s="8"/>
    </row>
    <row r="961" spans="2:118" ht="15.75" customHeight="1">
      <c r="B961" s="8"/>
      <c r="CU961" s="8"/>
      <c r="CV961" s="8"/>
      <c r="CW961" s="8"/>
      <c r="CX961" s="8"/>
      <c r="CY961" s="8"/>
      <c r="CZ961" s="8"/>
      <c r="DA961" s="8"/>
      <c r="DB961" s="8"/>
      <c r="DC961" s="8"/>
      <c r="DD961" s="8"/>
      <c r="DE961" s="8"/>
      <c r="DF961" s="8"/>
      <c r="DG961" s="8"/>
      <c r="DH961" s="8"/>
      <c r="DI961" s="8"/>
      <c r="DJ961" s="8"/>
      <c r="DK961" s="8"/>
      <c r="DL961" s="8"/>
      <c r="DM961" s="8"/>
      <c r="DN961" s="8"/>
    </row>
    <row r="962" spans="2:118" ht="15.75" customHeight="1">
      <c r="B962" s="8"/>
      <c r="CU962" s="8"/>
      <c r="CV962" s="8"/>
      <c r="CW962" s="8"/>
      <c r="CX962" s="8"/>
      <c r="CY962" s="8"/>
      <c r="CZ962" s="8"/>
      <c r="DA962" s="8"/>
      <c r="DB962" s="8"/>
      <c r="DC962" s="8"/>
      <c r="DD962" s="8"/>
      <c r="DE962" s="8"/>
      <c r="DF962" s="8"/>
      <c r="DG962" s="8"/>
      <c r="DH962" s="8"/>
      <c r="DI962" s="8"/>
      <c r="DJ962" s="8"/>
      <c r="DK962" s="8"/>
      <c r="DL962" s="8"/>
      <c r="DM962" s="8"/>
      <c r="DN962" s="8"/>
    </row>
    <row r="963" spans="2:118" ht="15.75" customHeight="1">
      <c r="B963" s="8"/>
      <c r="CU963" s="8"/>
      <c r="CV963" s="8"/>
      <c r="CW963" s="8"/>
      <c r="CX963" s="8"/>
      <c r="CY963" s="8"/>
      <c r="CZ963" s="8"/>
      <c r="DA963" s="8"/>
      <c r="DB963" s="8"/>
      <c r="DC963" s="8"/>
      <c r="DD963" s="8"/>
      <c r="DE963" s="8"/>
      <c r="DF963" s="8"/>
      <c r="DG963" s="8"/>
      <c r="DH963" s="8"/>
      <c r="DI963" s="8"/>
      <c r="DJ963" s="8"/>
      <c r="DK963" s="8"/>
      <c r="DL963" s="8"/>
      <c r="DM963" s="8"/>
      <c r="DN963" s="8"/>
    </row>
    <row r="964" spans="2:118" ht="15.75" customHeight="1">
      <c r="B964" s="8"/>
      <c r="CU964" s="8"/>
      <c r="CV964" s="8"/>
      <c r="CW964" s="8"/>
      <c r="CX964" s="8"/>
      <c r="CY964" s="8"/>
      <c r="CZ964" s="8"/>
      <c r="DA964" s="8"/>
      <c r="DB964" s="8"/>
      <c r="DC964" s="8"/>
      <c r="DD964" s="8"/>
      <c r="DE964" s="8"/>
      <c r="DF964" s="8"/>
      <c r="DG964" s="8"/>
      <c r="DH964" s="8"/>
      <c r="DI964" s="8"/>
      <c r="DJ964" s="8"/>
      <c r="DK964" s="8"/>
      <c r="DL964" s="8"/>
      <c r="DM964" s="8"/>
      <c r="DN964" s="8"/>
    </row>
    <row r="965" spans="2:118" ht="15.75" customHeight="1">
      <c r="B965" s="8"/>
      <c r="CU965" s="8"/>
      <c r="CV965" s="8"/>
      <c r="CW965" s="8"/>
      <c r="CX965" s="8"/>
      <c r="CY965" s="8"/>
      <c r="CZ965" s="8"/>
      <c r="DA965" s="8"/>
      <c r="DB965" s="8"/>
      <c r="DC965" s="8"/>
      <c r="DD965" s="8"/>
      <c r="DE965" s="8"/>
      <c r="DF965" s="8"/>
      <c r="DG965" s="8"/>
      <c r="DH965" s="8"/>
      <c r="DI965" s="8"/>
      <c r="DJ965" s="8"/>
      <c r="DK965" s="8"/>
      <c r="DL965" s="8"/>
      <c r="DM965" s="8"/>
      <c r="DN965" s="8"/>
    </row>
    <row r="966" spans="2:118" ht="15.75" customHeight="1">
      <c r="B966" s="8"/>
      <c r="CU966" s="8"/>
      <c r="CV966" s="8"/>
      <c r="CW966" s="8"/>
      <c r="CX966" s="8"/>
      <c r="CY966" s="8"/>
      <c r="CZ966" s="8"/>
      <c r="DA966" s="8"/>
      <c r="DB966" s="8"/>
      <c r="DC966" s="8"/>
      <c r="DD966" s="8"/>
      <c r="DE966" s="8"/>
      <c r="DF966" s="8"/>
      <c r="DG966" s="8"/>
      <c r="DH966" s="8"/>
      <c r="DI966" s="8"/>
      <c r="DJ966" s="8"/>
      <c r="DK966" s="8"/>
      <c r="DL966" s="8"/>
      <c r="DM966" s="8"/>
      <c r="DN966" s="8"/>
    </row>
    <row r="967" spans="2:118" ht="15.75" customHeight="1">
      <c r="B967" s="8"/>
      <c r="CU967" s="8"/>
      <c r="CV967" s="8"/>
      <c r="CW967" s="8"/>
      <c r="CX967" s="8"/>
      <c r="CY967" s="8"/>
      <c r="CZ967" s="8"/>
      <c r="DA967" s="8"/>
      <c r="DB967" s="8"/>
      <c r="DC967" s="8"/>
      <c r="DD967" s="8"/>
      <c r="DE967" s="8"/>
      <c r="DF967" s="8"/>
      <c r="DG967" s="8"/>
      <c r="DH967" s="8"/>
      <c r="DI967" s="8"/>
      <c r="DJ967" s="8"/>
      <c r="DK967" s="8"/>
      <c r="DL967" s="8"/>
      <c r="DM967" s="8"/>
      <c r="DN967" s="8"/>
    </row>
    <row r="968" spans="2:118" ht="15.75" customHeight="1">
      <c r="B968" s="8"/>
      <c r="CU968" s="8"/>
      <c r="CV968" s="8"/>
      <c r="CW968" s="8"/>
      <c r="CX968" s="8"/>
      <c r="CY968" s="8"/>
      <c r="CZ968" s="8"/>
      <c r="DA968" s="8"/>
      <c r="DB968" s="8"/>
      <c r="DC968" s="8"/>
      <c r="DD968" s="8"/>
      <c r="DE968" s="8"/>
      <c r="DF968" s="8"/>
      <c r="DG968" s="8"/>
      <c r="DH968" s="8"/>
      <c r="DI968" s="8"/>
      <c r="DJ968" s="8"/>
      <c r="DK968" s="8"/>
      <c r="DL968" s="8"/>
      <c r="DM968" s="8"/>
      <c r="DN968" s="8"/>
    </row>
    <row r="969" spans="2:118" ht="15.75" customHeight="1">
      <c r="B969" s="8"/>
      <c r="CU969" s="8"/>
      <c r="CV969" s="8"/>
      <c r="CW969" s="8"/>
      <c r="CX969" s="8"/>
      <c r="CY969" s="8"/>
      <c r="CZ969" s="8"/>
      <c r="DA969" s="8"/>
      <c r="DB969" s="8"/>
      <c r="DC969" s="8"/>
      <c r="DD969" s="8"/>
      <c r="DE969" s="8"/>
      <c r="DF969" s="8"/>
      <c r="DG969" s="8"/>
      <c r="DH969" s="8"/>
      <c r="DI969" s="8"/>
      <c r="DJ969" s="8"/>
      <c r="DK969" s="8"/>
      <c r="DL969" s="8"/>
      <c r="DM969" s="8"/>
      <c r="DN969" s="8"/>
    </row>
    <row r="970" spans="2:118" ht="15.75" customHeight="1">
      <c r="B970" s="8"/>
      <c r="CU970" s="8"/>
      <c r="CV970" s="8"/>
      <c r="CW970" s="8"/>
      <c r="CX970" s="8"/>
      <c r="CY970" s="8"/>
      <c r="CZ970" s="8"/>
      <c r="DA970" s="8"/>
      <c r="DB970" s="8"/>
      <c r="DC970" s="8"/>
      <c r="DD970" s="8"/>
      <c r="DE970" s="8"/>
      <c r="DF970" s="8"/>
      <c r="DG970" s="8"/>
      <c r="DH970" s="8"/>
      <c r="DI970" s="8"/>
      <c r="DJ970" s="8"/>
      <c r="DK970" s="8"/>
      <c r="DL970" s="8"/>
      <c r="DM970" s="8"/>
      <c r="DN970" s="8"/>
    </row>
    <row r="971" spans="2:118" ht="15.75" customHeight="1">
      <c r="B971" s="8"/>
      <c r="CU971" s="8"/>
      <c r="CV971" s="8"/>
      <c r="CW971" s="8"/>
      <c r="CX971" s="8"/>
      <c r="CY971" s="8"/>
      <c r="CZ971" s="8"/>
      <c r="DA971" s="8"/>
      <c r="DB971" s="8"/>
      <c r="DC971" s="8"/>
      <c r="DD971" s="8"/>
      <c r="DE971" s="8"/>
      <c r="DF971" s="8"/>
      <c r="DG971" s="8"/>
      <c r="DH971" s="8"/>
      <c r="DI971" s="8"/>
      <c r="DJ971" s="8"/>
      <c r="DK971" s="8"/>
      <c r="DL971" s="8"/>
      <c r="DM971" s="8"/>
      <c r="DN971" s="8"/>
    </row>
    <row r="972" spans="2:118" ht="15.75" customHeight="1">
      <c r="B972" s="8"/>
      <c r="CU972" s="8"/>
      <c r="CV972" s="8"/>
      <c r="CW972" s="8"/>
      <c r="CX972" s="8"/>
      <c r="CY972" s="8"/>
      <c r="CZ972" s="8"/>
      <c r="DA972" s="8"/>
      <c r="DB972" s="8"/>
      <c r="DC972" s="8"/>
      <c r="DD972" s="8"/>
      <c r="DE972" s="8"/>
      <c r="DF972" s="8"/>
      <c r="DG972" s="8"/>
      <c r="DH972" s="8"/>
      <c r="DI972" s="8"/>
      <c r="DJ972" s="8"/>
      <c r="DK972" s="8"/>
      <c r="DL972" s="8"/>
      <c r="DM972" s="8"/>
      <c r="DN972" s="8"/>
    </row>
    <row r="973" spans="2:118" ht="15.75" customHeight="1">
      <c r="B973" s="8"/>
      <c r="CU973" s="8"/>
      <c r="CV973" s="8"/>
      <c r="CW973" s="8"/>
      <c r="CX973" s="8"/>
      <c r="CY973" s="8"/>
      <c r="CZ973" s="8"/>
      <c r="DA973" s="8"/>
      <c r="DB973" s="8"/>
      <c r="DC973" s="8"/>
      <c r="DD973" s="8"/>
      <c r="DE973" s="8"/>
      <c r="DF973" s="8"/>
      <c r="DG973" s="8"/>
      <c r="DH973" s="8"/>
      <c r="DI973" s="8"/>
      <c r="DJ973" s="8"/>
      <c r="DK973" s="8"/>
      <c r="DL973" s="8"/>
      <c r="DM973" s="8"/>
      <c r="DN973" s="8"/>
    </row>
    <row r="974" spans="2:118" ht="15.75" customHeight="1">
      <c r="B974" s="8"/>
      <c r="CU974" s="8"/>
      <c r="CV974" s="8"/>
      <c r="CW974" s="8"/>
      <c r="CX974" s="8"/>
      <c r="CY974" s="8"/>
      <c r="CZ974" s="8"/>
      <c r="DA974" s="8"/>
      <c r="DB974" s="8"/>
      <c r="DC974" s="8"/>
      <c r="DD974" s="8"/>
      <c r="DE974" s="8"/>
      <c r="DF974" s="8"/>
      <c r="DG974" s="8"/>
      <c r="DH974" s="8"/>
      <c r="DI974" s="8"/>
      <c r="DJ974" s="8"/>
      <c r="DK974" s="8"/>
      <c r="DL974" s="8"/>
      <c r="DM974" s="8"/>
      <c r="DN974" s="8"/>
    </row>
    <row r="975" spans="2:118" ht="15.75" customHeight="1">
      <c r="B975" s="8"/>
      <c r="CU975" s="8"/>
      <c r="CV975" s="8"/>
      <c r="CW975" s="8"/>
      <c r="CX975" s="8"/>
      <c r="CY975" s="8"/>
      <c r="CZ975" s="8"/>
      <c r="DA975" s="8"/>
      <c r="DB975" s="8"/>
      <c r="DC975" s="8"/>
      <c r="DD975" s="8"/>
      <c r="DE975" s="8"/>
      <c r="DF975" s="8"/>
      <c r="DG975" s="8"/>
      <c r="DH975" s="8"/>
      <c r="DI975" s="8"/>
      <c r="DJ975" s="8"/>
      <c r="DK975" s="8"/>
      <c r="DL975" s="8"/>
      <c r="DM975" s="8"/>
      <c r="DN975" s="8"/>
    </row>
    <row r="976" spans="2:118" ht="15.75" customHeight="1">
      <c r="B976" s="8"/>
      <c r="CU976" s="8"/>
      <c r="CV976" s="8"/>
      <c r="CW976" s="8"/>
      <c r="CX976" s="8"/>
      <c r="CY976" s="8"/>
      <c r="CZ976" s="8"/>
      <c r="DA976" s="8"/>
      <c r="DB976" s="8"/>
      <c r="DC976" s="8"/>
      <c r="DD976" s="8"/>
      <c r="DE976" s="8"/>
      <c r="DF976" s="8"/>
      <c r="DG976" s="8"/>
      <c r="DH976" s="8"/>
      <c r="DI976" s="8"/>
      <c r="DJ976" s="8"/>
      <c r="DK976" s="8"/>
      <c r="DL976" s="8"/>
      <c r="DM976" s="8"/>
      <c r="DN976" s="8"/>
    </row>
    <row r="977" spans="2:118" ht="15.75" customHeight="1">
      <c r="B977" s="8"/>
      <c r="CU977" s="8"/>
      <c r="CV977" s="8"/>
      <c r="CW977" s="8"/>
      <c r="CX977" s="8"/>
      <c r="CY977" s="8"/>
      <c r="CZ977" s="8"/>
      <c r="DA977" s="8"/>
      <c r="DB977" s="8"/>
      <c r="DC977" s="8"/>
      <c r="DD977" s="8"/>
      <c r="DE977" s="8"/>
      <c r="DF977" s="8"/>
      <c r="DG977" s="8"/>
      <c r="DH977" s="8"/>
      <c r="DI977" s="8"/>
      <c r="DJ977" s="8"/>
      <c r="DK977" s="8"/>
      <c r="DL977" s="8"/>
      <c r="DM977" s="8"/>
      <c r="DN977" s="8"/>
    </row>
    <row r="978" spans="2:118" ht="15.75" customHeight="1">
      <c r="B978" s="8"/>
      <c r="CU978" s="8"/>
      <c r="CV978" s="8"/>
      <c r="CW978" s="8"/>
      <c r="CX978" s="8"/>
      <c r="CY978" s="8"/>
      <c r="CZ978" s="8"/>
      <c r="DA978" s="8"/>
      <c r="DB978" s="8"/>
      <c r="DC978" s="8"/>
      <c r="DD978" s="8"/>
      <c r="DE978" s="8"/>
      <c r="DF978" s="8"/>
      <c r="DG978" s="8"/>
      <c r="DH978" s="8"/>
      <c r="DI978" s="8"/>
      <c r="DJ978" s="8"/>
      <c r="DK978" s="8"/>
      <c r="DL978" s="8"/>
      <c r="DM978" s="8"/>
      <c r="DN978" s="8"/>
    </row>
    <row r="979" spans="2:118" ht="15.75" customHeight="1">
      <c r="B979" s="8"/>
      <c r="CU979" s="8"/>
      <c r="CV979" s="8"/>
      <c r="CW979" s="8"/>
      <c r="CX979" s="8"/>
      <c r="CY979" s="8"/>
      <c r="CZ979" s="8"/>
      <c r="DA979" s="8"/>
      <c r="DB979" s="8"/>
      <c r="DC979" s="8"/>
      <c r="DD979" s="8"/>
      <c r="DE979" s="8"/>
      <c r="DF979" s="8"/>
      <c r="DG979" s="8"/>
      <c r="DH979" s="8"/>
      <c r="DI979" s="8"/>
      <c r="DJ979" s="8"/>
      <c r="DK979" s="8"/>
      <c r="DL979" s="8"/>
      <c r="DM979" s="8"/>
      <c r="DN979" s="8"/>
    </row>
    <row r="980" spans="2:118" ht="15.75" customHeight="1">
      <c r="B980" s="8"/>
      <c r="CU980" s="8"/>
      <c r="CV980" s="8"/>
      <c r="CW980" s="8"/>
      <c r="CX980" s="8"/>
      <c r="CY980" s="8"/>
      <c r="CZ980" s="8"/>
      <c r="DA980" s="8"/>
      <c r="DB980" s="8"/>
      <c r="DC980" s="8"/>
      <c r="DD980" s="8"/>
      <c r="DE980" s="8"/>
      <c r="DF980" s="8"/>
      <c r="DG980" s="8"/>
      <c r="DH980" s="8"/>
      <c r="DI980" s="8"/>
      <c r="DJ980" s="8"/>
      <c r="DK980" s="8"/>
      <c r="DL980" s="8"/>
      <c r="DM980" s="8"/>
      <c r="DN980" s="8"/>
    </row>
    <row r="981" spans="2:118" ht="15.75" customHeight="1">
      <c r="B981" s="8"/>
      <c r="CU981" s="8"/>
      <c r="CV981" s="8"/>
      <c r="CW981" s="8"/>
      <c r="CX981" s="8"/>
      <c r="CY981" s="8"/>
      <c r="CZ981" s="8"/>
      <c r="DA981" s="8"/>
      <c r="DB981" s="8"/>
      <c r="DC981" s="8"/>
      <c r="DD981" s="8"/>
      <c r="DE981" s="8"/>
      <c r="DF981" s="8"/>
      <c r="DG981" s="8"/>
      <c r="DH981" s="8"/>
      <c r="DI981" s="8"/>
      <c r="DJ981" s="8"/>
      <c r="DK981" s="8"/>
      <c r="DL981" s="8"/>
      <c r="DM981" s="8"/>
      <c r="DN981" s="8"/>
    </row>
    <row r="982" spans="2:118" ht="15.75" customHeight="1">
      <c r="B982" s="8"/>
      <c r="CU982" s="8"/>
      <c r="CV982" s="8"/>
      <c r="CW982" s="8"/>
      <c r="CX982" s="8"/>
      <c r="CY982" s="8"/>
      <c r="CZ982" s="8"/>
      <c r="DA982" s="8"/>
      <c r="DB982" s="8"/>
      <c r="DC982" s="8"/>
      <c r="DD982" s="8"/>
      <c r="DE982" s="8"/>
      <c r="DF982" s="8"/>
      <c r="DG982" s="8"/>
      <c r="DH982" s="8"/>
      <c r="DI982" s="8"/>
      <c r="DJ982" s="8"/>
      <c r="DK982" s="8"/>
      <c r="DL982" s="8"/>
      <c r="DM982" s="8"/>
      <c r="DN982" s="8"/>
    </row>
    <row r="983" spans="2:118" ht="15.75" customHeight="1">
      <c r="B983" s="8"/>
      <c r="CU983" s="8"/>
      <c r="CV983" s="8"/>
      <c r="CW983" s="8"/>
      <c r="CX983" s="8"/>
      <c r="CY983" s="8"/>
      <c r="CZ983" s="8"/>
      <c r="DA983" s="8"/>
      <c r="DB983" s="8"/>
      <c r="DC983" s="8"/>
      <c r="DD983" s="8"/>
      <c r="DE983" s="8"/>
      <c r="DF983" s="8"/>
      <c r="DG983" s="8"/>
      <c r="DH983" s="8"/>
      <c r="DI983" s="8"/>
      <c r="DJ983" s="8"/>
      <c r="DK983" s="8"/>
      <c r="DL983" s="8"/>
      <c r="DM983" s="8"/>
      <c r="DN983" s="8"/>
    </row>
    <row r="984" spans="2:118" ht="15.75" customHeight="1">
      <c r="B984" s="8"/>
      <c r="CU984" s="8"/>
      <c r="CV984" s="8"/>
      <c r="CW984" s="8"/>
      <c r="CX984" s="8"/>
      <c r="CY984" s="8"/>
      <c r="CZ984" s="8"/>
      <c r="DA984" s="8"/>
      <c r="DB984" s="8"/>
      <c r="DC984" s="8"/>
      <c r="DD984" s="8"/>
      <c r="DE984" s="8"/>
      <c r="DF984" s="8"/>
      <c r="DG984" s="8"/>
      <c r="DH984" s="8"/>
      <c r="DI984" s="8"/>
      <c r="DJ984" s="8"/>
      <c r="DK984" s="8"/>
      <c r="DL984" s="8"/>
      <c r="DM984" s="8"/>
      <c r="DN984" s="8"/>
    </row>
    <row r="985" spans="2:118" ht="15.75" customHeight="1">
      <c r="B985" s="8"/>
      <c r="CU985" s="8"/>
      <c r="CV985" s="8"/>
      <c r="CW985" s="8"/>
      <c r="CX985" s="8"/>
      <c r="CY985" s="8"/>
      <c r="CZ985" s="8"/>
      <c r="DA985" s="8"/>
      <c r="DB985" s="8"/>
      <c r="DC985" s="8"/>
      <c r="DD985" s="8"/>
      <c r="DE985" s="8"/>
      <c r="DF985" s="8"/>
      <c r="DG985" s="8"/>
      <c r="DH985" s="8"/>
      <c r="DI985" s="8"/>
      <c r="DJ985" s="8"/>
      <c r="DK985" s="8"/>
      <c r="DL985" s="8"/>
      <c r="DM985" s="8"/>
      <c r="DN985" s="8"/>
    </row>
    <row r="986" spans="2:118" ht="15.75" customHeight="1">
      <c r="B986" s="8"/>
      <c r="CU986" s="8"/>
      <c r="CV986" s="8"/>
      <c r="CW986" s="8"/>
      <c r="CX986" s="8"/>
      <c r="CY986" s="8"/>
      <c r="CZ986" s="8"/>
      <c r="DA986" s="8"/>
      <c r="DB986" s="8"/>
      <c r="DC986" s="8"/>
      <c r="DD986" s="8"/>
      <c r="DE986" s="8"/>
      <c r="DF986" s="8"/>
      <c r="DG986" s="8"/>
      <c r="DH986" s="8"/>
      <c r="DI986" s="8"/>
      <c r="DJ986" s="8"/>
      <c r="DK986" s="8"/>
      <c r="DL986" s="8"/>
      <c r="DM986" s="8"/>
      <c r="DN986" s="8"/>
    </row>
    <row r="987" spans="2:118" ht="15.75" customHeight="1">
      <c r="B987" s="8"/>
      <c r="CU987" s="8"/>
      <c r="CV987" s="8"/>
      <c r="CW987" s="8"/>
      <c r="CX987" s="8"/>
      <c r="CY987" s="8"/>
      <c r="CZ987" s="8"/>
      <c r="DA987" s="8"/>
      <c r="DB987" s="8"/>
      <c r="DC987" s="8"/>
      <c r="DD987" s="8"/>
      <c r="DE987" s="8"/>
      <c r="DF987" s="8"/>
      <c r="DG987" s="8"/>
      <c r="DH987" s="8"/>
      <c r="DI987" s="8"/>
      <c r="DJ987" s="8"/>
      <c r="DK987" s="8"/>
      <c r="DL987" s="8"/>
      <c r="DM987" s="8"/>
      <c r="DN987" s="8"/>
    </row>
    <row r="988" spans="2:118" ht="15.75" customHeight="1">
      <c r="B988" s="8"/>
      <c r="CU988" s="8"/>
      <c r="CV988" s="8"/>
      <c r="CW988" s="8"/>
      <c r="CX988" s="8"/>
      <c r="CY988" s="8"/>
      <c r="CZ988" s="8"/>
      <c r="DA988" s="8"/>
      <c r="DB988" s="8"/>
      <c r="DC988" s="8"/>
      <c r="DD988" s="8"/>
      <c r="DE988" s="8"/>
      <c r="DF988" s="8"/>
      <c r="DG988" s="8"/>
      <c r="DH988" s="8"/>
      <c r="DI988" s="8"/>
      <c r="DJ988" s="8"/>
      <c r="DK988" s="8"/>
      <c r="DL988" s="8"/>
      <c r="DM988" s="8"/>
      <c r="DN988" s="8"/>
    </row>
    <row r="989" spans="2:118" ht="15.75" customHeight="1">
      <c r="B989" s="8"/>
      <c r="CU989" s="8"/>
      <c r="CV989" s="8"/>
      <c r="CW989" s="8"/>
      <c r="CX989" s="8"/>
      <c r="CY989" s="8"/>
      <c r="CZ989" s="8"/>
      <c r="DA989" s="8"/>
      <c r="DB989" s="8"/>
      <c r="DC989" s="8"/>
      <c r="DD989" s="8"/>
      <c r="DE989" s="8"/>
      <c r="DF989" s="8"/>
      <c r="DG989" s="8"/>
      <c r="DH989" s="8"/>
      <c r="DI989" s="8"/>
      <c r="DJ989" s="8"/>
      <c r="DK989" s="8"/>
      <c r="DL989" s="8"/>
      <c r="DM989" s="8"/>
      <c r="DN989" s="8"/>
    </row>
    <row r="990" spans="2:118" ht="15.75" customHeight="1">
      <c r="B990" s="8"/>
      <c r="CU990" s="8"/>
      <c r="CV990" s="8"/>
      <c r="CW990" s="8"/>
      <c r="CX990" s="8"/>
      <c r="CY990" s="8"/>
      <c r="CZ990" s="8"/>
      <c r="DA990" s="8"/>
      <c r="DB990" s="8"/>
      <c r="DC990" s="8"/>
      <c r="DD990" s="8"/>
      <c r="DE990" s="8"/>
      <c r="DF990" s="8"/>
      <c r="DG990" s="8"/>
      <c r="DH990" s="8"/>
      <c r="DI990" s="8"/>
      <c r="DJ990" s="8"/>
      <c r="DK990" s="8"/>
      <c r="DL990" s="8"/>
      <c r="DM990" s="8"/>
      <c r="DN990" s="8"/>
    </row>
    <row r="991" spans="2:118" ht="15.75" customHeight="1">
      <c r="B991" s="8"/>
      <c r="CU991" s="8"/>
      <c r="CV991" s="8"/>
      <c r="CW991" s="8"/>
      <c r="CX991" s="8"/>
      <c r="CY991" s="8"/>
      <c r="CZ991" s="8"/>
      <c r="DA991" s="8"/>
      <c r="DB991" s="8"/>
      <c r="DC991" s="8"/>
      <c r="DD991" s="8"/>
      <c r="DE991" s="8"/>
      <c r="DF991" s="8"/>
      <c r="DG991" s="8"/>
      <c r="DH991" s="8"/>
      <c r="DI991" s="8"/>
      <c r="DJ991" s="8"/>
      <c r="DK991" s="8"/>
      <c r="DL991" s="8"/>
      <c r="DM991" s="8"/>
      <c r="DN991" s="8"/>
    </row>
    <row r="992" spans="2:118" ht="12.5">
      <c r="B992" s="8"/>
    </row>
  </sheetData>
  <autoFilter ref="A1:CT104" xr:uid="{15A342A5-D40B-4150-992B-2E96DD2F5C75}"/>
  <sortState xmlns:xlrd2="http://schemas.microsoft.com/office/spreadsheetml/2017/richdata2" ref="A2:CT992">
    <sortCondition ref="A1"/>
  </sortState>
  <hyperlinks>
    <hyperlink ref="J3" r:id="rId1" xr:uid="{00000000-0004-0000-0200-000000000000}"/>
    <hyperlink ref="CM3" r:id="rId2" xr:uid="{00000000-0004-0000-0200-000001000000}"/>
    <hyperlink ref="J4" r:id="rId3" xr:uid="{00000000-0004-0000-0200-000002000000}"/>
    <hyperlink ref="J5" r:id="rId4" xr:uid="{00000000-0004-0000-0200-000003000000}"/>
    <hyperlink ref="H6" r:id="rId5" xr:uid="{00000000-0004-0000-0200-000004000000}"/>
    <hyperlink ref="CM6" r:id="rId6" xr:uid="{00000000-0004-0000-0200-000005000000}"/>
    <hyperlink ref="J7" r:id="rId7" xr:uid="{00000000-0004-0000-0200-000006000000}"/>
    <hyperlink ref="J8" r:id="rId8" xr:uid="{00000000-0004-0000-0200-000007000000}"/>
    <hyperlink ref="J9" r:id="rId9" xr:uid="{00000000-0004-0000-0200-000008000000}"/>
    <hyperlink ref="J10" r:id="rId10" xr:uid="{00000000-0004-0000-0200-000009000000}"/>
    <hyperlink ref="J11" r:id="rId11" xr:uid="{00000000-0004-0000-0200-00000A000000}"/>
    <hyperlink ref="J12" r:id="rId12" xr:uid="{00000000-0004-0000-0200-00000B000000}"/>
    <hyperlink ref="CM12" r:id="rId13" xr:uid="{00000000-0004-0000-0200-00000C000000}"/>
    <hyperlink ref="J13" r:id="rId14" xr:uid="{00000000-0004-0000-0200-00000D000000}"/>
    <hyperlink ref="J14" r:id="rId15" xr:uid="{00000000-0004-0000-0200-00000E000000}"/>
    <hyperlink ref="CM14" r:id="rId16" xr:uid="{00000000-0004-0000-0200-00000F000000}"/>
    <hyperlink ref="J15" r:id="rId17" xr:uid="{00000000-0004-0000-0200-000010000000}"/>
    <hyperlink ref="K15" r:id="rId18" xr:uid="{00000000-0004-0000-0200-000011000000}"/>
    <hyperlink ref="Q15" r:id="rId19" xr:uid="{00000000-0004-0000-0200-000012000000}"/>
    <hyperlink ref="J16" r:id="rId20" xr:uid="{00000000-0004-0000-0200-000013000000}"/>
    <hyperlink ref="J17" r:id="rId21" xr:uid="{00000000-0004-0000-0200-000014000000}"/>
    <hyperlink ref="J18" r:id="rId22" xr:uid="{00000000-0004-0000-0200-000015000000}"/>
    <hyperlink ref="J19" r:id="rId23" xr:uid="{00000000-0004-0000-0200-000016000000}"/>
    <hyperlink ref="CM19" r:id="rId24" xr:uid="{00000000-0004-0000-0200-000017000000}"/>
    <hyperlink ref="J21" r:id="rId25" xr:uid="{00000000-0004-0000-0200-000018000000}"/>
    <hyperlink ref="J22" r:id="rId26" xr:uid="{00000000-0004-0000-0200-000019000000}"/>
    <hyperlink ref="J23" r:id="rId27" xr:uid="{00000000-0004-0000-0200-00001A000000}"/>
    <hyperlink ref="J24" r:id="rId28" xr:uid="{00000000-0004-0000-0200-00001B000000}"/>
    <hyperlink ref="H25" r:id="rId29" xr:uid="{00000000-0004-0000-0200-00001C000000}"/>
    <hyperlink ref="J25" r:id="rId30" xr:uid="{00000000-0004-0000-0200-00001D000000}"/>
    <hyperlink ref="J26" r:id="rId31" xr:uid="{00000000-0004-0000-0200-00001E000000}"/>
    <hyperlink ref="J27" r:id="rId32" xr:uid="{00000000-0004-0000-0200-00001F000000}"/>
    <hyperlink ref="J28" r:id="rId33" xr:uid="{00000000-0004-0000-0200-000020000000}"/>
    <hyperlink ref="CM28" r:id="rId34" xr:uid="{00000000-0004-0000-0200-000021000000}"/>
    <hyperlink ref="J29" r:id="rId35" xr:uid="{00000000-0004-0000-0200-000022000000}"/>
    <hyperlink ref="CM29" r:id="rId36" xr:uid="{00000000-0004-0000-0200-000023000000}"/>
    <hyperlink ref="J30" r:id="rId37" xr:uid="{00000000-0004-0000-0200-000024000000}"/>
    <hyperlink ref="J31" r:id="rId38" xr:uid="{00000000-0004-0000-0200-000025000000}"/>
    <hyperlink ref="J32" r:id="rId39" xr:uid="{00000000-0004-0000-0200-000026000000}"/>
    <hyperlink ref="J33" r:id="rId40" xr:uid="{00000000-0004-0000-0200-000027000000}"/>
    <hyperlink ref="J34" r:id="rId41" xr:uid="{00000000-0004-0000-0200-000028000000}"/>
    <hyperlink ref="CM34" r:id="rId42" xr:uid="{00000000-0004-0000-0200-000029000000}"/>
    <hyperlink ref="J35" r:id="rId43" xr:uid="{00000000-0004-0000-0200-00002A000000}"/>
    <hyperlink ref="CM36" r:id="rId44" xr:uid="{00000000-0004-0000-0200-00002B000000}"/>
    <hyperlink ref="J38" r:id="rId45" xr:uid="{00000000-0004-0000-0200-00002C000000}"/>
    <hyperlink ref="BV38" r:id="rId46" xr:uid="{00000000-0004-0000-0200-00002D000000}"/>
    <hyperlink ref="J39" r:id="rId47" xr:uid="{00000000-0004-0000-0200-00002E000000}"/>
    <hyperlink ref="J40" r:id="rId48" xr:uid="{00000000-0004-0000-0200-00002F000000}"/>
    <hyperlink ref="J41" r:id="rId49" xr:uid="{00000000-0004-0000-0200-000030000000}"/>
    <hyperlink ref="CM41" r:id="rId50" xr:uid="{00000000-0004-0000-0200-000031000000}"/>
    <hyperlink ref="J42" r:id="rId51" xr:uid="{00000000-0004-0000-0200-000032000000}"/>
    <hyperlink ref="CM42" r:id="rId52" xr:uid="{00000000-0004-0000-0200-000033000000}"/>
    <hyperlink ref="J43" r:id="rId53" xr:uid="{00000000-0004-0000-0200-000034000000}"/>
    <hyperlink ref="J44" r:id="rId54" xr:uid="{00000000-0004-0000-0200-000035000000}"/>
    <hyperlink ref="CM44" r:id="rId55" xr:uid="{00000000-0004-0000-0200-000036000000}"/>
    <hyperlink ref="J45" r:id="rId56" xr:uid="{00000000-0004-0000-0200-000037000000}"/>
    <hyperlink ref="J46" r:id="rId57" xr:uid="{00000000-0004-0000-0200-000038000000}"/>
    <hyperlink ref="J47" r:id="rId58" xr:uid="{00000000-0004-0000-0200-000039000000}"/>
    <hyperlink ref="J48" r:id="rId59" xr:uid="{00000000-0004-0000-0200-00003A000000}"/>
    <hyperlink ref="H49" r:id="rId60" xr:uid="{00000000-0004-0000-0200-00003B000000}"/>
    <hyperlink ref="J49" r:id="rId61" xr:uid="{00000000-0004-0000-0200-00003C000000}"/>
    <hyperlink ref="J50" r:id="rId62" xr:uid="{00000000-0004-0000-0200-00003D000000}"/>
    <hyperlink ref="H51" r:id="rId63" xr:uid="{00000000-0004-0000-0200-00003E000000}"/>
    <hyperlink ref="J51" r:id="rId64" xr:uid="{00000000-0004-0000-0200-00003F000000}"/>
    <hyperlink ref="J52" r:id="rId65" xr:uid="{00000000-0004-0000-0200-000040000000}"/>
    <hyperlink ref="J53" r:id="rId66" xr:uid="{00000000-0004-0000-0200-000041000000}"/>
    <hyperlink ref="J54" r:id="rId67" xr:uid="{00000000-0004-0000-0200-000042000000}"/>
    <hyperlink ref="J55" r:id="rId68" xr:uid="{00000000-0004-0000-0200-000043000000}"/>
    <hyperlink ref="J56" r:id="rId69" xr:uid="{00000000-0004-0000-0200-000044000000}"/>
    <hyperlink ref="J57" r:id="rId70" xr:uid="{00000000-0004-0000-0200-000045000000}"/>
    <hyperlink ref="J58" r:id="rId71" xr:uid="{00000000-0004-0000-0200-000046000000}"/>
    <hyperlink ref="J59" r:id="rId72" xr:uid="{00000000-0004-0000-0200-000047000000}"/>
    <hyperlink ref="J60" r:id="rId73" xr:uid="{00000000-0004-0000-0200-000048000000}"/>
    <hyperlink ref="J61" r:id="rId74" xr:uid="{00000000-0004-0000-0200-000049000000}"/>
    <hyperlink ref="J62" r:id="rId75" xr:uid="{00000000-0004-0000-0200-00004A000000}"/>
    <hyperlink ref="K62" r:id="rId76" xr:uid="{00000000-0004-0000-0200-00004B000000}"/>
    <hyperlink ref="J63" r:id="rId77" xr:uid="{00000000-0004-0000-0200-00004C000000}"/>
    <hyperlink ref="J64" r:id="rId78" xr:uid="{00000000-0004-0000-0200-00004D000000}"/>
    <hyperlink ref="J65" r:id="rId79" xr:uid="{00000000-0004-0000-0200-00004E000000}"/>
    <hyperlink ref="J67" r:id="rId80" xr:uid="{00000000-0004-0000-0200-00004F000000}"/>
    <hyperlink ref="J68" r:id="rId81" xr:uid="{00000000-0004-0000-0200-000050000000}"/>
    <hyperlink ref="J70" r:id="rId82" xr:uid="{00000000-0004-0000-0200-000051000000}"/>
    <hyperlink ref="J71" r:id="rId83" xr:uid="{00000000-0004-0000-0200-000052000000}"/>
    <hyperlink ref="CM71" r:id="rId84" xr:uid="{00000000-0004-0000-0200-000053000000}"/>
    <hyperlink ref="J72" r:id="rId85" xr:uid="{00000000-0004-0000-0200-000054000000}"/>
    <hyperlink ref="J73" r:id="rId86" xr:uid="{00000000-0004-0000-0200-000055000000}"/>
    <hyperlink ref="CM74" r:id="rId87" xr:uid="{00000000-0004-0000-0200-000056000000}"/>
    <hyperlink ref="J75" r:id="rId88" xr:uid="{00000000-0004-0000-0200-000057000000}"/>
    <hyperlink ref="J76" r:id="rId89" xr:uid="{00000000-0004-0000-0200-000058000000}"/>
    <hyperlink ref="J77" r:id="rId90" xr:uid="{00000000-0004-0000-0200-000059000000}"/>
    <hyperlink ref="H78" r:id="rId91" xr:uid="{00000000-0004-0000-0200-00005A000000}"/>
    <hyperlink ref="J78" r:id="rId92" xr:uid="{00000000-0004-0000-0200-00005B000000}"/>
    <hyperlink ref="J79" r:id="rId93" xr:uid="{00000000-0004-0000-0200-00005C000000}"/>
    <hyperlink ref="BV79" r:id="rId94" xr:uid="{00000000-0004-0000-0200-00005D000000}"/>
    <hyperlink ref="CM79" r:id="rId95" xr:uid="{00000000-0004-0000-0200-00005E000000}"/>
    <hyperlink ref="J80" r:id="rId96" xr:uid="{00000000-0004-0000-0200-00005F000000}"/>
    <hyperlink ref="K80" r:id="rId97" xr:uid="{00000000-0004-0000-0200-000060000000}"/>
    <hyperlink ref="J81" r:id="rId98" xr:uid="{00000000-0004-0000-0200-000061000000}"/>
    <hyperlink ref="J82" r:id="rId99" xr:uid="{00000000-0004-0000-0200-000062000000}"/>
    <hyperlink ref="J84" r:id="rId100" xr:uid="{00000000-0004-0000-0200-000063000000}"/>
    <hyperlink ref="J85" r:id="rId101" xr:uid="{00000000-0004-0000-0200-000064000000}"/>
    <hyperlink ref="J86" r:id="rId102" xr:uid="{00000000-0004-0000-0200-000065000000}"/>
    <hyperlink ref="BX86" r:id="rId103" xr:uid="{00000000-0004-0000-0200-000066000000}"/>
    <hyperlink ref="J88" r:id="rId104" xr:uid="{00000000-0004-0000-0200-000067000000}"/>
    <hyperlink ref="J89" r:id="rId105" xr:uid="{00000000-0004-0000-0200-000068000000}"/>
    <hyperlink ref="J90" r:id="rId106" xr:uid="{00000000-0004-0000-0200-000069000000}"/>
    <hyperlink ref="CM90" r:id="rId107" xr:uid="{00000000-0004-0000-0200-00006A000000}"/>
    <hyperlink ref="J91" r:id="rId108" xr:uid="{00000000-0004-0000-0200-00006B000000}"/>
    <hyperlink ref="J92" r:id="rId109" xr:uid="{00000000-0004-0000-0200-00006C000000}"/>
    <hyperlink ref="CM92" r:id="rId110" xr:uid="{00000000-0004-0000-0200-00006D000000}"/>
    <hyperlink ref="J93" r:id="rId111" xr:uid="{00000000-0004-0000-0200-00006E000000}"/>
    <hyperlink ref="CM93" r:id="rId112" xr:uid="{00000000-0004-0000-0200-00006F000000}"/>
    <hyperlink ref="J94" r:id="rId113" xr:uid="{00000000-0004-0000-0200-000070000000}"/>
    <hyperlink ref="J95" r:id="rId114" xr:uid="{00000000-0004-0000-0200-000071000000}"/>
    <hyperlink ref="J97" r:id="rId115" xr:uid="{00000000-0004-0000-0200-000072000000}"/>
    <hyperlink ref="J98" r:id="rId116" xr:uid="{00000000-0004-0000-0200-000073000000}"/>
    <hyperlink ref="J99" r:id="rId117" xr:uid="{00000000-0004-0000-0200-000074000000}"/>
    <hyperlink ref="J100" r:id="rId118" xr:uid="{00000000-0004-0000-0200-000075000000}"/>
    <hyperlink ref="J101" r:id="rId119" xr:uid="{00000000-0004-0000-0200-000076000000}"/>
    <hyperlink ref="J102" r:id="rId120" xr:uid="{00000000-0004-0000-0200-000077000000}"/>
    <hyperlink ref="K102" r:id="rId121" xr:uid="{00000000-0004-0000-0200-000078000000}"/>
    <hyperlink ref="J103" r:id="rId122" xr:uid="{00000000-0004-0000-0200-000079000000}"/>
    <hyperlink ref="BW38" r:id="rId123" display="https://laji.fi/en/about/848 " xr:uid="{DC8D7223-24A1-400A-8363-B21872FBA7E4}"/>
    <hyperlink ref="BW79" r:id="rId124" display="https://inpn.mnhn.fr/telechargement/standard-occurrence-taxon" xr:uid="{CCFF7989-A0A0-4983-AC1B-C499417073E7}"/>
  </hyperlinks>
  <pageMargins left="0.7" right="0.7" top="0.75" bottom="0.75" header="0" footer="0"/>
  <pageSetup orientation="landscape" r:id="rId125"/>
  <legacyDrawing r:id="rId12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2"/>
  <sheetViews>
    <sheetView workbookViewId="0">
      <selection activeCell="B25" sqref="B25"/>
    </sheetView>
  </sheetViews>
  <sheetFormatPr defaultColWidth="14.453125" defaultRowHeight="15" customHeight="1"/>
  <cols>
    <col min="1" max="1" width="4.08984375" customWidth="1"/>
    <col min="2" max="2" width="30.453125" customWidth="1"/>
    <col min="3" max="3" width="19.54296875" customWidth="1"/>
    <col min="4" max="4" width="21.7265625" customWidth="1"/>
    <col min="5" max="5" width="13.453125" customWidth="1"/>
    <col min="6" max="6" width="16.453125" customWidth="1"/>
    <col min="7" max="7" width="21.453125" customWidth="1"/>
    <col min="8" max="26" width="8.7265625" customWidth="1"/>
  </cols>
  <sheetData>
    <row r="1" spans="1:26" ht="15" customHeight="1">
      <c r="A1" s="11" t="s">
        <v>175</v>
      </c>
      <c r="B1" s="8"/>
      <c r="C1" s="8"/>
      <c r="D1" s="8"/>
      <c r="E1" s="8"/>
      <c r="F1" s="8"/>
      <c r="G1" s="8"/>
      <c r="H1" s="8"/>
      <c r="I1" s="8"/>
      <c r="J1" s="8"/>
      <c r="K1" s="8"/>
      <c r="L1" s="8"/>
      <c r="M1" s="8"/>
      <c r="N1" s="8"/>
      <c r="O1" s="8"/>
      <c r="P1" s="8"/>
      <c r="Q1" s="8"/>
      <c r="R1" s="8"/>
      <c r="S1" s="8"/>
      <c r="T1" s="8"/>
      <c r="U1" s="8"/>
      <c r="V1" s="8"/>
      <c r="W1" s="8"/>
      <c r="X1" s="8"/>
      <c r="Y1" s="8"/>
      <c r="Z1" s="8"/>
    </row>
    <row r="2" spans="1:26" ht="15" customHeight="1">
      <c r="A2" s="8"/>
      <c r="B2" s="8"/>
      <c r="C2" s="8"/>
      <c r="D2" s="8"/>
      <c r="E2" s="8"/>
      <c r="F2" s="8"/>
      <c r="G2" s="8"/>
      <c r="H2" s="8"/>
      <c r="I2" s="8"/>
      <c r="J2" s="8"/>
      <c r="K2" s="8"/>
      <c r="L2" s="8"/>
      <c r="M2" s="8"/>
      <c r="N2" s="8"/>
      <c r="O2" s="8"/>
      <c r="P2" s="8"/>
      <c r="Q2" s="8"/>
      <c r="R2" s="8"/>
      <c r="S2" s="8"/>
      <c r="T2" s="8"/>
      <c r="U2" s="8"/>
      <c r="V2" s="8"/>
      <c r="W2" s="8"/>
      <c r="X2" s="8"/>
      <c r="Y2" s="8"/>
      <c r="Z2" s="8"/>
    </row>
    <row r="3" spans="1:26" ht="12" customHeight="1">
      <c r="A3" s="12" t="s">
        <v>176</v>
      </c>
      <c r="B3" s="12" t="s">
        <v>180</v>
      </c>
      <c r="C3" s="12" t="s">
        <v>181</v>
      </c>
      <c r="D3" s="12" t="s">
        <v>182</v>
      </c>
      <c r="E3" s="12" t="s">
        <v>183</v>
      </c>
      <c r="F3" s="12" t="s">
        <v>184</v>
      </c>
      <c r="G3" s="12" t="s">
        <v>185</v>
      </c>
      <c r="H3" s="12" t="s">
        <v>187</v>
      </c>
      <c r="I3" s="12" t="s">
        <v>188</v>
      </c>
      <c r="J3" s="12" t="s">
        <v>189</v>
      </c>
      <c r="K3" s="13"/>
      <c r="L3" s="13"/>
      <c r="M3" s="13"/>
      <c r="N3" s="13"/>
      <c r="O3" s="13"/>
      <c r="P3" s="13"/>
      <c r="Q3" s="13"/>
      <c r="R3" s="13"/>
      <c r="S3" s="13"/>
      <c r="T3" s="13"/>
      <c r="U3" s="13"/>
      <c r="V3" s="13"/>
      <c r="W3" s="13"/>
      <c r="X3" s="13"/>
      <c r="Y3" s="13"/>
      <c r="Z3" s="13"/>
    </row>
    <row r="4" spans="1:26" ht="12" customHeight="1">
      <c r="A4" s="3">
        <v>10</v>
      </c>
      <c r="B4" s="3" t="s">
        <v>190</v>
      </c>
      <c r="C4" s="3" t="s">
        <v>191</v>
      </c>
      <c r="D4" s="3" t="s">
        <v>192</v>
      </c>
      <c r="E4" s="3" t="s">
        <v>193</v>
      </c>
      <c r="F4" s="3" t="s">
        <v>194</v>
      </c>
      <c r="G4" s="3" t="s">
        <v>195</v>
      </c>
      <c r="H4" s="3" t="s">
        <v>196</v>
      </c>
      <c r="I4" s="3" t="s">
        <v>197</v>
      </c>
      <c r="J4" s="3">
        <v>2</v>
      </c>
    </row>
    <row r="5" spans="1:26" ht="12" customHeight="1">
      <c r="A5" s="3">
        <v>18</v>
      </c>
      <c r="B5" s="3" t="s">
        <v>190</v>
      </c>
      <c r="C5" s="3" t="s">
        <v>191</v>
      </c>
      <c r="E5" s="3" t="s">
        <v>193</v>
      </c>
      <c r="F5" s="3" t="s">
        <v>194</v>
      </c>
      <c r="G5" s="3" t="s">
        <v>195</v>
      </c>
      <c r="H5" s="3" t="s">
        <v>196</v>
      </c>
      <c r="I5" s="3" t="s">
        <v>197</v>
      </c>
      <c r="J5" s="3">
        <v>1</v>
      </c>
    </row>
    <row r="6" spans="1:26" ht="12" customHeight="1">
      <c r="A6" s="3">
        <v>34</v>
      </c>
      <c r="B6" s="3" t="s">
        <v>190</v>
      </c>
      <c r="E6" s="3" t="s">
        <v>193</v>
      </c>
      <c r="F6" s="3" t="s">
        <v>194</v>
      </c>
      <c r="G6" s="3" t="s">
        <v>195</v>
      </c>
      <c r="H6" s="3" t="s">
        <v>196</v>
      </c>
      <c r="I6" s="3" t="s">
        <v>197</v>
      </c>
      <c r="J6" s="3">
        <v>1</v>
      </c>
    </row>
    <row r="7" spans="1:26" ht="12" customHeight="1">
      <c r="A7" s="3">
        <v>11</v>
      </c>
      <c r="B7" s="3" t="s">
        <v>190</v>
      </c>
      <c r="C7" s="3" t="s">
        <v>191</v>
      </c>
      <c r="D7" s="3" t="s">
        <v>192</v>
      </c>
      <c r="F7" s="3" t="s">
        <v>194</v>
      </c>
      <c r="G7" s="3" t="s">
        <v>195</v>
      </c>
      <c r="H7" s="3" t="s">
        <v>196</v>
      </c>
      <c r="I7" s="3" t="s">
        <v>197</v>
      </c>
      <c r="J7" s="3">
        <v>1</v>
      </c>
    </row>
    <row r="8" spans="1:26" ht="12" customHeight="1">
      <c r="A8" s="3">
        <v>7</v>
      </c>
      <c r="B8" s="3" t="s">
        <v>190</v>
      </c>
      <c r="C8" s="3" t="s">
        <v>191</v>
      </c>
      <c r="D8" s="3" t="s">
        <v>192</v>
      </c>
      <c r="E8" s="3" t="s">
        <v>193</v>
      </c>
      <c r="G8" s="3" t="s">
        <v>195</v>
      </c>
      <c r="H8" s="3" t="s">
        <v>196</v>
      </c>
      <c r="I8" s="3" t="s">
        <v>197</v>
      </c>
      <c r="J8" s="3">
        <v>1</v>
      </c>
    </row>
    <row r="9" spans="1:26" ht="12" customHeight="1">
      <c r="A9" s="3">
        <v>37</v>
      </c>
      <c r="B9" s="3" t="s">
        <v>190</v>
      </c>
      <c r="H9" s="3" t="s">
        <v>196</v>
      </c>
      <c r="I9" s="3" t="s">
        <v>197</v>
      </c>
      <c r="J9" s="3">
        <v>1</v>
      </c>
    </row>
    <row r="10" spans="1:26" ht="12" customHeight="1">
      <c r="A10" s="3">
        <v>8</v>
      </c>
      <c r="B10" s="3" t="s">
        <v>190</v>
      </c>
      <c r="C10" s="3" t="s">
        <v>191</v>
      </c>
      <c r="D10" s="3" t="s">
        <v>192</v>
      </c>
      <c r="G10" s="3" t="s">
        <v>195</v>
      </c>
      <c r="I10" s="3" t="s">
        <v>197</v>
      </c>
      <c r="J10" s="3">
        <v>1</v>
      </c>
    </row>
    <row r="11" spans="1:26" ht="12" customHeight="1">
      <c r="A11" s="3">
        <v>21</v>
      </c>
      <c r="B11" s="3" t="s">
        <v>190</v>
      </c>
      <c r="D11" s="3" t="s">
        <v>192</v>
      </c>
      <c r="E11" s="3" t="s">
        <v>193</v>
      </c>
      <c r="I11" s="3" t="s">
        <v>197</v>
      </c>
      <c r="J11" s="3">
        <v>1</v>
      </c>
    </row>
    <row r="12" spans="1:26" ht="12" customHeight="1">
      <c r="A12" s="3">
        <v>15</v>
      </c>
      <c r="B12" s="3" t="s">
        <v>190</v>
      </c>
      <c r="C12" s="3" t="s">
        <v>191</v>
      </c>
      <c r="G12" s="3" t="s">
        <v>195</v>
      </c>
      <c r="H12" s="3" t="s">
        <v>196</v>
      </c>
      <c r="J12" s="3">
        <v>1</v>
      </c>
    </row>
    <row r="13" spans="1:26" ht="12" customHeight="1">
      <c r="A13" s="3">
        <v>32</v>
      </c>
      <c r="B13" s="3" t="s">
        <v>190</v>
      </c>
      <c r="E13" s="3" t="s">
        <v>193</v>
      </c>
      <c r="F13" s="3" t="s">
        <v>194</v>
      </c>
      <c r="H13" s="3" t="s">
        <v>196</v>
      </c>
      <c r="J13" s="3">
        <v>1</v>
      </c>
    </row>
    <row r="14" spans="1:26" ht="12" customHeight="1">
      <c r="A14" s="3">
        <v>5</v>
      </c>
      <c r="B14" s="3" t="s">
        <v>190</v>
      </c>
      <c r="C14" s="3" t="s">
        <v>191</v>
      </c>
      <c r="D14" s="3" t="s">
        <v>192</v>
      </c>
      <c r="E14" s="3" t="s">
        <v>193</v>
      </c>
      <c r="H14" s="3" t="s">
        <v>196</v>
      </c>
      <c r="J14" s="3">
        <v>3</v>
      </c>
    </row>
    <row r="15" spans="1:26" ht="12" customHeight="1">
      <c r="A15" s="3">
        <v>22</v>
      </c>
      <c r="B15" s="3" t="s">
        <v>190</v>
      </c>
      <c r="D15" s="3" t="s">
        <v>192</v>
      </c>
      <c r="E15" s="3" t="s">
        <v>193</v>
      </c>
      <c r="H15" s="3" t="s">
        <v>196</v>
      </c>
      <c r="J15" s="3">
        <v>2</v>
      </c>
    </row>
    <row r="16" spans="1:26" ht="12" customHeight="1">
      <c r="A16" s="3">
        <v>14</v>
      </c>
      <c r="B16" s="3" t="s">
        <v>190</v>
      </c>
      <c r="C16" s="3" t="s">
        <v>191</v>
      </c>
      <c r="E16" s="3" t="s">
        <v>193</v>
      </c>
      <c r="H16" s="3" t="s">
        <v>196</v>
      </c>
      <c r="J16" s="3">
        <v>3</v>
      </c>
    </row>
    <row r="17" spans="1:10" ht="12" customHeight="1">
      <c r="A17" s="3">
        <v>30</v>
      </c>
      <c r="B17" s="3" t="s">
        <v>190</v>
      </c>
      <c r="E17" s="3" t="s">
        <v>193</v>
      </c>
      <c r="H17" s="3" t="s">
        <v>196</v>
      </c>
      <c r="J17" s="3">
        <v>7</v>
      </c>
    </row>
    <row r="18" spans="1:10" ht="12" customHeight="1">
      <c r="A18" s="3">
        <v>36</v>
      </c>
      <c r="B18" s="3" t="s">
        <v>190</v>
      </c>
      <c r="H18" s="3" t="s">
        <v>196</v>
      </c>
      <c r="J18" s="3">
        <v>1</v>
      </c>
    </row>
    <row r="19" spans="1:10" ht="12" customHeight="1">
      <c r="A19" s="3">
        <v>9</v>
      </c>
      <c r="B19" s="3" t="s">
        <v>190</v>
      </c>
      <c r="C19" s="3" t="s">
        <v>191</v>
      </c>
      <c r="D19" s="3" t="s">
        <v>192</v>
      </c>
      <c r="E19" s="3" t="s">
        <v>193</v>
      </c>
      <c r="F19" s="3" t="s">
        <v>194</v>
      </c>
      <c r="G19" s="3" t="s">
        <v>195</v>
      </c>
      <c r="J19" s="3">
        <v>1</v>
      </c>
    </row>
    <row r="20" spans="1:10" ht="12" customHeight="1">
      <c r="A20" s="3">
        <v>17</v>
      </c>
      <c r="B20" s="3" t="s">
        <v>190</v>
      </c>
      <c r="C20" s="3" t="s">
        <v>191</v>
      </c>
      <c r="E20" s="3" t="s">
        <v>193</v>
      </c>
      <c r="F20" s="3" t="s">
        <v>194</v>
      </c>
      <c r="G20" s="3" t="s">
        <v>195</v>
      </c>
      <c r="J20" s="3">
        <v>2</v>
      </c>
    </row>
    <row r="21" spans="1:10" ht="12" customHeight="1">
      <c r="A21" s="3">
        <v>16</v>
      </c>
      <c r="B21" s="3" t="s">
        <v>190</v>
      </c>
      <c r="C21" s="3" t="s">
        <v>191</v>
      </c>
      <c r="F21" s="3" t="s">
        <v>194</v>
      </c>
      <c r="G21" s="3" t="s">
        <v>195</v>
      </c>
      <c r="J21" s="3">
        <v>1</v>
      </c>
    </row>
    <row r="22" spans="1:10" ht="12" customHeight="1">
      <c r="A22" s="3">
        <v>33</v>
      </c>
      <c r="B22" s="3" t="s">
        <v>190</v>
      </c>
      <c r="F22" s="3" t="s">
        <v>194</v>
      </c>
      <c r="G22" s="3" t="s">
        <v>195</v>
      </c>
      <c r="J22" s="3">
        <v>2</v>
      </c>
    </row>
    <row r="23" spans="1:10" ht="12" customHeight="1">
      <c r="A23" s="3">
        <v>23</v>
      </c>
      <c r="B23" s="3" t="s">
        <v>190</v>
      </c>
      <c r="D23" s="3" t="s">
        <v>192</v>
      </c>
      <c r="E23" s="3" t="s">
        <v>193</v>
      </c>
      <c r="G23" s="3" t="s">
        <v>195</v>
      </c>
      <c r="J23" s="3">
        <v>1</v>
      </c>
    </row>
    <row r="24" spans="1:10" ht="12" customHeight="1">
      <c r="A24" s="3">
        <v>6</v>
      </c>
      <c r="B24" s="3" t="s">
        <v>190</v>
      </c>
      <c r="C24" s="3" t="s">
        <v>191</v>
      </c>
      <c r="D24" s="3" t="s">
        <v>192</v>
      </c>
      <c r="G24" s="3" t="s">
        <v>195</v>
      </c>
      <c r="J24" s="3">
        <v>1</v>
      </c>
    </row>
    <row r="25" spans="1:10" ht="12" customHeight="1">
      <c r="A25" s="3">
        <v>31</v>
      </c>
      <c r="B25" s="3" t="s">
        <v>190</v>
      </c>
      <c r="G25" s="3" t="s">
        <v>195</v>
      </c>
      <c r="J25" s="3">
        <v>1</v>
      </c>
    </row>
    <row r="26" spans="1:10" ht="12" customHeight="1">
      <c r="A26" s="3">
        <v>24</v>
      </c>
      <c r="B26" s="3" t="s">
        <v>190</v>
      </c>
      <c r="D26" s="3" t="s">
        <v>192</v>
      </c>
      <c r="E26" s="3" t="s">
        <v>193</v>
      </c>
      <c r="F26" s="3" t="s">
        <v>194</v>
      </c>
      <c r="J26" s="3">
        <v>1</v>
      </c>
    </row>
    <row r="27" spans="1:10" ht="12" customHeight="1">
      <c r="A27" s="3">
        <v>35</v>
      </c>
      <c r="B27" s="3" t="s">
        <v>190</v>
      </c>
      <c r="F27" s="3" t="s">
        <v>194</v>
      </c>
      <c r="J27" s="3">
        <v>1</v>
      </c>
    </row>
    <row r="28" spans="1:10" ht="12" customHeight="1">
      <c r="A28" s="3">
        <v>1</v>
      </c>
      <c r="F28" s="3" t="s">
        <v>232</v>
      </c>
      <c r="J28" s="3">
        <v>1</v>
      </c>
    </row>
    <row r="29" spans="1:10" ht="12" customHeight="1">
      <c r="A29" s="3">
        <v>4</v>
      </c>
      <c r="B29" s="3" t="s">
        <v>190</v>
      </c>
      <c r="C29" s="3" t="s">
        <v>191</v>
      </c>
      <c r="D29" s="3" t="s">
        <v>192</v>
      </c>
      <c r="E29" s="3" t="s">
        <v>193</v>
      </c>
      <c r="J29" s="3">
        <v>1</v>
      </c>
    </row>
    <row r="30" spans="1:10" ht="12" customHeight="1">
      <c r="A30" s="3">
        <v>20</v>
      </c>
      <c r="B30" s="3" t="s">
        <v>190</v>
      </c>
      <c r="D30" s="3" t="s">
        <v>192</v>
      </c>
      <c r="E30" s="3" t="s">
        <v>193</v>
      </c>
      <c r="J30" s="3">
        <v>3</v>
      </c>
    </row>
    <row r="31" spans="1:10" ht="12" customHeight="1">
      <c r="A31" s="3">
        <v>12</v>
      </c>
      <c r="B31" s="3" t="s">
        <v>190</v>
      </c>
      <c r="C31" s="3" t="s">
        <v>191</v>
      </c>
      <c r="E31" s="3" t="s">
        <v>193</v>
      </c>
      <c r="J31" s="3">
        <v>1</v>
      </c>
    </row>
    <row r="32" spans="1:10" ht="12" customHeight="1">
      <c r="A32" s="3">
        <v>13</v>
      </c>
      <c r="B32" s="3" t="s">
        <v>190</v>
      </c>
      <c r="C32" s="3" t="s">
        <v>191</v>
      </c>
      <c r="E32" s="3" t="s">
        <v>193</v>
      </c>
      <c r="J32" s="3">
        <v>1</v>
      </c>
    </row>
    <row r="33" spans="1:10" ht="12" customHeight="1">
      <c r="A33" s="3">
        <v>27</v>
      </c>
      <c r="B33" s="3" t="s">
        <v>190</v>
      </c>
      <c r="E33" s="3" t="s">
        <v>193</v>
      </c>
      <c r="J33" s="3">
        <v>1</v>
      </c>
    </row>
    <row r="34" spans="1:10" ht="12" customHeight="1">
      <c r="A34" s="3">
        <v>28</v>
      </c>
      <c r="B34" s="3" t="s">
        <v>190</v>
      </c>
      <c r="E34" s="3" t="s">
        <v>193</v>
      </c>
      <c r="J34" s="3">
        <v>11</v>
      </c>
    </row>
    <row r="35" spans="1:10" ht="12" customHeight="1">
      <c r="A35" s="3">
        <v>29</v>
      </c>
      <c r="B35" s="3" t="s">
        <v>190</v>
      </c>
      <c r="E35" s="3" t="s">
        <v>193</v>
      </c>
      <c r="J35" s="3">
        <v>1</v>
      </c>
    </row>
    <row r="36" spans="1:10" ht="12" customHeight="1">
      <c r="A36" s="3">
        <v>19</v>
      </c>
      <c r="B36" s="3" t="s">
        <v>190</v>
      </c>
      <c r="D36" s="3" t="s">
        <v>192</v>
      </c>
      <c r="J36" s="3">
        <v>4</v>
      </c>
    </row>
    <row r="37" spans="1:10" ht="12" customHeight="1">
      <c r="A37" s="3">
        <v>2</v>
      </c>
      <c r="B37" s="3" t="s">
        <v>190</v>
      </c>
      <c r="J37" s="3">
        <v>34</v>
      </c>
    </row>
    <row r="38" spans="1:10" ht="12" customHeight="1">
      <c r="A38" s="3">
        <v>3</v>
      </c>
      <c r="B38" s="3" t="s">
        <v>190</v>
      </c>
      <c r="C38" s="3" t="s">
        <v>191</v>
      </c>
      <c r="J38" s="3">
        <v>2</v>
      </c>
    </row>
    <row r="39" spans="1:10" ht="12" customHeight="1">
      <c r="A39" s="3">
        <v>25</v>
      </c>
      <c r="B39" s="3" t="s">
        <v>190</v>
      </c>
      <c r="J39" s="3">
        <v>1</v>
      </c>
    </row>
    <row r="40" spans="1:10" ht="12" customHeight="1">
      <c r="A40" s="3">
        <v>26</v>
      </c>
      <c r="B40" s="3" t="s">
        <v>190</v>
      </c>
      <c r="J40" s="3">
        <v>1</v>
      </c>
    </row>
    <row r="41" spans="1:10" ht="12" customHeight="1"/>
    <row r="42" spans="1:10" ht="12" customHeight="1"/>
    <row r="43" spans="1:10" ht="12" customHeight="1"/>
    <row r="44" spans="1:10" ht="12" customHeight="1"/>
    <row r="45" spans="1:10" ht="12" customHeight="1"/>
    <row r="46" spans="1:10" ht="12" customHeight="1"/>
    <row r="47" spans="1:10" ht="12" customHeight="1"/>
    <row r="48" spans="1:10" ht="12" customHeight="1">
      <c r="C48" s="3" t="s">
        <v>189</v>
      </c>
    </row>
    <row r="49" spans="2:3" ht="12" customHeight="1">
      <c r="B49" s="3" t="s">
        <v>190</v>
      </c>
      <c r="C49" s="3">
        <v>99</v>
      </c>
    </row>
    <row r="50" spans="2:3" ht="12" customHeight="1">
      <c r="B50" s="3" t="s">
        <v>239</v>
      </c>
      <c r="C50" s="3">
        <v>23</v>
      </c>
    </row>
    <row r="51" spans="2:3" ht="12" customHeight="1">
      <c r="B51" s="3" t="s">
        <v>240</v>
      </c>
      <c r="C51" s="3">
        <v>23</v>
      </c>
    </row>
    <row r="52" spans="2:3" ht="12" customHeight="1">
      <c r="B52" s="3" t="s">
        <v>241</v>
      </c>
      <c r="C52" s="3">
        <v>46</v>
      </c>
    </row>
    <row r="53" spans="2:3" ht="12" customHeight="1">
      <c r="B53" s="3" t="s">
        <v>232</v>
      </c>
      <c r="C53" s="3">
        <v>15</v>
      </c>
    </row>
    <row r="54" spans="2:3" ht="12" customHeight="1">
      <c r="B54" s="3" t="s">
        <v>243</v>
      </c>
      <c r="C54" s="3">
        <v>17</v>
      </c>
    </row>
    <row r="55" spans="2:3" ht="12" customHeight="1">
      <c r="B55" s="3" t="s">
        <v>244</v>
      </c>
      <c r="C55" s="3">
        <v>25</v>
      </c>
    </row>
    <row r="56" spans="2:3" ht="12" customHeight="1">
      <c r="B56" s="3" t="s">
        <v>245</v>
      </c>
      <c r="C56" s="3">
        <v>9</v>
      </c>
    </row>
    <row r="57" spans="2:3" ht="12" customHeight="1"/>
    <row r="58" spans="2:3" ht="12" customHeight="1"/>
    <row r="59" spans="2:3" ht="12" customHeight="1"/>
    <row r="60" spans="2:3" ht="12" customHeight="1"/>
    <row r="61" spans="2:3" ht="12" customHeight="1"/>
    <row r="62" spans="2:3" ht="12" customHeight="1"/>
    <row r="63" spans="2:3" ht="12" customHeight="1"/>
    <row r="64" spans="2:3"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row r="1001" ht="12" customHeight="1"/>
    <row r="1002" ht="12" customHeight="1"/>
  </sheetData>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K997"/>
  <sheetViews>
    <sheetView workbookViewId="0">
      <pane ySplit="1" topLeftCell="A2" activePane="bottomLeft" state="frozen"/>
      <selection pane="bottomLeft" activeCell="B27" sqref="B27"/>
    </sheetView>
  </sheetViews>
  <sheetFormatPr defaultColWidth="14.453125" defaultRowHeight="15" customHeight="1"/>
  <cols>
    <col min="1" max="1" width="8.7265625" customWidth="1"/>
    <col min="2" max="2" width="80" customWidth="1"/>
    <col min="3" max="3" width="15.81640625" customWidth="1"/>
    <col min="4" max="6" width="8.7265625" customWidth="1"/>
    <col min="7" max="7" width="21.08984375" customWidth="1"/>
    <col min="8" max="8" width="40.453125" customWidth="1"/>
    <col min="9" max="68" width="8.7265625" customWidth="1"/>
    <col min="71" max="89" width="8.7265625" customWidth="1"/>
  </cols>
  <sheetData>
    <row r="1" spans="1:89" ht="15.75" customHeight="1">
      <c r="A1" s="3" t="s">
        <v>0</v>
      </c>
      <c r="B1" s="3" t="s">
        <v>281</v>
      </c>
      <c r="C1" s="2" t="s">
        <v>2</v>
      </c>
      <c r="D1" s="2" t="s">
        <v>3</v>
      </c>
      <c r="E1" s="3" t="s">
        <v>4</v>
      </c>
      <c r="F1" s="3" t="s">
        <v>5</v>
      </c>
      <c r="G1" s="3" t="s">
        <v>6</v>
      </c>
      <c r="H1" s="4" t="s">
        <v>7</v>
      </c>
      <c r="I1" s="3" t="s">
        <v>8</v>
      </c>
      <c r="J1" s="3" t="s">
        <v>9</v>
      </c>
      <c r="K1" s="3" t="s">
        <v>10</v>
      </c>
      <c r="L1" s="4" t="s">
        <v>11</v>
      </c>
      <c r="M1" s="5" t="s">
        <v>12</v>
      </c>
      <c r="N1" s="5" t="s">
        <v>13</v>
      </c>
      <c r="O1" s="5" t="s">
        <v>14</v>
      </c>
      <c r="P1" s="3" t="s">
        <v>15</v>
      </c>
      <c r="Q1" s="5" t="s">
        <v>16</v>
      </c>
      <c r="R1" s="5" t="s">
        <v>17</v>
      </c>
      <c r="S1" s="5" t="s">
        <v>18</v>
      </c>
      <c r="T1" s="5" t="s">
        <v>19</v>
      </c>
      <c r="U1" s="6" t="s">
        <v>20</v>
      </c>
      <c r="V1" s="5" t="s">
        <v>21</v>
      </c>
      <c r="W1" s="5" t="s">
        <v>22</v>
      </c>
      <c r="X1" s="6" t="s">
        <v>23</v>
      </c>
      <c r="Y1" s="5" t="s">
        <v>24</v>
      </c>
      <c r="Z1" s="5" t="s">
        <v>25</v>
      </c>
      <c r="AA1" s="5" t="s">
        <v>26</v>
      </c>
      <c r="AB1" s="6" t="s">
        <v>27</v>
      </c>
      <c r="AC1" s="3" t="s">
        <v>28</v>
      </c>
      <c r="AD1" s="5" t="s">
        <v>29</v>
      </c>
      <c r="AE1" s="5" t="s">
        <v>30</v>
      </c>
      <c r="AF1" s="6" t="s">
        <v>31</v>
      </c>
      <c r="AG1" s="6" t="s">
        <v>32</v>
      </c>
      <c r="AH1" s="5" t="s">
        <v>33</v>
      </c>
      <c r="AI1" s="6" t="s">
        <v>34</v>
      </c>
      <c r="AJ1" s="6" t="s">
        <v>35</v>
      </c>
      <c r="AK1" s="6" t="s">
        <v>36</v>
      </c>
      <c r="AL1" s="6" t="s">
        <v>37</v>
      </c>
      <c r="AM1" s="6" t="s">
        <v>38</v>
      </c>
      <c r="AN1" s="6" t="s">
        <v>39</v>
      </c>
      <c r="AO1" s="6" t="s">
        <v>40</v>
      </c>
      <c r="AP1" s="3" t="s">
        <v>41</v>
      </c>
      <c r="AQ1" s="5" t="s">
        <v>42</v>
      </c>
      <c r="AR1" s="6" t="s">
        <v>43</v>
      </c>
      <c r="AS1" s="6" t="s">
        <v>44</v>
      </c>
      <c r="AT1" s="5" t="s">
        <v>45</v>
      </c>
      <c r="AU1" s="6" t="s">
        <v>46</v>
      </c>
      <c r="AV1" s="6" t="s">
        <v>47</v>
      </c>
      <c r="AW1" s="3" t="s">
        <v>48</v>
      </c>
      <c r="AX1" s="6" t="s">
        <v>49</v>
      </c>
      <c r="AY1" s="2" t="s">
        <v>50</v>
      </c>
      <c r="AZ1" s="3" t="s">
        <v>51</v>
      </c>
      <c r="BA1" s="6" t="s">
        <v>52</v>
      </c>
      <c r="BB1" s="3" t="s">
        <v>53</v>
      </c>
      <c r="BC1" s="3" t="s">
        <v>54</v>
      </c>
      <c r="BD1" s="3" t="s">
        <v>55</v>
      </c>
      <c r="BE1" s="3" t="s">
        <v>56</v>
      </c>
      <c r="BF1" s="5" t="s">
        <v>57</v>
      </c>
      <c r="BG1" s="5" t="s">
        <v>58</v>
      </c>
      <c r="BH1" s="5" t="s">
        <v>59</v>
      </c>
      <c r="BI1" s="3" t="s">
        <v>60</v>
      </c>
      <c r="BJ1" s="6" t="s">
        <v>61</v>
      </c>
      <c r="BK1" s="3" t="s">
        <v>62</v>
      </c>
      <c r="BL1" s="3" t="s">
        <v>63</v>
      </c>
      <c r="BM1" s="3" t="s">
        <v>64</v>
      </c>
      <c r="BN1" s="3" t="s">
        <v>65</v>
      </c>
      <c r="BO1" s="3" t="s">
        <v>66</v>
      </c>
      <c r="BP1" s="3" t="s">
        <v>67</v>
      </c>
      <c r="BQ1" s="12" t="s">
        <v>68</v>
      </c>
      <c r="BS1" s="8"/>
      <c r="BT1" s="8"/>
      <c r="BU1" s="8"/>
      <c r="BV1" s="8"/>
      <c r="BW1" s="8"/>
      <c r="BX1" s="8"/>
      <c r="BY1" s="8"/>
      <c r="BZ1" s="8"/>
      <c r="CA1" s="8"/>
      <c r="CB1" s="8"/>
      <c r="CC1" s="8"/>
      <c r="CD1" s="8"/>
      <c r="CE1" s="8"/>
      <c r="CF1" s="8"/>
      <c r="CG1" s="8"/>
      <c r="CH1" s="8"/>
      <c r="CI1" s="8"/>
      <c r="CJ1" s="8"/>
      <c r="CK1" s="8"/>
    </row>
    <row r="2" spans="1:89" ht="15.75" customHeight="1">
      <c r="A2" s="8">
        <v>10</v>
      </c>
      <c r="B2" s="16" t="s">
        <v>320</v>
      </c>
      <c r="C2" s="4" t="s">
        <v>322</v>
      </c>
      <c r="D2" s="15"/>
      <c r="E2" s="15">
        <v>43658.475188703705</v>
      </c>
      <c r="F2" s="16" t="s">
        <v>323</v>
      </c>
      <c r="G2" s="16" t="s">
        <v>324</v>
      </c>
      <c r="H2" s="16" t="s">
        <v>325</v>
      </c>
      <c r="I2" s="16" t="s">
        <v>83</v>
      </c>
      <c r="J2" s="17" t="s">
        <v>326</v>
      </c>
      <c r="K2" s="16" t="s">
        <v>335</v>
      </c>
      <c r="L2" s="16" t="s">
        <v>338</v>
      </c>
      <c r="M2" s="16" t="s">
        <v>152</v>
      </c>
      <c r="N2" s="16" t="s">
        <v>340</v>
      </c>
      <c r="O2" s="16" t="s">
        <v>340</v>
      </c>
      <c r="P2" s="16" t="s">
        <v>342</v>
      </c>
      <c r="Q2" s="16" t="s">
        <v>81</v>
      </c>
      <c r="R2" s="16" t="s">
        <v>343</v>
      </c>
      <c r="S2" s="16" t="s">
        <v>82</v>
      </c>
      <c r="T2" s="16" t="s">
        <v>74</v>
      </c>
      <c r="U2" s="16" t="s">
        <v>119</v>
      </c>
      <c r="V2" s="16" t="s">
        <v>344</v>
      </c>
      <c r="W2" s="16" t="s">
        <v>85</v>
      </c>
      <c r="X2" s="16" t="s">
        <v>95</v>
      </c>
      <c r="Y2" s="16" t="s">
        <v>345</v>
      </c>
      <c r="Z2" s="16" t="s">
        <v>346</v>
      </c>
      <c r="AA2" s="16" t="s">
        <v>85</v>
      </c>
      <c r="AB2" s="16" t="s">
        <v>74</v>
      </c>
      <c r="AC2" s="16" t="s">
        <v>348</v>
      </c>
      <c r="AD2" s="16" t="s">
        <v>89</v>
      </c>
      <c r="AE2" s="16" t="s">
        <v>126</v>
      </c>
      <c r="AF2" s="16" t="s">
        <v>91</v>
      </c>
      <c r="AG2" s="16" t="s">
        <v>352</v>
      </c>
      <c r="AH2" s="16" t="s">
        <v>353</v>
      </c>
      <c r="AI2" s="16" t="s">
        <v>264</v>
      </c>
      <c r="AJ2" s="16" t="s">
        <v>74</v>
      </c>
      <c r="AK2" s="16" t="s">
        <v>74</v>
      </c>
      <c r="AL2" s="16" t="s">
        <v>96</v>
      </c>
      <c r="AM2" s="16" t="s">
        <v>233</v>
      </c>
      <c r="AN2" s="16" t="s">
        <v>74</v>
      </c>
      <c r="AO2" s="16" t="s">
        <v>74</v>
      </c>
      <c r="AP2" s="16" t="s">
        <v>74</v>
      </c>
      <c r="AQ2" s="16" t="s">
        <v>74</v>
      </c>
      <c r="AR2" s="16" t="s">
        <v>358</v>
      </c>
      <c r="AS2" s="16" t="s">
        <v>359</v>
      </c>
      <c r="AT2" s="16" t="s">
        <v>362</v>
      </c>
      <c r="AU2" s="16" t="s">
        <v>365</v>
      </c>
      <c r="AV2" s="16" t="s">
        <v>83</v>
      </c>
      <c r="AW2" s="16" t="s">
        <v>107</v>
      </c>
      <c r="AX2" s="16" t="s">
        <v>107</v>
      </c>
      <c r="AY2" s="16" t="s">
        <v>367</v>
      </c>
      <c r="AZ2" s="4"/>
      <c r="BA2" s="16" t="s">
        <v>107</v>
      </c>
      <c r="BB2" s="16" t="s">
        <v>368</v>
      </c>
      <c r="BC2" s="16" t="s">
        <v>370</v>
      </c>
      <c r="BD2" s="16" t="s">
        <v>233</v>
      </c>
      <c r="BE2" s="16" t="s">
        <v>371</v>
      </c>
      <c r="BF2" s="16" t="s">
        <v>107</v>
      </c>
      <c r="BG2" s="16" t="s">
        <v>314</v>
      </c>
      <c r="BH2" s="16" t="s">
        <v>108</v>
      </c>
      <c r="BI2" s="16" t="s">
        <v>107</v>
      </c>
      <c r="BJ2" s="16" t="s">
        <v>233</v>
      </c>
      <c r="BK2" s="4"/>
      <c r="BL2" s="16" t="s">
        <v>372</v>
      </c>
      <c r="BM2" s="16" t="s">
        <v>233</v>
      </c>
      <c r="BN2" s="4"/>
      <c r="BO2" s="16" t="s">
        <v>74</v>
      </c>
      <c r="BP2" s="16" t="s">
        <v>373</v>
      </c>
      <c r="BS2" s="8"/>
      <c r="BT2" s="8"/>
      <c r="BU2" s="8"/>
      <c r="BV2" s="8"/>
      <c r="BW2" s="8"/>
      <c r="BX2" s="8"/>
      <c r="BY2" s="8"/>
      <c r="BZ2" s="8"/>
      <c r="CA2" s="8"/>
      <c r="CB2" s="8"/>
      <c r="CC2" s="8"/>
      <c r="CD2" s="8"/>
      <c r="CE2" s="8"/>
      <c r="CF2" s="8"/>
      <c r="CG2" s="8"/>
      <c r="CH2" s="8"/>
      <c r="CI2" s="8"/>
      <c r="CJ2" s="8"/>
      <c r="CK2" s="8"/>
    </row>
    <row r="3" spans="1:89" ht="15.75" customHeight="1">
      <c r="A3" s="8">
        <v>11</v>
      </c>
      <c r="B3" s="4" t="s">
        <v>378</v>
      </c>
      <c r="C3" s="4" t="s">
        <v>322</v>
      </c>
      <c r="D3" s="15"/>
      <c r="E3" s="15">
        <v>43658.48931636574</v>
      </c>
      <c r="F3" s="16" t="s">
        <v>323</v>
      </c>
      <c r="G3" s="16" t="s">
        <v>324</v>
      </c>
      <c r="H3" s="17" t="s">
        <v>379</v>
      </c>
      <c r="I3" s="16" t="s">
        <v>83</v>
      </c>
      <c r="J3" s="17" t="s">
        <v>389</v>
      </c>
      <c r="K3" s="16" t="s">
        <v>395</v>
      </c>
      <c r="L3" s="16" t="s">
        <v>397</v>
      </c>
      <c r="M3" s="16" t="s">
        <v>152</v>
      </c>
      <c r="N3" s="16" t="s">
        <v>340</v>
      </c>
      <c r="O3" s="16" t="s">
        <v>401</v>
      </c>
      <c r="P3" s="17" t="s">
        <v>389</v>
      </c>
      <c r="Q3" s="16" t="s">
        <v>118</v>
      </c>
      <c r="R3" s="16">
        <v>2003</v>
      </c>
      <c r="S3" s="16" t="s">
        <v>82</v>
      </c>
      <c r="T3" s="16" t="s">
        <v>95</v>
      </c>
      <c r="U3" s="16" t="s">
        <v>282</v>
      </c>
      <c r="V3" s="16" t="s">
        <v>84</v>
      </c>
      <c r="W3" s="16" t="s">
        <v>85</v>
      </c>
      <c r="X3" s="16" t="s">
        <v>95</v>
      </c>
      <c r="Y3" s="16" t="s">
        <v>404</v>
      </c>
      <c r="Z3" s="16" t="s">
        <v>190</v>
      </c>
      <c r="AA3" s="16" t="s">
        <v>85</v>
      </c>
      <c r="AB3" s="16" t="s">
        <v>74</v>
      </c>
      <c r="AC3" s="16" t="s">
        <v>405</v>
      </c>
      <c r="AD3" s="16" t="s">
        <v>89</v>
      </c>
      <c r="AE3" s="16" t="s">
        <v>406</v>
      </c>
      <c r="AF3" s="16" t="s">
        <v>409</v>
      </c>
      <c r="AG3" s="16" t="s">
        <v>305</v>
      </c>
      <c r="AH3" s="16" t="s">
        <v>284</v>
      </c>
      <c r="AI3" s="16" t="s">
        <v>163</v>
      </c>
      <c r="AJ3" s="16" t="s">
        <v>74</v>
      </c>
      <c r="AK3" s="16" t="s">
        <v>74</v>
      </c>
      <c r="AL3" s="16" t="s">
        <v>284</v>
      </c>
      <c r="AM3" s="16" t="s">
        <v>74</v>
      </c>
      <c r="AN3" s="16" t="s">
        <v>233</v>
      </c>
      <c r="AO3" s="16" t="s">
        <v>83</v>
      </c>
      <c r="AP3" s="16" t="s">
        <v>74</v>
      </c>
      <c r="AQ3" s="16" t="s">
        <v>74</v>
      </c>
      <c r="AR3" s="16" t="s">
        <v>412</v>
      </c>
      <c r="AS3" s="16" t="s">
        <v>130</v>
      </c>
      <c r="AT3" s="16" t="s">
        <v>229</v>
      </c>
      <c r="AU3" s="16" t="s">
        <v>415</v>
      </c>
      <c r="AV3" s="16" t="s">
        <v>74</v>
      </c>
      <c r="AW3" s="16" t="s">
        <v>107</v>
      </c>
      <c r="AX3" s="16" t="s">
        <v>107</v>
      </c>
      <c r="AY3" s="16" t="s">
        <v>107</v>
      </c>
      <c r="AZ3" s="4"/>
      <c r="BA3" s="16" t="s">
        <v>107</v>
      </c>
      <c r="BB3" s="16" t="s">
        <v>312</v>
      </c>
      <c r="BC3" s="16" t="s">
        <v>339</v>
      </c>
      <c r="BD3" s="16" t="s">
        <v>233</v>
      </c>
      <c r="BE3" s="16" t="s">
        <v>371</v>
      </c>
      <c r="BF3" s="16" t="s">
        <v>107</v>
      </c>
      <c r="BG3" s="16" t="s">
        <v>314</v>
      </c>
      <c r="BH3" s="16" t="s">
        <v>108</v>
      </c>
      <c r="BI3" s="16" t="s">
        <v>233</v>
      </c>
      <c r="BJ3" s="16" t="s">
        <v>233</v>
      </c>
      <c r="BK3" s="4"/>
      <c r="BL3" s="16" t="s">
        <v>429</v>
      </c>
      <c r="BM3" s="16" t="s">
        <v>233</v>
      </c>
      <c r="BN3" s="4"/>
      <c r="BO3" s="16" t="s">
        <v>74</v>
      </c>
      <c r="BP3" s="16" t="s">
        <v>430</v>
      </c>
      <c r="BS3" s="8"/>
      <c r="BT3" s="8"/>
      <c r="BU3" s="8"/>
      <c r="BV3" s="8"/>
      <c r="BW3" s="8"/>
      <c r="BX3" s="8"/>
      <c r="BY3" s="8"/>
      <c r="BZ3" s="8"/>
      <c r="CA3" s="8"/>
      <c r="CB3" s="8"/>
      <c r="CC3" s="8"/>
      <c r="CD3" s="8"/>
      <c r="CE3" s="8"/>
      <c r="CF3" s="8"/>
      <c r="CG3" s="8"/>
      <c r="CH3" s="8"/>
      <c r="CI3" s="8"/>
      <c r="CJ3" s="8"/>
      <c r="CK3" s="8"/>
    </row>
    <row r="4" spans="1:89" ht="15.75" customHeight="1">
      <c r="A4" s="8">
        <v>14</v>
      </c>
      <c r="B4" s="4" t="s">
        <v>432</v>
      </c>
      <c r="C4" s="4" t="s">
        <v>322</v>
      </c>
      <c r="D4" s="15"/>
      <c r="E4" s="15">
        <v>43662.531133703698</v>
      </c>
      <c r="F4" s="16" t="s">
        <v>433</v>
      </c>
      <c r="G4" s="16" t="s">
        <v>434</v>
      </c>
      <c r="H4" s="16" t="s">
        <v>435</v>
      </c>
      <c r="I4" s="16" t="s">
        <v>74</v>
      </c>
      <c r="J4" s="17" t="s">
        <v>439</v>
      </c>
      <c r="K4" s="16" t="s">
        <v>442</v>
      </c>
      <c r="L4" s="16" t="s">
        <v>443</v>
      </c>
      <c r="M4" s="16" t="s">
        <v>77</v>
      </c>
      <c r="N4" s="16" t="s">
        <v>199</v>
      </c>
      <c r="O4" s="16" t="s">
        <v>444</v>
      </c>
      <c r="P4" s="16" t="s">
        <v>445</v>
      </c>
      <c r="Q4" s="16" t="s">
        <v>118</v>
      </c>
      <c r="R4" s="16">
        <v>2018</v>
      </c>
      <c r="S4" s="16" t="s">
        <v>82</v>
      </c>
      <c r="T4" s="16" t="s">
        <v>83</v>
      </c>
      <c r="U4" s="4"/>
      <c r="V4" s="16" t="s">
        <v>84</v>
      </c>
      <c r="W4" s="16" t="s">
        <v>258</v>
      </c>
      <c r="X4" s="16" t="s">
        <v>95</v>
      </c>
      <c r="Y4" s="16" t="s">
        <v>450</v>
      </c>
      <c r="Z4" s="16" t="s">
        <v>451</v>
      </c>
      <c r="AA4" s="16" t="s">
        <v>261</v>
      </c>
      <c r="AB4" s="16" t="s">
        <v>107</v>
      </c>
      <c r="AC4" s="4"/>
      <c r="AD4" s="16" t="s">
        <v>125</v>
      </c>
      <c r="AE4" s="16" t="s">
        <v>126</v>
      </c>
      <c r="AF4" s="16" t="s">
        <v>457</v>
      </c>
      <c r="AG4" s="16" t="s">
        <v>92</v>
      </c>
      <c r="AH4" s="16" t="s">
        <v>93</v>
      </c>
      <c r="AI4" s="16" t="s">
        <v>163</v>
      </c>
      <c r="AJ4" s="16" t="s">
        <v>74</v>
      </c>
      <c r="AK4" s="16" t="s">
        <v>74</v>
      </c>
      <c r="AL4" s="16" t="s">
        <v>461</v>
      </c>
      <c r="AM4" s="16" t="s">
        <v>74</v>
      </c>
      <c r="AN4" s="16" t="s">
        <v>74</v>
      </c>
      <c r="AO4" s="16" t="s">
        <v>74</v>
      </c>
      <c r="AP4" s="16" t="s">
        <v>74</v>
      </c>
      <c r="AQ4" s="16" t="s">
        <v>74</v>
      </c>
      <c r="AR4" s="16" t="s">
        <v>97</v>
      </c>
      <c r="AS4" s="16" t="s">
        <v>464</v>
      </c>
      <c r="AT4" s="16" t="s">
        <v>285</v>
      </c>
      <c r="AU4" s="16" t="s">
        <v>466</v>
      </c>
      <c r="AV4" s="16" t="s">
        <v>74</v>
      </c>
      <c r="AW4" s="16" t="s">
        <v>467</v>
      </c>
      <c r="AX4" s="16" t="s">
        <v>468</v>
      </c>
      <c r="AY4" s="16" t="s">
        <v>83</v>
      </c>
      <c r="AZ4" s="4"/>
      <c r="BA4" s="16" t="s">
        <v>233</v>
      </c>
      <c r="BB4" s="16" t="s">
        <v>287</v>
      </c>
      <c r="BC4" s="16" t="s">
        <v>288</v>
      </c>
      <c r="BD4" s="16" t="s">
        <v>469</v>
      </c>
      <c r="BE4" s="4"/>
      <c r="BF4" s="16">
        <v>0</v>
      </c>
      <c r="BG4" s="16" t="s">
        <v>171</v>
      </c>
      <c r="BH4" s="16" t="s">
        <v>108</v>
      </c>
      <c r="BI4" s="16" t="s">
        <v>74</v>
      </c>
      <c r="BJ4" s="16" t="s">
        <v>141</v>
      </c>
      <c r="BK4" s="17" t="s">
        <v>472</v>
      </c>
      <c r="BL4" s="16" t="s">
        <v>478</v>
      </c>
      <c r="BM4" s="16" t="s">
        <v>233</v>
      </c>
      <c r="BN4" s="4"/>
      <c r="BO4" s="16" t="s">
        <v>74</v>
      </c>
      <c r="BP4" s="4"/>
      <c r="BS4" s="8"/>
      <c r="BT4" s="8"/>
      <c r="BU4" s="8"/>
      <c r="BV4" s="8"/>
      <c r="BW4" s="8"/>
      <c r="BX4" s="8"/>
      <c r="BY4" s="8"/>
      <c r="BZ4" s="8"/>
      <c r="CA4" s="8"/>
      <c r="CB4" s="8"/>
      <c r="CC4" s="8"/>
      <c r="CD4" s="8"/>
      <c r="CE4" s="8"/>
      <c r="CF4" s="8"/>
      <c r="CG4" s="8"/>
      <c r="CH4" s="8"/>
      <c r="CI4" s="8"/>
      <c r="CJ4" s="8"/>
      <c r="CK4" s="8"/>
    </row>
    <row r="5" spans="1:89" ht="15.75" customHeight="1">
      <c r="A5" s="8">
        <v>17</v>
      </c>
      <c r="B5" s="4" t="s">
        <v>378</v>
      </c>
      <c r="C5" s="4" t="s">
        <v>322</v>
      </c>
      <c r="D5" s="15"/>
      <c r="E5" s="15">
        <v>43669.648892766199</v>
      </c>
      <c r="F5" s="16" t="s">
        <v>480</v>
      </c>
      <c r="G5" s="16" t="s">
        <v>482</v>
      </c>
      <c r="H5" s="16" t="s">
        <v>484</v>
      </c>
      <c r="I5" s="16" t="s">
        <v>74</v>
      </c>
      <c r="J5" s="17" t="s">
        <v>486</v>
      </c>
      <c r="K5" s="16" t="s">
        <v>480</v>
      </c>
      <c r="L5" s="16" t="s">
        <v>489</v>
      </c>
      <c r="M5" s="16" t="s">
        <v>77</v>
      </c>
      <c r="N5" s="16" t="s">
        <v>199</v>
      </c>
      <c r="O5" s="16" t="s">
        <v>492</v>
      </c>
      <c r="P5" s="16" t="s">
        <v>494</v>
      </c>
      <c r="Q5" s="16" t="s">
        <v>81</v>
      </c>
      <c r="R5" s="16">
        <v>2018</v>
      </c>
      <c r="S5" s="16" t="s">
        <v>82</v>
      </c>
      <c r="T5" s="16" t="s">
        <v>74</v>
      </c>
      <c r="U5" s="16" t="s">
        <v>119</v>
      </c>
      <c r="V5" s="16" t="s">
        <v>496</v>
      </c>
      <c r="W5" s="16" t="s">
        <v>120</v>
      </c>
      <c r="X5" s="16" t="s">
        <v>158</v>
      </c>
      <c r="Y5" s="16" t="s">
        <v>497</v>
      </c>
      <c r="Z5" s="16" t="s">
        <v>190</v>
      </c>
      <c r="AA5" s="16" t="s">
        <v>499</v>
      </c>
      <c r="AB5" s="16" t="s">
        <v>107</v>
      </c>
      <c r="AC5" s="4"/>
      <c r="AD5" s="16" t="s">
        <v>89</v>
      </c>
      <c r="AE5" s="16" t="s">
        <v>126</v>
      </c>
      <c r="AF5" s="16" t="s">
        <v>501</v>
      </c>
      <c r="AG5" s="16" t="s">
        <v>162</v>
      </c>
      <c r="AH5" s="16" t="s">
        <v>284</v>
      </c>
      <c r="AI5" s="16" t="s">
        <v>107</v>
      </c>
      <c r="AJ5" s="16" t="s">
        <v>95</v>
      </c>
      <c r="AK5" s="16" t="s">
        <v>74</v>
      </c>
      <c r="AL5" s="16" t="s">
        <v>164</v>
      </c>
      <c r="AM5" s="16" t="s">
        <v>74</v>
      </c>
      <c r="AN5" s="16" t="s">
        <v>74</v>
      </c>
      <c r="AO5" s="16" t="s">
        <v>74</v>
      </c>
      <c r="AP5" s="16" t="s">
        <v>74</v>
      </c>
      <c r="AQ5" s="16" t="s">
        <v>74</v>
      </c>
      <c r="AR5" s="16" t="s">
        <v>97</v>
      </c>
      <c r="AS5" s="16" t="s">
        <v>130</v>
      </c>
      <c r="AT5" s="16" t="s">
        <v>229</v>
      </c>
      <c r="AU5" s="16" t="s">
        <v>100</v>
      </c>
      <c r="AV5" s="16" t="s">
        <v>74</v>
      </c>
      <c r="AW5" s="16" t="s">
        <v>101</v>
      </c>
      <c r="AX5" s="16" t="s">
        <v>102</v>
      </c>
      <c r="AY5" s="16" t="s">
        <v>506</v>
      </c>
      <c r="AZ5" s="4"/>
      <c r="BA5" s="16" t="s">
        <v>507</v>
      </c>
      <c r="BB5" s="16" t="s">
        <v>233</v>
      </c>
      <c r="BC5" s="16" t="s">
        <v>233</v>
      </c>
      <c r="BD5" s="16" t="s">
        <v>233</v>
      </c>
      <c r="BE5" s="4"/>
      <c r="BF5" s="16" t="s">
        <v>233</v>
      </c>
      <c r="BG5" s="16" t="s">
        <v>108</v>
      </c>
      <c r="BH5" s="16" t="s">
        <v>172</v>
      </c>
      <c r="BI5" s="16" t="s">
        <v>83</v>
      </c>
      <c r="BJ5" s="16" t="s">
        <v>233</v>
      </c>
      <c r="BK5" s="4"/>
      <c r="BL5" s="16" t="s">
        <v>509</v>
      </c>
      <c r="BM5" s="16" t="s">
        <v>509</v>
      </c>
      <c r="BN5" s="4"/>
      <c r="BO5" s="16" t="s">
        <v>74</v>
      </c>
      <c r="BP5" s="16" t="s">
        <v>514</v>
      </c>
      <c r="BS5" s="8"/>
      <c r="BT5" s="8"/>
      <c r="BU5" s="8"/>
      <c r="BV5" s="8"/>
      <c r="BW5" s="8"/>
      <c r="BX5" s="8"/>
      <c r="BY5" s="8"/>
      <c r="BZ5" s="8"/>
      <c r="CA5" s="8"/>
      <c r="CB5" s="8"/>
      <c r="CC5" s="8"/>
      <c r="CD5" s="8"/>
      <c r="CE5" s="8"/>
      <c r="CF5" s="8"/>
      <c r="CG5" s="8"/>
      <c r="CH5" s="8"/>
      <c r="CI5" s="8"/>
      <c r="CJ5" s="8"/>
      <c r="CK5" s="8"/>
    </row>
    <row r="6" spans="1:89" ht="15.75" customHeight="1">
      <c r="A6" s="8">
        <v>18</v>
      </c>
      <c r="B6" s="18" t="s">
        <v>519</v>
      </c>
      <c r="C6" s="1" t="s">
        <v>524</v>
      </c>
      <c r="D6" s="2" t="s">
        <v>70</v>
      </c>
      <c r="E6" s="9">
        <v>43670.669537847221</v>
      </c>
      <c r="F6" s="2" t="s">
        <v>525</v>
      </c>
      <c r="G6" s="2" t="s">
        <v>526</v>
      </c>
      <c r="H6" s="10" t="s">
        <v>527</v>
      </c>
      <c r="I6" s="2" t="s">
        <v>83</v>
      </c>
      <c r="J6" s="10" t="s">
        <v>531</v>
      </c>
      <c r="K6" s="2" t="s">
        <v>533</v>
      </c>
      <c r="L6" s="2" t="s">
        <v>534</v>
      </c>
      <c r="M6" s="2" t="s">
        <v>152</v>
      </c>
      <c r="N6" s="2" t="s">
        <v>199</v>
      </c>
      <c r="O6" s="2" t="s">
        <v>535</v>
      </c>
      <c r="P6" s="2" t="s">
        <v>536</v>
      </c>
      <c r="Q6" s="2" t="s">
        <v>81</v>
      </c>
      <c r="R6" s="2">
        <v>2013</v>
      </c>
      <c r="S6" s="2" t="s">
        <v>82</v>
      </c>
      <c r="T6" s="2" t="s">
        <v>74</v>
      </c>
      <c r="U6" s="2" t="s">
        <v>256</v>
      </c>
      <c r="V6" s="2" t="s">
        <v>84</v>
      </c>
      <c r="W6" s="2" t="s">
        <v>120</v>
      </c>
      <c r="X6" s="2" t="s">
        <v>74</v>
      </c>
      <c r="Y6" s="2" t="s">
        <v>540</v>
      </c>
      <c r="Z6" s="2" t="s">
        <v>260</v>
      </c>
      <c r="AA6" s="2" t="s">
        <v>499</v>
      </c>
      <c r="AB6" s="2" t="s">
        <v>74</v>
      </c>
      <c r="AC6" s="2" t="s">
        <v>543</v>
      </c>
      <c r="AD6" s="2" t="s">
        <v>205</v>
      </c>
      <c r="AE6" s="2" t="s">
        <v>126</v>
      </c>
      <c r="AF6" s="2" t="s">
        <v>544</v>
      </c>
      <c r="AG6" s="2" t="s">
        <v>162</v>
      </c>
      <c r="AH6" s="2" t="s">
        <v>93</v>
      </c>
      <c r="AI6" s="2" t="s">
        <v>163</v>
      </c>
      <c r="AJ6" s="2" t="s">
        <v>74</v>
      </c>
      <c r="AK6" s="2" t="s">
        <v>74</v>
      </c>
      <c r="AL6" s="2" t="s">
        <v>96</v>
      </c>
      <c r="AM6" s="2" t="s">
        <v>74</v>
      </c>
      <c r="AN6" s="2" t="s">
        <v>74</v>
      </c>
      <c r="AO6" s="2" t="s">
        <v>74</v>
      </c>
      <c r="AP6" s="2" t="s">
        <v>74</v>
      </c>
      <c r="AQ6" s="2" t="s">
        <v>74</v>
      </c>
      <c r="AR6" s="2" t="s">
        <v>97</v>
      </c>
      <c r="AS6" s="2" t="s">
        <v>130</v>
      </c>
      <c r="AT6" s="2" t="s">
        <v>229</v>
      </c>
      <c r="AU6" s="2" t="s">
        <v>107</v>
      </c>
      <c r="AV6" s="2" t="s">
        <v>74</v>
      </c>
      <c r="AW6" s="2" t="s">
        <v>549</v>
      </c>
      <c r="AX6" s="2" t="s">
        <v>107</v>
      </c>
      <c r="AY6" s="2" t="s">
        <v>107</v>
      </c>
      <c r="AZ6" s="2"/>
      <c r="BA6" s="2" t="s">
        <v>107</v>
      </c>
      <c r="BB6" s="2" t="s">
        <v>522</v>
      </c>
      <c r="BC6" s="2" t="s">
        <v>339</v>
      </c>
      <c r="BD6" s="2" t="s">
        <v>168</v>
      </c>
      <c r="BE6" s="2"/>
      <c r="BF6" s="2" t="s">
        <v>107</v>
      </c>
      <c r="BG6" s="2" t="s">
        <v>234</v>
      </c>
      <c r="BH6" s="2" t="s">
        <v>235</v>
      </c>
      <c r="BI6" s="2" t="s">
        <v>83</v>
      </c>
      <c r="BJ6" s="2" t="s">
        <v>141</v>
      </c>
      <c r="BK6" s="2"/>
      <c r="BL6" s="2" t="s">
        <v>213</v>
      </c>
      <c r="BM6" s="2" t="s">
        <v>551</v>
      </c>
      <c r="BN6" s="2"/>
      <c r="BO6" s="2" t="s">
        <v>83</v>
      </c>
      <c r="BP6" s="2"/>
      <c r="BS6" s="8"/>
      <c r="BT6" s="8"/>
      <c r="BU6" s="8"/>
      <c r="BV6" s="8"/>
      <c r="BW6" s="8"/>
      <c r="BX6" s="8"/>
      <c r="BY6" s="8"/>
      <c r="BZ6" s="8"/>
      <c r="CA6" s="8"/>
      <c r="CB6" s="8"/>
      <c r="CC6" s="8"/>
      <c r="CD6" s="8"/>
      <c r="CE6" s="8"/>
      <c r="CF6" s="8"/>
      <c r="CG6" s="8"/>
      <c r="CH6" s="8"/>
      <c r="CI6" s="8"/>
      <c r="CJ6" s="8"/>
      <c r="CK6" s="8"/>
    </row>
    <row r="7" spans="1:89" ht="15.75" customHeight="1">
      <c r="A7" s="8">
        <v>19</v>
      </c>
      <c r="B7" s="19" t="s">
        <v>552</v>
      </c>
      <c r="C7" s="16" t="s">
        <v>322</v>
      </c>
      <c r="D7" s="2" t="s">
        <v>70</v>
      </c>
      <c r="E7" s="9">
        <v>43670.77155380787</v>
      </c>
      <c r="F7" s="2" t="s">
        <v>553</v>
      </c>
      <c r="G7" s="2" t="s">
        <v>554</v>
      </c>
      <c r="H7" s="2" t="s">
        <v>555</v>
      </c>
      <c r="I7" s="2" t="s">
        <v>74</v>
      </c>
      <c r="J7" s="10" t="s">
        <v>556</v>
      </c>
      <c r="K7" s="2" t="s">
        <v>557</v>
      </c>
      <c r="L7" s="2" t="s">
        <v>558</v>
      </c>
      <c r="M7" s="2" t="s">
        <v>77</v>
      </c>
      <c r="N7" s="2" t="s">
        <v>199</v>
      </c>
      <c r="O7" s="2" t="s">
        <v>559</v>
      </c>
      <c r="P7" s="2" t="s">
        <v>560</v>
      </c>
      <c r="Q7" s="2" t="s">
        <v>118</v>
      </c>
      <c r="R7" s="2">
        <v>2013</v>
      </c>
      <c r="S7" s="2">
        <v>2019</v>
      </c>
      <c r="T7" s="2" t="s">
        <v>74</v>
      </c>
      <c r="U7" s="2" t="s">
        <v>561</v>
      </c>
      <c r="V7" s="2" t="s">
        <v>496</v>
      </c>
      <c r="W7" s="2" t="s">
        <v>562</v>
      </c>
      <c r="X7" s="2" t="s">
        <v>74</v>
      </c>
      <c r="Y7" s="2" t="s">
        <v>563</v>
      </c>
      <c r="Z7" s="2" t="s">
        <v>564</v>
      </c>
      <c r="AA7" s="2" t="s">
        <v>88</v>
      </c>
      <c r="AB7" s="2" t="s">
        <v>74</v>
      </c>
      <c r="AC7" s="2" t="s">
        <v>565</v>
      </c>
      <c r="AD7" s="2" t="s">
        <v>89</v>
      </c>
      <c r="AE7" s="2" t="s">
        <v>126</v>
      </c>
      <c r="AF7" s="2" t="s">
        <v>566</v>
      </c>
      <c r="AG7" s="2" t="s">
        <v>567</v>
      </c>
      <c r="AH7" s="2" t="s">
        <v>284</v>
      </c>
      <c r="AI7" s="2" t="s">
        <v>163</v>
      </c>
      <c r="AJ7" s="2" t="s">
        <v>74</v>
      </c>
      <c r="AK7" s="2" t="s">
        <v>74</v>
      </c>
      <c r="AL7" s="2" t="s">
        <v>96</v>
      </c>
      <c r="AM7" s="2" t="s">
        <v>74</v>
      </c>
      <c r="AN7" s="2" t="s">
        <v>74</v>
      </c>
      <c r="AO7" s="2" t="s">
        <v>74</v>
      </c>
      <c r="AP7" s="2" t="s">
        <v>74</v>
      </c>
      <c r="AQ7" s="2" t="s">
        <v>74</v>
      </c>
      <c r="AR7" s="2" t="s">
        <v>97</v>
      </c>
      <c r="AS7" s="2" t="s">
        <v>568</v>
      </c>
      <c r="AT7" s="2" t="s">
        <v>569</v>
      </c>
      <c r="AU7" s="2" t="s">
        <v>100</v>
      </c>
      <c r="AV7" s="2" t="s">
        <v>74</v>
      </c>
      <c r="AW7" s="2" t="s">
        <v>101</v>
      </c>
      <c r="AX7" s="2" t="s">
        <v>570</v>
      </c>
      <c r="AY7" s="2" t="s">
        <v>107</v>
      </c>
      <c r="AZ7" s="8"/>
      <c r="BA7" s="2" t="s">
        <v>107</v>
      </c>
      <c r="BB7" s="2" t="s">
        <v>167</v>
      </c>
      <c r="BC7" s="2" t="s">
        <v>168</v>
      </c>
      <c r="BD7" s="2" t="s">
        <v>168</v>
      </c>
      <c r="BE7" s="8"/>
      <c r="BF7" s="2" t="s">
        <v>571</v>
      </c>
      <c r="BG7" s="2" t="s">
        <v>172</v>
      </c>
      <c r="BH7" s="2" t="s">
        <v>108</v>
      </c>
      <c r="BI7" s="2" t="s">
        <v>74</v>
      </c>
      <c r="BJ7" s="2" t="s">
        <v>107</v>
      </c>
      <c r="BK7" s="8"/>
      <c r="BL7" s="2" t="s">
        <v>572</v>
      </c>
      <c r="BM7" s="2" t="s">
        <v>282</v>
      </c>
      <c r="BN7" s="8"/>
      <c r="BO7" s="2" t="s">
        <v>74</v>
      </c>
      <c r="BP7" s="8"/>
      <c r="BS7" s="8"/>
      <c r="BT7" s="8"/>
      <c r="BU7" s="8"/>
      <c r="BV7" s="8"/>
      <c r="BW7" s="8"/>
      <c r="BX7" s="8"/>
      <c r="BY7" s="8"/>
      <c r="BZ7" s="8"/>
      <c r="CA7" s="8"/>
      <c r="CB7" s="8"/>
      <c r="CC7" s="8"/>
      <c r="CD7" s="8"/>
      <c r="CE7" s="8"/>
      <c r="CF7" s="8"/>
      <c r="CG7" s="8"/>
      <c r="CH7" s="8"/>
      <c r="CI7" s="8"/>
      <c r="CJ7" s="8"/>
      <c r="CK7" s="8"/>
    </row>
    <row r="8" spans="1:89" ht="15.75" customHeight="1">
      <c r="A8" s="8">
        <v>27</v>
      </c>
      <c r="B8" s="4" t="s">
        <v>378</v>
      </c>
      <c r="C8" s="4" t="s">
        <v>322</v>
      </c>
      <c r="D8" s="15"/>
      <c r="E8" s="15">
        <v>43675.406173912037</v>
      </c>
      <c r="F8" s="16" t="s">
        <v>573</v>
      </c>
      <c r="G8" s="16" t="s">
        <v>574</v>
      </c>
      <c r="H8" s="16" t="s">
        <v>575</v>
      </c>
      <c r="I8" s="16" t="s">
        <v>74</v>
      </c>
      <c r="J8" s="17" t="s">
        <v>576</v>
      </c>
      <c r="K8" s="16" t="s">
        <v>573</v>
      </c>
      <c r="L8" s="16" t="s">
        <v>577</v>
      </c>
      <c r="M8" s="16" t="s">
        <v>152</v>
      </c>
      <c r="N8" s="16" t="s">
        <v>578</v>
      </c>
      <c r="O8" s="16" t="s">
        <v>579</v>
      </c>
      <c r="P8" s="16" t="s">
        <v>580</v>
      </c>
      <c r="Q8" s="16" t="s">
        <v>418</v>
      </c>
      <c r="R8" s="16">
        <v>2014</v>
      </c>
      <c r="S8" s="16" t="s">
        <v>82</v>
      </c>
      <c r="T8" s="16" t="s">
        <v>74</v>
      </c>
      <c r="U8" s="16" t="s">
        <v>256</v>
      </c>
      <c r="V8" s="16" t="s">
        <v>581</v>
      </c>
      <c r="W8" s="16" t="s">
        <v>85</v>
      </c>
      <c r="X8" s="16" t="s">
        <v>158</v>
      </c>
      <c r="Y8" s="16" t="s">
        <v>582</v>
      </c>
      <c r="Z8" s="16" t="s">
        <v>491</v>
      </c>
      <c r="AA8" s="16" t="s">
        <v>85</v>
      </c>
      <c r="AB8" s="16" t="s">
        <v>74</v>
      </c>
      <c r="AC8" s="16" t="s">
        <v>583</v>
      </c>
      <c r="AD8" s="16" t="s">
        <v>89</v>
      </c>
      <c r="AE8" s="16" t="s">
        <v>126</v>
      </c>
      <c r="AF8" s="16" t="s">
        <v>544</v>
      </c>
      <c r="AG8" s="16" t="s">
        <v>92</v>
      </c>
      <c r="AH8" s="16" t="s">
        <v>584</v>
      </c>
      <c r="AI8" s="16" t="s">
        <v>585</v>
      </c>
      <c r="AJ8" s="16" t="s">
        <v>95</v>
      </c>
      <c r="AK8" s="16" t="s">
        <v>83</v>
      </c>
      <c r="AL8" s="16" t="s">
        <v>284</v>
      </c>
      <c r="AM8" s="16" t="s">
        <v>74</v>
      </c>
      <c r="AN8" s="16" t="s">
        <v>95</v>
      </c>
      <c r="AO8" s="16" t="s">
        <v>83</v>
      </c>
      <c r="AP8" s="16" t="s">
        <v>74</v>
      </c>
      <c r="AQ8" s="16" t="s">
        <v>74</v>
      </c>
      <c r="AR8" s="16" t="s">
        <v>97</v>
      </c>
      <c r="AS8" s="16" t="s">
        <v>130</v>
      </c>
      <c r="AT8" s="16" t="s">
        <v>229</v>
      </c>
      <c r="AU8" s="16" t="s">
        <v>365</v>
      </c>
      <c r="AV8" s="16" t="s">
        <v>74</v>
      </c>
      <c r="AW8" s="16" t="s">
        <v>586</v>
      </c>
      <c r="AX8" s="16" t="s">
        <v>102</v>
      </c>
      <c r="AY8" s="16" t="s">
        <v>233</v>
      </c>
      <c r="AZ8" s="4"/>
      <c r="BA8" s="16" t="s">
        <v>103</v>
      </c>
      <c r="BB8" s="16" t="s">
        <v>233</v>
      </c>
      <c r="BC8" s="16" t="s">
        <v>233</v>
      </c>
      <c r="BD8" s="16" t="s">
        <v>233</v>
      </c>
      <c r="BE8" s="4"/>
      <c r="BF8" s="16" t="s">
        <v>212</v>
      </c>
      <c r="BG8" s="16" t="s">
        <v>341</v>
      </c>
      <c r="BH8" s="16" t="s">
        <v>140</v>
      </c>
      <c r="BI8" s="16" t="s">
        <v>83</v>
      </c>
      <c r="BJ8" s="16">
        <v>0</v>
      </c>
      <c r="BK8" s="4"/>
      <c r="BL8" s="16" t="s">
        <v>233</v>
      </c>
      <c r="BM8" s="16" t="s">
        <v>587</v>
      </c>
      <c r="BN8" s="4"/>
      <c r="BO8" s="16" t="s">
        <v>74</v>
      </c>
      <c r="BP8" s="4"/>
      <c r="BS8" s="8"/>
      <c r="BT8" s="8"/>
      <c r="BU8" s="8"/>
      <c r="BV8" s="8"/>
      <c r="BW8" s="8"/>
      <c r="BX8" s="8"/>
      <c r="BY8" s="8"/>
      <c r="BZ8" s="8"/>
      <c r="CA8" s="8"/>
      <c r="CB8" s="8"/>
      <c r="CC8" s="8"/>
      <c r="CD8" s="8"/>
      <c r="CE8" s="8"/>
      <c r="CF8" s="8"/>
      <c r="CG8" s="8"/>
      <c r="CH8" s="8"/>
      <c r="CI8" s="8"/>
      <c r="CJ8" s="8"/>
      <c r="CK8" s="8"/>
    </row>
    <row r="9" spans="1:89" ht="15.75" customHeight="1">
      <c r="A9" s="8">
        <v>28</v>
      </c>
      <c r="B9" s="20" t="s">
        <v>588</v>
      </c>
      <c r="C9" s="4" t="s">
        <v>322</v>
      </c>
      <c r="D9" s="15"/>
      <c r="E9" s="15">
        <v>43675.445233761573</v>
      </c>
      <c r="F9" s="16" t="s">
        <v>595</v>
      </c>
      <c r="G9" s="16" t="s">
        <v>596</v>
      </c>
      <c r="H9" s="16" t="s">
        <v>597</v>
      </c>
      <c r="I9" s="16" t="s">
        <v>83</v>
      </c>
      <c r="J9" s="17" t="s">
        <v>598</v>
      </c>
      <c r="K9" s="17" t="s">
        <v>604</v>
      </c>
      <c r="L9" s="16" t="s">
        <v>615</v>
      </c>
      <c r="M9" s="16" t="s">
        <v>616</v>
      </c>
      <c r="N9" s="16" t="s">
        <v>78</v>
      </c>
      <c r="O9" s="16" t="s">
        <v>79</v>
      </c>
      <c r="P9" s="16" t="s">
        <v>619</v>
      </c>
      <c r="Q9" s="16" t="s">
        <v>118</v>
      </c>
      <c r="R9" s="16">
        <v>2017</v>
      </c>
      <c r="S9" s="16" t="s">
        <v>82</v>
      </c>
      <c r="T9" s="16" t="s">
        <v>83</v>
      </c>
      <c r="U9" s="16"/>
      <c r="V9" s="16" t="s">
        <v>84</v>
      </c>
      <c r="W9" s="16" t="s">
        <v>622</v>
      </c>
      <c r="X9" s="16" t="s">
        <v>158</v>
      </c>
      <c r="Y9" s="16" t="s">
        <v>623</v>
      </c>
      <c r="Z9" s="16" t="s">
        <v>451</v>
      </c>
      <c r="AA9" s="16" t="s">
        <v>123</v>
      </c>
      <c r="AB9" s="16" t="s">
        <v>107</v>
      </c>
      <c r="AC9" s="16"/>
      <c r="AD9" s="16" t="s">
        <v>89</v>
      </c>
      <c r="AE9" s="16" t="s">
        <v>126</v>
      </c>
      <c r="AF9" s="16" t="s">
        <v>32</v>
      </c>
      <c r="AG9" s="16" t="s">
        <v>92</v>
      </c>
      <c r="AH9" s="16" t="s">
        <v>93</v>
      </c>
      <c r="AI9" s="16" t="s">
        <v>94</v>
      </c>
      <c r="AJ9" s="16" t="s">
        <v>83</v>
      </c>
      <c r="AK9" s="16" t="s">
        <v>83</v>
      </c>
      <c r="AL9" s="16" t="s">
        <v>284</v>
      </c>
      <c r="AM9" s="16" t="s">
        <v>74</v>
      </c>
      <c r="AN9" s="16" t="s">
        <v>107</v>
      </c>
      <c r="AO9" s="16" t="s">
        <v>107</v>
      </c>
      <c r="AP9" s="16" t="s">
        <v>107</v>
      </c>
      <c r="AQ9" s="16" t="s">
        <v>95</v>
      </c>
      <c r="AR9" s="16" t="s">
        <v>630</v>
      </c>
      <c r="AS9" s="16" t="s">
        <v>233</v>
      </c>
      <c r="AT9" s="16" t="s">
        <v>285</v>
      </c>
      <c r="AU9" s="16" t="s">
        <v>631</v>
      </c>
      <c r="AV9" s="16" t="s">
        <v>107</v>
      </c>
      <c r="AW9" s="16" t="s">
        <v>107</v>
      </c>
      <c r="AX9" s="16" t="s">
        <v>107</v>
      </c>
      <c r="AY9" s="16" t="s">
        <v>74</v>
      </c>
      <c r="AZ9" s="16" t="s">
        <v>632</v>
      </c>
      <c r="BA9" s="16" t="s">
        <v>233</v>
      </c>
      <c r="BB9" s="16" t="s">
        <v>167</v>
      </c>
      <c r="BC9" s="16" t="s">
        <v>370</v>
      </c>
      <c r="BD9" s="16" t="s">
        <v>168</v>
      </c>
      <c r="BE9" s="16" t="s">
        <v>638</v>
      </c>
      <c r="BF9" s="16">
        <v>0</v>
      </c>
      <c r="BG9" s="16" t="s">
        <v>108</v>
      </c>
      <c r="BH9" s="16" t="s">
        <v>171</v>
      </c>
      <c r="BI9" s="16" t="s">
        <v>83</v>
      </c>
      <c r="BJ9" s="16" t="s">
        <v>107</v>
      </c>
      <c r="BK9" s="16"/>
      <c r="BL9" s="16" t="s">
        <v>107</v>
      </c>
      <c r="BM9" s="16" t="s">
        <v>107</v>
      </c>
      <c r="BN9" s="16"/>
      <c r="BO9" s="16" t="s">
        <v>74</v>
      </c>
      <c r="BP9" s="16"/>
      <c r="BS9" s="8"/>
      <c r="BT9" s="8"/>
      <c r="BU9" s="8"/>
      <c r="BV9" s="8"/>
      <c r="BW9" s="8"/>
      <c r="BX9" s="8"/>
      <c r="BY9" s="8"/>
      <c r="BZ9" s="8"/>
      <c r="CA9" s="8"/>
      <c r="CB9" s="8"/>
      <c r="CC9" s="8"/>
      <c r="CD9" s="8"/>
      <c r="CE9" s="8"/>
      <c r="CF9" s="8"/>
      <c r="CG9" s="8"/>
      <c r="CH9" s="8"/>
      <c r="CI9" s="8"/>
      <c r="CJ9" s="8"/>
      <c r="CK9" s="8"/>
    </row>
    <row r="10" spans="1:89" ht="15.75" customHeight="1">
      <c r="A10" s="8">
        <v>39</v>
      </c>
      <c r="B10" s="16" t="s">
        <v>646</v>
      </c>
      <c r="C10" s="4" t="s">
        <v>322</v>
      </c>
      <c r="D10" s="15"/>
      <c r="E10" s="15">
        <v>43688.770465335649</v>
      </c>
      <c r="F10" s="16" t="s">
        <v>647</v>
      </c>
      <c r="G10" s="16" t="s">
        <v>648</v>
      </c>
      <c r="H10" s="16" t="s">
        <v>649</v>
      </c>
      <c r="I10" s="16" t="s">
        <v>74</v>
      </c>
      <c r="J10" s="17" t="s">
        <v>650</v>
      </c>
      <c r="K10" s="16" t="s">
        <v>647</v>
      </c>
      <c r="L10" s="16" t="s">
        <v>651</v>
      </c>
      <c r="M10" s="16" t="s">
        <v>152</v>
      </c>
      <c r="N10" s="16" t="s">
        <v>653</v>
      </c>
      <c r="O10" s="16" t="s">
        <v>654</v>
      </c>
      <c r="P10" s="16" t="s">
        <v>655</v>
      </c>
      <c r="Q10" s="16" t="s">
        <v>418</v>
      </c>
      <c r="R10" s="16">
        <v>2008</v>
      </c>
      <c r="S10" s="16" t="s">
        <v>82</v>
      </c>
      <c r="T10" s="16" t="s">
        <v>74</v>
      </c>
      <c r="U10" s="16" t="s">
        <v>656</v>
      </c>
      <c r="V10" s="16" t="s">
        <v>658</v>
      </c>
      <c r="W10" s="16" t="s">
        <v>85</v>
      </c>
      <c r="X10" s="16" t="s">
        <v>158</v>
      </c>
      <c r="Y10" s="16" t="s">
        <v>662</v>
      </c>
      <c r="Z10" s="16" t="s">
        <v>664</v>
      </c>
      <c r="AA10" s="16" t="s">
        <v>85</v>
      </c>
      <c r="AB10" s="16" t="s">
        <v>74</v>
      </c>
      <c r="AC10" s="16" t="s">
        <v>668</v>
      </c>
      <c r="AD10" s="16" t="s">
        <v>125</v>
      </c>
      <c r="AE10" s="16" t="s">
        <v>669</v>
      </c>
      <c r="AF10" s="16" t="s">
        <v>91</v>
      </c>
      <c r="AG10" s="16" t="s">
        <v>284</v>
      </c>
      <c r="AH10" s="16" t="s">
        <v>671</v>
      </c>
      <c r="AI10" s="16" t="s">
        <v>672</v>
      </c>
      <c r="AJ10" s="16" t="s">
        <v>83</v>
      </c>
      <c r="AK10" s="16" t="s">
        <v>74</v>
      </c>
      <c r="AL10" s="16" t="s">
        <v>96</v>
      </c>
      <c r="AM10" s="16" t="s">
        <v>74</v>
      </c>
      <c r="AN10" s="16" t="s">
        <v>95</v>
      </c>
      <c r="AO10" s="16" t="s">
        <v>74</v>
      </c>
      <c r="AP10" s="16" t="s">
        <v>74</v>
      </c>
      <c r="AQ10" s="16" t="s">
        <v>95</v>
      </c>
      <c r="AR10" s="16" t="s">
        <v>97</v>
      </c>
      <c r="AS10" s="16" t="s">
        <v>233</v>
      </c>
      <c r="AT10" s="16" t="s">
        <v>308</v>
      </c>
      <c r="AU10" s="16" t="s">
        <v>336</v>
      </c>
      <c r="AV10" s="16" t="s">
        <v>74</v>
      </c>
      <c r="AW10" s="16" t="s">
        <v>132</v>
      </c>
      <c r="AX10" s="16" t="s">
        <v>102</v>
      </c>
      <c r="AY10" s="16" t="s">
        <v>83</v>
      </c>
      <c r="AZ10" s="4"/>
      <c r="BA10" s="16" t="s">
        <v>103</v>
      </c>
      <c r="BB10" s="16" t="s">
        <v>167</v>
      </c>
      <c r="BC10" s="16" t="s">
        <v>691</v>
      </c>
      <c r="BD10" s="16" t="s">
        <v>168</v>
      </c>
      <c r="BE10" s="4"/>
      <c r="BF10" s="16" t="s">
        <v>463</v>
      </c>
      <c r="BG10" s="16" t="s">
        <v>139</v>
      </c>
      <c r="BH10" s="16" t="s">
        <v>235</v>
      </c>
      <c r="BI10" s="16" t="s">
        <v>83</v>
      </c>
      <c r="BJ10" s="16" t="s">
        <v>270</v>
      </c>
      <c r="BK10" s="4"/>
      <c r="BL10" s="16" t="s">
        <v>237</v>
      </c>
      <c r="BM10" s="16" t="s">
        <v>587</v>
      </c>
      <c r="BN10" s="4"/>
      <c r="BO10" s="16" t="s">
        <v>74</v>
      </c>
      <c r="BP10" s="4"/>
      <c r="BS10" s="8"/>
      <c r="BT10" s="8"/>
      <c r="BU10" s="8"/>
      <c r="BV10" s="8"/>
      <c r="BW10" s="8"/>
      <c r="BX10" s="8"/>
      <c r="BY10" s="8"/>
      <c r="BZ10" s="8"/>
      <c r="CA10" s="8"/>
      <c r="CB10" s="8"/>
      <c r="CC10" s="8"/>
      <c r="CD10" s="8"/>
      <c r="CE10" s="8"/>
      <c r="CF10" s="8"/>
      <c r="CG10" s="8"/>
      <c r="CH10" s="8"/>
      <c r="CI10" s="8"/>
      <c r="CJ10" s="8"/>
      <c r="CK10" s="8"/>
    </row>
    <row r="11" spans="1:89" ht="15.75" customHeight="1">
      <c r="A11" s="8">
        <v>40</v>
      </c>
      <c r="B11" s="4" t="s">
        <v>702</v>
      </c>
      <c r="C11" s="4" t="s">
        <v>322</v>
      </c>
      <c r="D11" s="15"/>
      <c r="E11" s="15">
        <v>43689.703489641208</v>
      </c>
      <c r="F11" s="16" t="s">
        <v>704</v>
      </c>
      <c r="G11" s="16" t="s">
        <v>705</v>
      </c>
      <c r="H11" s="16" t="s">
        <v>706</v>
      </c>
      <c r="I11" s="16" t="s">
        <v>74</v>
      </c>
      <c r="J11" s="17" t="s">
        <v>707</v>
      </c>
      <c r="K11" s="16" t="s">
        <v>704</v>
      </c>
      <c r="L11" s="16" t="s">
        <v>711</v>
      </c>
      <c r="M11" s="16" t="s">
        <v>152</v>
      </c>
      <c r="N11" s="16" t="s">
        <v>199</v>
      </c>
      <c r="O11" s="16" t="s">
        <v>200</v>
      </c>
      <c r="P11" s="16" t="s">
        <v>714</v>
      </c>
      <c r="Q11" s="16" t="s">
        <v>298</v>
      </c>
      <c r="R11" s="16">
        <v>2016</v>
      </c>
      <c r="S11" s="16" t="s">
        <v>82</v>
      </c>
      <c r="T11" s="16" t="s">
        <v>95</v>
      </c>
      <c r="U11" s="16" t="s">
        <v>282</v>
      </c>
      <c r="V11" s="16" t="s">
        <v>360</v>
      </c>
      <c r="W11" s="16" t="s">
        <v>716</v>
      </c>
      <c r="X11" s="16" t="s">
        <v>95</v>
      </c>
      <c r="Y11" s="16" t="s">
        <v>718</v>
      </c>
      <c r="Z11" s="16" t="s">
        <v>676</v>
      </c>
      <c r="AA11" s="16" t="s">
        <v>161</v>
      </c>
      <c r="AB11" s="16" t="s">
        <v>107</v>
      </c>
      <c r="AC11" s="4"/>
      <c r="AD11" s="16" t="s">
        <v>125</v>
      </c>
      <c r="AE11" s="16" t="s">
        <v>126</v>
      </c>
      <c r="AF11" s="16" t="s">
        <v>721</v>
      </c>
      <c r="AG11" s="16" t="s">
        <v>162</v>
      </c>
      <c r="AH11" s="16" t="s">
        <v>284</v>
      </c>
      <c r="AI11" s="16" t="s">
        <v>163</v>
      </c>
      <c r="AJ11" s="16" t="s">
        <v>74</v>
      </c>
      <c r="AK11" s="16" t="s">
        <v>74</v>
      </c>
      <c r="AL11" s="16" t="s">
        <v>265</v>
      </c>
      <c r="AM11" s="16" t="s">
        <v>74</v>
      </c>
      <c r="AN11" s="16" t="s">
        <v>74</v>
      </c>
      <c r="AO11" s="16" t="s">
        <v>74</v>
      </c>
      <c r="AP11" s="16" t="s">
        <v>74</v>
      </c>
      <c r="AQ11" s="16" t="s">
        <v>74</v>
      </c>
      <c r="AR11" s="16" t="s">
        <v>97</v>
      </c>
      <c r="AS11" s="16" t="s">
        <v>233</v>
      </c>
      <c r="AT11" s="16" t="s">
        <v>730</v>
      </c>
      <c r="AU11" s="16" t="s">
        <v>233</v>
      </c>
      <c r="AV11" s="16" t="s">
        <v>74</v>
      </c>
      <c r="AW11" s="16" t="s">
        <v>101</v>
      </c>
      <c r="AX11" s="16" t="s">
        <v>107</v>
      </c>
      <c r="AY11" s="16" t="s">
        <v>233</v>
      </c>
      <c r="AZ11" s="4"/>
      <c r="BA11" s="16" t="s">
        <v>233</v>
      </c>
      <c r="BB11" s="16" t="s">
        <v>233</v>
      </c>
      <c r="BC11" s="16" t="s">
        <v>233</v>
      </c>
      <c r="BD11" s="16" t="s">
        <v>233</v>
      </c>
      <c r="BE11" s="4"/>
      <c r="BF11" s="16" t="s">
        <v>571</v>
      </c>
      <c r="BG11" s="16" t="s">
        <v>234</v>
      </c>
      <c r="BH11" s="16" t="s">
        <v>108</v>
      </c>
      <c r="BI11" s="16" t="s">
        <v>74</v>
      </c>
      <c r="BJ11" s="16" t="s">
        <v>141</v>
      </c>
      <c r="BK11" s="17" t="s">
        <v>736</v>
      </c>
      <c r="BL11" s="16" t="s">
        <v>213</v>
      </c>
      <c r="BM11" s="16" t="s">
        <v>233</v>
      </c>
      <c r="BN11" s="4"/>
      <c r="BO11" s="16" t="s">
        <v>74</v>
      </c>
      <c r="BP11" s="4"/>
      <c r="BS11" s="8"/>
      <c r="BT11" s="8"/>
      <c r="BU11" s="8"/>
      <c r="BV11" s="8"/>
      <c r="BW11" s="8"/>
      <c r="BX11" s="8"/>
      <c r="BY11" s="8"/>
      <c r="BZ11" s="8"/>
      <c r="CA11" s="8"/>
      <c r="CB11" s="8"/>
      <c r="CC11" s="8"/>
      <c r="CD11" s="8"/>
      <c r="CE11" s="8"/>
      <c r="CF11" s="8"/>
      <c r="CG11" s="8"/>
      <c r="CH11" s="8"/>
      <c r="CI11" s="8"/>
      <c r="CJ11" s="8"/>
      <c r="CK11" s="8"/>
    </row>
    <row r="12" spans="1:89" ht="15.75" customHeight="1">
      <c r="A12" s="8">
        <v>44</v>
      </c>
      <c r="B12" s="4" t="s">
        <v>747</v>
      </c>
      <c r="C12" s="4" t="s">
        <v>322</v>
      </c>
      <c r="D12" s="15"/>
      <c r="E12" s="15">
        <v>43692.616051701392</v>
      </c>
      <c r="F12" s="16" t="s">
        <v>751</v>
      </c>
      <c r="G12" s="16" t="s">
        <v>753</v>
      </c>
      <c r="H12" s="16" t="s">
        <v>754</v>
      </c>
      <c r="I12" s="16" t="s">
        <v>74</v>
      </c>
      <c r="J12" s="17" t="s">
        <v>757</v>
      </c>
      <c r="K12" s="16" t="s">
        <v>751</v>
      </c>
      <c r="L12" s="16" t="s">
        <v>762</v>
      </c>
      <c r="M12" s="16" t="s">
        <v>152</v>
      </c>
      <c r="N12" s="16" t="s">
        <v>695</v>
      </c>
      <c r="O12" s="16" t="s">
        <v>765</v>
      </c>
      <c r="P12" s="16" t="s">
        <v>766</v>
      </c>
      <c r="Q12" s="16" t="s">
        <v>418</v>
      </c>
      <c r="R12" s="16">
        <v>2008</v>
      </c>
      <c r="S12" s="16" t="s">
        <v>82</v>
      </c>
      <c r="T12" s="16" t="s">
        <v>74</v>
      </c>
      <c r="U12" s="16" t="s">
        <v>119</v>
      </c>
      <c r="V12" s="16" t="s">
        <v>84</v>
      </c>
      <c r="W12" s="16" t="s">
        <v>85</v>
      </c>
      <c r="X12" s="16" t="s">
        <v>95</v>
      </c>
      <c r="Y12" s="16" t="s">
        <v>769</v>
      </c>
      <c r="Z12" s="16" t="s">
        <v>451</v>
      </c>
      <c r="AA12" s="16" t="s">
        <v>85</v>
      </c>
      <c r="AB12" s="16" t="s">
        <v>74</v>
      </c>
      <c r="AC12" s="16" t="s">
        <v>770</v>
      </c>
      <c r="AD12" s="16" t="s">
        <v>89</v>
      </c>
      <c r="AE12" s="16" t="s">
        <v>126</v>
      </c>
      <c r="AF12" s="16" t="s">
        <v>771</v>
      </c>
      <c r="AG12" s="16" t="s">
        <v>773</v>
      </c>
      <c r="AH12" s="16" t="s">
        <v>93</v>
      </c>
      <c r="AI12" s="16" t="s">
        <v>163</v>
      </c>
      <c r="AJ12" s="16" t="s">
        <v>95</v>
      </c>
      <c r="AK12" s="16" t="s">
        <v>74</v>
      </c>
      <c r="AL12" s="16" t="s">
        <v>776</v>
      </c>
      <c r="AM12" s="16" t="s">
        <v>74</v>
      </c>
      <c r="AN12" s="16" t="s">
        <v>74</v>
      </c>
      <c r="AO12" s="16" t="s">
        <v>233</v>
      </c>
      <c r="AP12" s="16" t="s">
        <v>74</v>
      </c>
      <c r="AQ12" s="16" t="s">
        <v>95</v>
      </c>
      <c r="AR12" s="16" t="s">
        <v>358</v>
      </c>
      <c r="AS12" s="16" t="s">
        <v>130</v>
      </c>
      <c r="AT12" s="16" t="s">
        <v>725</v>
      </c>
      <c r="AU12" s="16" t="s">
        <v>777</v>
      </c>
      <c r="AV12" s="16" t="s">
        <v>74</v>
      </c>
      <c r="AW12" s="16" t="s">
        <v>779</v>
      </c>
      <c r="AX12" s="16" t="s">
        <v>780</v>
      </c>
      <c r="AY12" s="16" t="s">
        <v>782</v>
      </c>
      <c r="AZ12" s="4"/>
      <c r="BA12" s="16" t="s">
        <v>783</v>
      </c>
      <c r="BB12" s="16" t="s">
        <v>167</v>
      </c>
      <c r="BC12" s="16" t="s">
        <v>135</v>
      </c>
      <c r="BD12" s="16" t="s">
        <v>786</v>
      </c>
      <c r="BE12" s="16" t="s">
        <v>787</v>
      </c>
      <c r="BF12" s="16" t="s">
        <v>571</v>
      </c>
      <c r="BG12" s="16" t="s">
        <v>314</v>
      </c>
      <c r="BH12" s="16" t="s">
        <v>789</v>
      </c>
      <c r="BI12" s="16" t="s">
        <v>233</v>
      </c>
      <c r="BJ12" s="16" t="s">
        <v>107</v>
      </c>
      <c r="BK12" s="4"/>
      <c r="BL12" s="16" t="s">
        <v>143</v>
      </c>
      <c r="BM12" s="16" t="s">
        <v>793</v>
      </c>
      <c r="BN12" s="4"/>
      <c r="BO12" s="16" t="s">
        <v>74</v>
      </c>
      <c r="BP12" s="4"/>
      <c r="BS12" s="8"/>
      <c r="BT12" s="8"/>
      <c r="BU12" s="8"/>
      <c r="BV12" s="8"/>
      <c r="BW12" s="8"/>
      <c r="BX12" s="8"/>
      <c r="BY12" s="8"/>
      <c r="BZ12" s="8"/>
      <c r="CA12" s="8"/>
      <c r="CB12" s="8"/>
      <c r="CC12" s="8"/>
      <c r="CD12" s="8"/>
      <c r="CE12" s="8"/>
      <c r="CF12" s="8"/>
      <c r="CG12" s="8"/>
      <c r="CH12" s="8"/>
      <c r="CI12" s="8"/>
      <c r="CJ12" s="8"/>
      <c r="CK12" s="8"/>
    </row>
    <row r="13" spans="1:89" ht="15.75" customHeight="1">
      <c r="A13" s="8">
        <v>45</v>
      </c>
      <c r="B13" s="4" t="s">
        <v>796</v>
      </c>
      <c r="C13" s="4" t="s">
        <v>322</v>
      </c>
      <c r="D13" s="15"/>
      <c r="E13" s="15">
        <v>43692.476377916668</v>
      </c>
      <c r="F13" s="16" t="s">
        <v>751</v>
      </c>
      <c r="G13" s="16" t="s">
        <v>798</v>
      </c>
      <c r="H13" s="16" t="s">
        <v>799</v>
      </c>
      <c r="I13" s="16" t="s">
        <v>83</v>
      </c>
      <c r="J13" s="17" t="s">
        <v>800</v>
      </c>
      <c r="K13" s="16" t="s">
        <v>804</v>
      </c>
      <c r="L13" s="16" t="s">
        <v>807</v>
      </c>
      <c r="M13" s="16" t="s">
        <v>328</v>
      </c>
      <c r="N13" s="16" t="s">
        <v>809</v>
      </c>
      <c r="O13" s="16" t="s">
        <v>608</v>
      </c>
      <c r="P13" s="16" t="s">
        <v>810</v>
      </c>
      <c r="Q13" s="16" t="s">
        <v>118</v>
      </c>
      <c r="R13" s="16">
        <v>2019</v>
      </c>
      <c r="S13" s="16" t="s">
        <v>82</v>
      </c>
      <c r="T13" s="16" t="s">
        <v>74</v>
      </c>
      <c r="U13" s="16" t="s">
        <v>812</v>
      </c>
      <c r="V13" s="16" t="s">
        <v>790</v>
      </c>
      <c r="W13" s="16" t="s">
        <v>813</v>
      </c>
      <c r="X13" s="16" t="s">
        <v>95</v>
      </c>
      <c r="Y13" s="16" t="s">
        <v>623</v>
      </c>
      <c r="Z13" s="16" t="s">
        <v>815</v>
      </c>
      <c r="AA13" s="16" t="s">
        <v>366</v>
      </c>
      <c r="AB13" s="16" t="s">
        <v>107</v>
      </c>
      <c r="AC13" s="4"/>
      <c r="AD13" s="16" t="s">
        <v>107</v>
      </c>
      <c r="AE13" s="16" t="s">
        <v>126</v>
      </c>
      <c r="AF13" s="16" t="s">
        <v>817</v>
      </c>
      <c r="AG13" s="16" t="s">
        <v>819</v>
      </c>
      <c r="AH13" s="16" t="s">
        <v>107</v>
      </c>
      <c r="AI13" s="16" t="s">
        <v>107</v>
      </c>
      <c r="AJ13" s="16" t="s">
        <v>107</v>
      </c>
      <c r="AK13" s="16" t="s">
        <v>74</v>
      </c>
      <c r="AL13" s="16" t="s">
        <v>823</v>
      </c>
      <c r="AM13" s="16" t="s">
        <v>107</v>
      </c>
      <c r="AN13" s="16" t="s">
        <v>107</v>
      </c>
      <c r="AO13" s="16" t="s">
        <v>107</v>
      </c>
      <c r="AP13" s="16" t="s">
        <v>107</v>
      </c>
      <c r="AQ13" s="16" t="s">
        <v>107</v>
      </c>
      <c r="AR13" s="16" t="s">
        <v>107</v>
      </c>
      <c r="AS13" s="16" t="s">
        <v>107</v>
      </c>
      <c r="AT13" s="16" t="s">
        <v>107</v>
      </c>
      <c r="AU13" s="16" t="s">
        <v>107</v>
      </c>
      <c r="AV13" s="16" t="s">
        <v>107</v>
      </c>
      <c r="AW13" s="16" t="s">
        <v>107</v>
      </c>
      <c r="AX13" s="16" t="s">
        <v>107</v>
      </c>
      <c r="AY13" s="16" t="s">
        <v>107</v>
      </c>
      <c r="AZ13" s="4"/>
      <c r="BA13" s="16" t="s">
        <v>107</v>
      </c>
      <c r="BB13" s="16" t="s">
        <v>107</v>
      </c>
      <c r="BC13" s="16" t="s">
        <v>107</v>
      </c>
      <c r="BD13" s="16" t="s">
        <v>107</v>
      </c>
      <c r="BE13" s="4"/>
      <c r="BF13" s="16" t="s">
        <v>233</v>
      </c>
      <c r="BG13" s="16" t="s">
        <v>108</v>
      </c>
      <c r="BH13" s="16" t="s">
        <v>108</v>
      </c>
      <c r="BI13" s="16" t="s">
        <v>107</v>
      </c>
      <c r="BJ13" s="16" t="s">
        <v>107</v>
      </c>
      <c r="BK13" s="4"/>
      <c r="BL13" s="16" t="s">
        <v>107</v>
      </c>
      <c r="BM13" s="16" t="s">
        <v>107</v>
      </c>
      <c r="BN13" s="4"/>
      <c r="BO13" s="16" t="s">
        <v>74</v>
      </c>
      <c r="BP13" s="4"/>
      <c r="BS13" s="8"/>
      <c r="BT13" s="8"/>
      <c r="BU13" s="8"/>
      <c r="BV13" s="8"/>
      <c r="BW13" s="8"/>
      <c r="BX13" s="8"/>
      <c r="BY13" s="8"/>
      <c r="BZ13" s="8"/>
      <c r="CA13" s="8"/>
      <c r="CB13" s="8"/>
      <c r="CC13" s="8"/>
      <c r="CD13" s="8"/>
      <c r="CE13" s="8"/>
      <c r="CF13" s="8"/>
      <c r="CG13" s="8"/>
      <c r="CH13" s="8"/>
      <c r="CI13" s="8"/>
      <c r="CJ13" s="8"/>
      <c r="CK13" s="8"/>
    </row>
    <row r="14" spans="1:89" ht="15.75" customHeight="1">
      <c r="A14" s="8">
        <v>48</v>
      </c>
      <c r="B14" s="4" t="s">
        <v>837</v>
      </c>
      <c r="C14" s="16" t="s">
        <v>322</v>
      </c>
      <c r="D14" s="2" t="s">
        <v>70</v>
      </c>
      <c r="E14" s="9">
        <v>43696.3603196412</v>
      </c>
      <c r="F14" s="2" t="s">
        <v>838</v>
      </c>
      <c r="G14" s="2" t="s">
        <v>839</v>
      </c>
      <c r="H14" s="2" t="s">
        <v>840</v>
      </c>
      <c r="I14" s="2" t="s">
        <v>74</v>
      </c>
      <c r="J14" s="2" t="s">
        <v>841</v>
      </c>
      <c r="K14" s="2" t="s">
        <v>842</v>
      </c>
      <c r="L14" s="21" t="s">
        <v>843</v>
      </c>
      <c r="M14" s="2" t="s">
        <v>152</v>
      </c>
      <c r="N14" s="2" t="s">
        <v>688</v>
      </c>
      <c r="O14" s="2" t="s">
        <v>845</v>
      </c>
      <c r="P14" s="2" t="s">
        <v>846</v>
      </c>
      <c r="Q14" s="2" t="s">
        <v>81</v>
      </c>
      <c r="R14" s="2">
        <v>2019</v>
      </c>
      <c r="S14" s="2" t="s">
        <v>82</v>
      </c>
      <c r="T14" s="2" t="s">
        <v>74</v>
      </c>
      <c r="U14" s="2" t="s">
        <v>256</v>
      </c>
      <c r="V14" s="2" t="s">
        <v>848</v>
      </c>
      <c r="W14" s="2" t="s">
        <v>85</v>
      </c>
      <c r="X14" s="2" t="s">
        <v>74</v>
      </c>
      <c r="Y14" s="2" t="s">
        <v>849</v>
      </c>
      <c r="Z14" s="2" t="s">
        <v>850</v>
      </c>
      <c r="AA14" s="2" t="s">
        <v>85</v>
      </c>
      <c r="AB14" s="2" t="s">
        <v>74</v>
      </c>
      <c r="AC14" s="2" t="s">
        <v>852</v>
      </c>
      <c r="AD14" s="2" t="s">
        <v>89</v>
      </c>
      <c r="AE14" s="2" t="s">
        <v>90</v>
      </c>
      <c r="AF14" s="2" t="s">
        <v>853</v>
      </c>
      <c r="AG14" s="2" t="s">
        <v>92</v>
      </c>
      <c r="AH14" s="2" t="s">
        <v>284</v>
      </c>
      <c r="AI14" s="2" t="s">
        <v>163</v>
      </c>
      <c r="AJ14" s="2" t="s">
        <v>74</v>
      </c>
      <c r="AK14" s="2" t="s">
        <v>74</v>
      </c>
      <c r="AL14" s="2" t="s">
        <v>96</v>
      </c>
      <c r="AM14" s="2" t="s">
        <v>83</v>
      </c>
      <c r="AN14" s="2" t="s">
        <v>74</v>
      </c>
      <c r="AO14" s="2" t="s">
        <v>74</v>
      </c>
      <c r="AP14" s="2" t="s">
        <v>74</v>
      </c>
      <c r="AQ14" s="2" t="s">
        <v>74</v>
      </c>
      <c r="AR14" s="2" t="s">
        <v>97</v>
      </c>
      <c r="AS14" s="2" t="s">
        <v>130</v>
      </c>
      <c r="AT14" s="2" t="s">
        <v>725</v>
      </c>
      <c r="AU14" s="2" t="s">
        <v>631</v>
      </c>
      <c r="AV14" s="2" t="s">
        <v>83</v>
      </c>
      <c r="AW14" s="2" t="s">
        <v>101</v>
      </c>
      <c r="AX14" s="2" t="s">
        <v>857</v>
      </c>
      <c r="AY14" s="2" t="s">
        <v>858</v>
      </c>
      <c r="AZ14" s="8"/>
      <c r="BA14" s="2" t="s">
        <v>233</v>
      </c>
      <c r="BB14" s="2" t="s">
        <v>859</v>
      </c>
      <c r="BC14" s="2" t="s">
        <v>105</v>
      </c>
      <c r="BD14" s="2" t="s">
        <v>860</v>
      </c>
      <c r="BE14" s="8"/>
      <c r="BF14" s="2" t="s">
        <v>233</v>
      </c>
      <c r="BG14" s="2" t="s">
        <v>233</v>
      </c>
      <c r="BH14" s="2" t="s">
        <v>233</v>
      </c>
      <c r="BI14" s="2" t="s">
        <v>83</v>
      </c>
      <c r="BJ14" s="2" t="s">
        <v>233</v>
      </c>
      <c r="BK14" s="8"/>
      <c r="BL14" s="2" t="s">
        <v>233</v>
      </c>
      <c r="BM14" s="2" t="s">
        <v>233</v>
      </c>
      <c r="BN14" s="8"/>
      <c r="BO14" s="2" t="s">
        <v>74</v>
      </c>
      <c r="BP14" s="8"/>
      <c r="BS14" s="8"/>
      <c r="BT14" s="8"/>
      <c r="BU14" s="8"/>
      <c r="BV14" s="8"/>
      <c r="BW14" s="8"/>
      <c r="BX14" s="8"/>
      <c r="BY14" s="8"/>
      <c r="BZ14" s="8"/>
      <c r="CA14" s="8"/>
      <c r="CB14" s="8"/>
      <c r="CC14" s="8"/>
      <c r="CD14" s="8"/>
      <c r="CE14" s="8"/>
      <c r="CF14" s="8"/>
      <c r="CG14" s="8"/>
      <c r="CH14" s="8"/>
      <c r="CI14" s="8"/>
      <c r="CJ14" s="8"/>
      <c r="CK14" s="8"/>
    </row>
    <row r="15" spans="1:89" ht="15.75" customHeight="1">
      <c r="A15" s="8">
        <v>50</v>
      </c>
      <c r="B15" s="4" t="s">
        <v>863</v>
      </c>
      <c r="C15" s="16" t="s">
        <v>322</v>
      </c>
      <c r="D15" s="2" t="s">
        <v>70</v>
      </c>
      <c r="E15" s="9">
        <v>43696.380595266208</v>
      </c>
      <c r="F15" s="2" t="s">
        <v>838</v>
      </c>
      <c r="G15" s="2" t="s">
        <v>839</v>
      </c>
      <c r="H15" s="2" t="s">
        <v>864</v>
      </c>
      <c r="I15" s="2" t="s">
        <v>83</v>
      </c>
      <c r="J15" s="2" t="s">
        <v>867</v>
      </c>
      <c r="K15" s="2" t="s">
        <v>868</v>
      </c>
      <c r="L15" s="2" t="s">
        <v>870</v>
      </c>
      <c r="M15" s="2" t="s">
        <v>77</v>
      </c>
      <c r="N15" s="2" t="s">
        <v>871</v>
      </c>
      <c r="O15" s="2" t="s">
        <v>872</v>
      </c>
      <c r="P15" s="2" t="s">
        <v>874</v>
      </c>
      <c r="Q15" s="2" t="s">
        <v>298</v>
      </c>
      <c r="R15" s="2">
        <v>2016</v>
      </c>
      <c r="S15" s="2">
        <v>2017</v>
      </c>
      <c r="T15" s="2" t="s">
        <v>74</v>
      </c>
      <c r="U15" s="2" t="s">
        <v>722</v>
      </c>
      <c r="V15" s="2" t="s">
        <v>875</v>
      </c>
      <c r="W15" s="2" t="s">
        <v>85</v>
      </c>
      <c r="X15" s="2" t="s">
        <v>74</v>
      </c>
      <c r="Y15" s="2" t="s">
        <v>876</v>
      </c>
      <c r="Z15" s="2" t="s">
        <v>190</v>
      </c>
      <c r="AA15" s="2" t="s">
        <v>123</v>
      </c>
      <c r="AB15" s="2" t="s">
        <v>74</v>
      </c>
      <c r="AC15" s="2" t="s">
        <v>877</v>
      </c>
      <c r="AD15" s="2" t="s">
        <v>303</v>
      </c>
      <c r="AE15" s="2" t="s">
        <v>90</v>
      </c>
      <c r="AF15" s="2" t="s">
        <v>878</v>
      </c>
      <c r="AG15" s="2" t="s">
        <v>284</v>
      </c>
      <c r="AH15" s="2" t="s">
        <v>284</v>
      </c>
      <c r="AI15" s="2" t="s">
        <v>163</v>
      </c>
      <c r="AJ15" s="2" t="s">
        <v>74</v>
      </c>
      <c r="AK15" s="2" t="s">
        <v>74</v>
      </c>
      <c r="AL15" s="2" t="s">
        <v>96</v>
      </c>
      <c r="AM15" s="2" t="s">
        <v>74</v>
      </c>
      <c r="AN15" s="2" t="s">
        <v>74</v>
      </c>
      <c r="AO15" s="2" t="s">
        <v>74</v>
      </c>
      <c r="AP15" s="2" t="s">
        <v>74</v>
      </c>
      <c r="AQ15" s="2" t="s">
        <v>74</v>
      </c>
      <c r="AR15" s="2" t="s">
        <v>97</v>
      </c>
      <c r="AS15" s="2" t="s">
        <v>879</v>
      </c>
      <c r="AT15" s="2" t="s">
        <v>308</v>
      </c>
      <c r="AU15" s="2" t="s">
        <v>880</v>
      </c>
      <c r="AV15" s="2" t="s">
        <v>74</v>
      </c>
      <c r="AW15" s="2" t="s">
        <v>107</v>
      </c>
      <c r="AX15" s="2" t="s">
        <v>857</v>
      </c>
      <c r="AY15" s="2" t="s">
        <v>233</v>
      </c>
      <c r="AZ15" s="8"/>
      <c r="BA15" s="2" t="s">
        <v>882</v>
      </c>
      <c r="BB15" s="2" t="s">
        <v>167</v>
      </c>
      <c r="BC15" s="2" t="s">
        <v>339</v>
      </c>
      <c r="BD15" s="2" t="s">
        <v>233</v>
      </c>
      <c r="BE15" s="8"/>
      <c r="BF15" s="2" t="s">
        <v>170</v>
      </c>
      <c r="BG15" s="2" t="s">
        <v>171</v>
      </c>
      <c r="BH15" s="2" t="s">
        <v>171</v>
      </c>
      <c r="BI15" s="2" t="s">
        <v>83</v>
      </c>
      <c r="BJ15" s="2" t="s">
        <v>141</v>
      </c>
      <c r="BK15" s="8"/>
      <c r="BL15" s="2" t="s">
        <v>887</v>
      </c>
      <c r="BM15" s="2" t="s">
        <v>238</v>
      </c>
      <c r="BN15" s="8"/>
      <c r="BO15" s="2" t="s">
        <v>74</v>
      </c>
      <c r="BP15" s="8"/>
      <c r="BS15" s="8"/>
      <c r="BT15" s="8"/>
      <c r="BU15" s="8"/>
      <c r="BV15" s="8"/>
      <c r="BW15" s="8"/>
      <c r="BX15" s="8"/>
      <c r="BY15" s="8"/>
      <c r="BZ15" s="8"/>
      <c r="CA15" s="8"/>
      <c r="CB15" s="8"/>
      <c r="CC15" s="8"/>
      <c r="CD15" s="8"/>
      <c r="CE15" s="8"/>
      <c r="CF15" s="8"/>
      <c r="CG15" s="8"/>
      <c r="CH15" s="8"/>
      <c r="CI15" s="8"/>
      <c r="CJ15" s="8"/>
      <c r="CK15" s="8"/>
    </row>
    <row r="16" spans="1:89" ht="15.75" customHeight="1">
      <c r="A16" s="8">
        <v>52</v>
      </c>
      <c r="B16" s="4" t="s">
        <v>896</v>
      </c>
      <c r="C16" s="4" t="s">
        <v>322</v>
      </c>
      <c r="D16" s="15"/>
      <c r="E16" s="15">
        <v>43698.800358356486</v>
      </c>
      <c r="F16" s="16" t="s">
        <v>899</v>
      </c>
      <c r="G16" s="16" t="s">
        <v>900</v>
      </c>
      <c r="H16" s="17" t="s">
        <v>901</v>
      </c>
      <c r="I16" s="16" t="s">
        <v>74</v>
      </c>
      <c r="J16" s="17" t="s">
        <v>907</v>
      </c>
      <c r="K16" s="16" t="s">
        <v>899</v>
      </c>
      <c r="L16" s="16" t="s">
        <v>912</v>
      </c>
      <c r="M16" s="16" t="s">
        <v>914</v>
      </c>
      <c r="N16" s="16" t="s">
        <v>685</v>
      </c>
      <c r="O16" s="16" t="s">
        <v>915</v>
      </c>
      <c r="P16" s="16" t="s">
        <v>900</v>
      </c>
      <c r="Q16" s="16" t="s">
        <v>916</v>
      </c>
      <c r="R16" s="16">
        <v>2016</v>
      </c>
      <c r="S16" s="16" t="s">
        <v>82</v>
      </c>
      <c r="T16" s="16" t="s">
        <v>83</v>
      </c>
      <c r="U16" s="16" t="s">
        <v>383</v>
      </c>
      <c r="V16" s="16" t="s">
        <v>84</v>
      </c>
      <c r="W16" s="16" t="s">
        <v>924</v>
      </c>
      <c r="X16" s="16" t="s">
        <v>158</v>
      </c>
      <c r="Y16" s="16" t="s">
        <v>927</v>
      </c>
      <c r="Z16" s="16" t="s">
        <v>676</v>
      </c>
      <c r="AA16" s="16" t="s">
        <v>85</v>
      </c>
      <c r="AB16" s="16" t="s">
        <v>83</v>
      </c>
      <c r="AC16" s="16" t="s">
        <v>383</v>
      </c>
      <c r="AD16" s="16" t="s">
        <v>89</v>
      </c>
      <c r="AE16" s="16" t="s">
        <v>126</v>
      </c>
      <c r="AF16" s="16" t="s">
        <v>931</v>
      </c>
      <c r="AG16" s="16" t="s">
        <v>548</v>
      </c>
      <c r="AH16" s="16" t="s">
        <v>284</v>
      </c>
      <c r="AI16" s="16" t="s">
        <v>933</v>
      </c>
      <c r="AJ16" s="16" t="s">
        <v>95</v>
      </c>
      <c r="AK16" s="16" t="s">
        <v>74</v>
      </c>
      <c r="AL16" s="16" t="s">
        <v>284</v>
      </c>
      <c r="AM16" s="16" t="s">
        <v>74</v>
      </c>
      <c r="AN16" s="16" t="s">
        <v>95</v>
      </c>
      <c r="AO16" s="16" t="s">
        <v>74</v>
      </c>
      <c r="AP16" s="16" t="s">
        <v>74</v>
      </c>
      <c r="AQ16" s="16" t="s">
        <v>74</v>
      </c>
      <c r="AR16" s="16" t="s">
        <v>97</v>
      </c>
      <c r="AS16" s="16" t="s">
        <v>568</v>
      </c>
      <c r="AT16" s="16" t="s">
        <v>934</v>
      </c>
      <c r="AU16" s="16" t="s">
        <v>166</v>
      </c>
      <c r="AV16" s="16" t="s">
        <v>74</v>
      </c>
      <c r="AW16" s="16" t="s">
        <v>759</v>
      </c>
      <c r="AX16" s="16" t="s">
        <v>938</v>
      </c>
      <c r="AY16" s="17" t="s">
        <v>939</v>
      </c>
      <c r="AZ16" s="4"/>
      <c r="BA16" s="16" t="s">
        <v>944</v>
      </c>
      <c r="BB16" s="16" t="s">
        <v>233</v>
      </c>
      <c r="BC16" s="16" t="s">
        <v>233</v>
      </c>
      <c r="BD16" s="16" t="s">
        <v>233</v>
      </c>
      <c r="BE16" s="16" t="s">
        <v>383</v>
      </c>
      <c r="BF16" s="16" t="s">
        <v>233</v>
      </c>
      <c r="BG16" s="16" t="s">
        <v>341</v>
      </c>
      <c r="BH16" s="16" t="s">
        <v>341</v>
      </c>
      <c r="BI16" s="16" t="s">
        <v>83</v>
      </c>
      <c r="BJ16" s="16" t="s">
        <v>141</v>
      </c>
      <c r="BK16" s="17" t="s">
        <v>948</v>
      </c>
      <c r="BL16" s="16" t="s">
        <v>143</v>
      </c>
      <c r="BM16" s="16" t="s">
        <v>282</v>
      </c>
      <c r="BN16" s="4"/>
      <c r="BO16" s="16" t="s">
        <v>74</v>
      </c>
      <c r="BP16" s="16" t="s">
        <v>950</v>
      </c>
      <c r="BS16" s="2"/>
      <c r="BT16" s="2"/>
      <c r="BU16" s="2"/>
      <c r="BV16" s="2"/>
      <c r="BW16" s="8"/>
      <c r="BX16" s="8"/>
      <c r="BY16" s="8"/>
      <c r="BZ16" s="8"/>
      <c r="CA16" s="8"/>
      <c r="CB16" s="8"/>
      <c r="CC16" s="8"/>
      <c r="CD16" s="8"/>
      <c r="CE16" s="8"/>
      <c r="CF16" s="8"/>
      <c r="CG16" s="8"/>
      <c r="CH16" s="8"/>
      <c r="CI16" s="8"/>
      <c r="CJ16" s="8"/>
      <c r="CK16" s="8"/>
    </row>
    <row r="17" spans="1:89" ht="15.75" customHeight="1">
      <c r="A17" s="8">
        <v>55</v>
      </c>
      <c r="B17" s="1" t="s">
        <v>955</v>
      </c>
      <c r="C17" s="18" t="s">
        <v>322</v>
      </c>
      <c r="D17" s="2" t="s">
        <v>70</v>
      </c>
      <c r="E17" s="9">
        <v>43703.61533296296</v>
      </c>
      <c r="F17" s="2" t="s">
        <v>956</v>
      </c>
      <c r="G17" s="2" t="s">
        <v>957</v>
      </c>
      <c r="H17" s="2" t="s">
        <v>958</v>
      </c>
      <c r="I17" s="2" t="s">
        <v>74</v>
      </c>
      <c r="J17" s="10" t="s">
        <v>959</v>
      </c>
      <c r="K17" s="2" t="s">
        <v>964</v>
      </c>
      <c r="L17" s="2" t="s">
        <v>965</v>
      </c>
      <c r="M17" s="2" t="s">
        <v>152</v>
      </c>
      <c r="N17" s="2" t="s">
        <v>684</v>
      </c>
      <c r="O17" s="2" t="s">
        <v>967</v>
      </c>
      <c r="P17" s="2" t="s">
        <v>968</v>
      </c>
      <c r="Q17" s="2" t="s">
        <v>969</v>
      </c>
      <c r="R17" s="2">
        <v>2018</v>
      </c>
      <c r="S17" s="2" t="s">
        <v>107</v>
      </c>
      <c r="T17" s="2" t="s">
        <v>83</v>
      </c>
      <c r="U17" s="2" t="s">
        <v>970</v>
      </c>
      <c r="V17" s="2" t="s">
        <v>84</v>
      </c>
      <c r="W17" s="2" t="s">
        <v>971</v>
      </c>
      <c r="X17" s="2" t="s">
        <v>158</v>
      </c>
      <c r="Y17" s="2" t="s">
        <v>972</v>
      </c>
      <c r="Z17" s="2" t="s">
        <v>451</v>
      </c>
      <c r="AA17" s="2" t="s">
        <v>161</v>
      </c>
      <c r="AB17" s="2" t="s">
        <v>74</v>
      </c>
      <c r="AC17" s="2" t="s">
        <v>973</v>
      </c>
      <c r="AD17" s="2" t="s">
        <v>205</v>
      </c>
      <c r="AE17" s="2" t="s">
        <v>90</v>
      </c>
      <c r="AF17" s="2" t="s">
        <v>974</v>
      </c>
      <c r="AG17" s="2" t="s">
        <v>162</v>
      </c>
      <c r="AH17" s="2" t="s">
        <v>284</v>
      </c>
      <c r="AI17" s="2" t="s">
        <v>94</v>
      </c>
      <c r="AJ17" s="2" t="s">
        <v>83</v>
      </c>
      <c r="AK17" s="2" t="s">
        <v>74</v>
      </c>
      <c r="AL17" s="2" t="s">
        <v>284</v>
      </c>
      <c r="AM17" s="2" t="s">
        <v>74</v>
      </c>
      <c r="AN17" s="2" t="s">
        <v>74</v>
      </c>
      <c r="AO17" s="2" t="s">
        <v>74</v>
      </c>
      <c r="AP17" s="2" t="s">
        <v>74</v>
      </c>
      <c r="AQ17" s="2" t="s">
        <v>74</v>
      </c>
      <c r="AR17" s="2" t="s">
        <v>97</v>
      </c>
      <c r="AS17" s="2" t="s">
        <v>130</v>
      </c>
      <c r="AT17" s="2" t="s">
        <v>308</v>
      </c>
      <c r="AU17" s="2" t="s">
        <v>631</v>
      </c>
      <c r="AV17" s="2" t="s">
        <v>74</v>
      </c>
      <c r="AW17" s="2" t="s">
        <v>980</v>
      </c>
      <c r="AX17" s="2" t="s">
        <v>107</v>
      </c>
      <c r="AY17" s="2" t="s">
        <v>83</v>
      </c>
      <c r="AZ17" s="8"/>
      <c r="BA17" s="2" t="s">
        <v>107</v>
      </c>
      <c r="BB17" s="2" t="s">
        <v>312</v>
      </c>
      <c r="BC17" s="2" t="s">
        <v>288</v>
      </c>
      <c r="BD17" s="2" t="s">
        <v>981</v>
      </c>
      <c r="BE17" s="8"/>
      <c r="BF17" s="2" t="s">
        <v>212</v>
      </c>
      <c r="BG17" s="2" t="s">
        <v>139</v>
      </c>
      <c r="BH17" s="2" t="s">
        <v>171</v>
      </c>
      <c r="BI17" s="2" t="s">
        <v>83</v>
      </c>
      <c r="BJ17" s="2">
        <v>0</v>
      </c>
      <c r="BK17" s="8"/>
      <c r="BL17" s="2" t="s">
        <v>107</v>
      </c>
      <c r="BM17" s="2" t="s">
        <v>107</v>
      </c>
      <c r="BN17" s="8"/>
      <c r="BO17" s="2" t="s">
        <v>74</v>
      </c>
      <c r="BP17" s="2" t="s">
        <v>982</v>
      </c>
      <c r="BQ17" s="8"/>
      <c r="BS17" s="8"/>
      <c r="BT17" s="8"/>
      <c r="BU17" s="8"/>
      <c r="BV17" s="8"/>
      <c r="BW17" s="8"/>
      <c r="BX17" s="8"/>
      <c r="BY17" s="8"/>
      <c r="BZ17" s="8"/>
      <c r="CA17" s="8"/>
      <c r="CB17" s="8"/>
      <c r="CC17" s="8"/>
      <c r="CD17" s="8"/>
      <c r="CE17" s="8"/>
      <c r="CF17" s="8"/>
      <c r="CG17" s="8"/>
      <c r="CH17" s="8"/>
      <c r="CI17" s="8"/>
      <c r="CJ17" s="8"/>
      <c r="CK17" s="8"/>
    </row>
    <row r="18" spans="1:89" ht="15.75" customHeight="1">
      <c r="A18" s="8">
        <v>68</v>
      </c>
      <c r="B18" s="16" t="s">
        <v>986</v>
      </c>
      <c r="C18" s="4" t="s">
        <v>322</v>
      </c>
      <c r="D18" s="15"/>
      <c r="E18" s="15">
        <v>43732.586518923606</v>
      </c>
      <c r="F18" s="16" t="s">
        <v>987</v>
      </c>
      <c r="G18" s="16" t="s">
        <v>988</v>
      </c>
      <c r="H18" s="17" t="s">
        <v>989</v>
      </c>
      <c r="I18" s="16" t="s">
        <v>74</v>
      </c>
      <c r="J18" s="17" t="s">
        <v>992</v>
      </c>
      <c r="K18" s="16" t="s">
        <v>987</v>
      </c>
      <c r="L18" s="16" t="s">
        <v>996</v>
      </c>
      <c r="M18" s="16" t="s">
        <v>665</v>
      </c>
      <c r="N18" s="16" t="s">
        <v>997</v>
      </c>
      <c r="O18" s="16" t="s">
        <v>998</v>
      </c>
      <c r="P18" s="16" t="s">
        <v>1000</v>
      </c>
      <c r="Q18" s="16" t="s">
        <v>118</v>
      </c>
      <c r="R18" s="16">
        <v>2005</v>
      </c>
      <c r="S18" s="16" t="s">
        <v>82</v>
      </c>
      <c r="T18" s="16" t="s">
        <v>95</v>
      </c>
      <c r="U18" s="16" t="s">
        <v>256</v>
      </c>
      <c r="V18" s="16" t="s">
        <v>360</v>
      </c>
      <c r="W18" s="16" t="s">
        <v>85</v>
      </c>
      <c r="X18" s="16" t="s">
        <v>158</v>
      </c>
      <c r="Y18" s="16" t="s">
        <v>1001</v>
      </c>
      <c r="Z18" s="16" t="s">
        <v>190</v>
      </c>
      <c r="AA18" s="16" t="s">
        <v>85</v>
      </c>
      <c r="AB18" s="16" t="s">
        <v>1002</v>
      </c>
      <c r="AC18" s="4"/>
      <c r="AD18" s="16" t="s">
        <v>89</v>
      </c>
      <c r="AE18" s="16" t="s">
        <v>126</v>
      </c>
      <c r="AF18" s="16" t="s">
        <v>931</v>
      </c>
      <c r="AG18" s="16" t="s">
        <v>92</v>
      </c>
      <c r="AH18" s="16" t="s">
        <v>284</v>
      </c>
      <c r="AI18" s="16" t="s">
        <v>94</v>
      </c>
      <c r="AJ18" s="16" t="s">
        <v>74</v>
      </c>
      <c r="AK18" s="16" t="s">
        <v>74</v>
      </c>
      <c r="AL18" s="16" t="s">
        <v>284</v>
      </c>
      <c r="AM18" s="16" t="s">
        <v>74</v>
      </c>
      <c r="AN18" s="16" t="s">
        <v>95</v>
      </c>
      <c r="AO18" s="16" t="s">
        <v>83</v>
      </c>
      <c r="AP18" s="16" t="s">
        <v>74</v>
      </c>
      <c r="AQ18" s="16" t="s">
        <v>74</v>
      </c>
      <c r="AR18" s="16" t="s">
        <v>97</v>
      </c>
      <c r="AS18" s="16" t="s">
        <v>130</v>
      </c>
      <c r="AT18" s="16" t="s">
        <v>725</v>
      </c>
      <c r="AU18" s="16" t="s">
        <v>365</v>
      </c>
      <c r="AV18" s="16" t="s">
        <v>74</v>
      </c>
      <c r="AW18" s="16" t="s">
        <v>1007</v>
      </c>
      <c r="AX18" s="16" t="s">
        <v>1008</v>
      </c>
      <c r="AY18" s="16" t="s">
        <v>83</v>
      </c>
      <c r="AZ18" s="4"/>
      <c r="BA18" s="16" t="s">
        <v>1010</v>
      </c>
      <c r="BB18" s="16" t="s">
        <v>398</v>
      </c>
      <c r="BC18" s="16" t="s">
        <v>168</v>
      </c>
      <c r="BD18" s="16" t="s">
        <v>233</v>
      </c>
      <c r="BE18" s="4"/>
      <c r="BF18" s="16" t="s">
        <v>233</v>
      </c>
      <c r="BG18" s="16" t="s">
        <v>341</v>
      </c>
      <c r="BH18" s="16" t="s">
        <v>140</v>
      </c>
      <c r="BI18" s="16" t="s">
        <v>83</v>
      </c>
      <c r="BJ18" s="16" t="s">
        <v>233</v>
      </c>
      <c r="BK18" s="4"/>
      <c r="BL18" s="16" t="s">
        <v>233</v>
      </c>
      <c r="BM18" s="16" t="s">
        <v>233</v>
      </c>
      <c r="BN18" s="4"/>
      <c r="BO18" s="16" t="s">
        <v>74</v>
      </c>
      <c r="BP18" s="16" t="s">
        <v>1014</v>
      </c>
      <c r="BS18" s="8"/>
      <c r="BT18" s="8"/>
      <c r="BU18" s="8"/>
      <c r="BV18" s="8"/>
      <c r="BW18" s="8"/>
      <c r="BX18" s="8"/>
      <c r="BY18" s="8"/>
      <c r="BZ18" s="8"/>
      <c r="CA18" s="8"/>
      <c r="CB18" s="8"/>
      <c r="CC18" s="8"/>
      <c r="CD18" s="8"/>
      <c r="CE18" s="8"/>
      <c r="CF18" s="8"/>
      <c r="CG18" s="8"/>
      <c r="CH18" s="8"/>
      <c r="CI18" s="8"/>
      <c r="CJ18" s="8"/>
      <c r="CK18" s="8"/>
    </row>
    <row r="19" spans="1:89" ht="12" customHeight="1">
      <c r="A19" s="8">
        <v>78</v>
      </c>
      <c r="B19" s="18" t="s">
        <v>1016</v>
      </c>
      <c r="C19" s="1" t="s">
        <v>1018</v>
      </c>
      <c r="D19" s="26"/>
      <c r="E19" s="26">
        <v>43742.546854722226</v>
      </c>
      <c r="F19" s="18" t="s">
        <v>1020</v>
      </c>
      <c r="G19" s="18" t="s">
        <v>1021</v>
      </c>
      <c r="H19" s="18" t="s">
        <v>1023</v>
      </c>
      <c r="I19" s="18" t="s">
        <v>83</v>
      </c>
      <c r="J19" s="27" t="s">
        <v>603</v>
      </c>
      <c r="K19" s="18" t="s">
        <v>1020</v>
      </c>
      <c r="L19" s="18" t="s">
        <v>1029</v>
      </c>
      <c r="M19" s="18" t="s">
        <v>152</v>
      </c>
      <c r="N19" s="18" t="s">
        <v>607</v>
      </c>
      <c r="O19" s="18" t="s">
        <v>1031</v>
      </c>
      <c r="P19" s="18" t="s">
        <v>1032</v>
      </c>
      <c r="Q19" s="18" t="s">
        <v>1034</v>
      </c>
      <c r="R19" s="18">
        <v>2019</v>
      </c>
      <c r="S19" s="18" t="s">
        <v>82</v>
      </c>
      <c r="T19" s="18" t="s">
        <v>74</v>
      </c>
      <c r="U19" s="18" t="s">
        <v>1037</v>
      </c>
      <c r="V19" s="18" t="s">
        <v>84</v>
      </c>
      <c r="W19" s="18" t="s">
        <v>1038</v>
      </c>
      <c r="X19" s="18" t="s">
        <v>74</v>
      </c>
      <c r="Y19" s="18" t="s">
        <v>1042</v>
      </c>
      <c r="Z19" s="18" t="s">
        <v>190</v>
      </c>
      <c r="AA19" s="18" t="s">
        <v>161</v>
      </c>
      <c r="AB19" s="18" t="s">
        <v>74</v>
      </c>
      <c r="AC19" s="18" t="s">
        <v>1044</v>
      </c>
      <c r="AD19" s="18" t="s">
        <v>205</v>
      </c>
      <c r="AE19" s="18" t="s">
        <v>126</v>
      </c>
      <c r="AF19" s="18" t="s">
        <v>1046</v>
      </c>
      <c r="AG19" s="18" t="s">
        <v>773</v>
      </c>
      <c r="AH19" s="18" t="s">
        <v>93</v>
      </c>
      <c r="AI19" s="18" t="s">
        <v>264</v>
      </c>
      <c r="AJ19" s="18" t="s">
        <v>74</v>
      </c>
      <c r="AK19" s="18" t="s">
        <v>74</v>
      </c>
      <c r="AL19" s="18" t="s">
        <v>96</v>
      </c>
      <c r="AM19" s="18" t="s">
        <v>74</v>
      </c>
      <c r="AN19" s="18" t="s">
        <v>95</v>
      </c>
      <c r="AO19" s="18" t="s">
        <v>83</v>
      </c>
      <c r="AP19" s="18" t="s">
        <v>233</v>
      </c>
      <c r="AQ19" s="18" t="s">
        <v>74</v>
      </c>
      <c r="AR19" s="18" t="s">
        <v>97</v>
      </c>
      <c r="AS19" s="18" t="s">
        <v>1051</v>
      </c>
      <c r="AT19" s="18" t="s">
        <v>229</v>
      </c>
      <c r="AU19" s="18" t="s">
        <v>107</v>
      </c>
      <c r="AV19" s="18" t="s">
        <v>83</v>
      </c>
      <c r="AW19" s="18" t="s">
        <v>101</v>
      </c>
      <c r="AX19" s="18" t="s">
        <v>107</v>
      </c>
      <c r="AY19" s="18" t="s">
        <v>107</v>
      </c>
      <c r="AZ19" s="18"/>
      <c r="BA19" s="18" t="s">
        <v>107</v>
      </c>
      <c r="BB19" s="18" t="s">
        <v>167</v>
      </c>
      <c r="BC19" s="18" t="s">
        <v>168</v>
      </c>
      <c r="BD19" s="18" t="s">
        <v>313</v>
      </c>
      <c r="BE19" s="18" t="s">
        <v>1059</v>
      </c>
      <c r="BF19" s="18" t="s">
        <v>107</v>
      </c>
      <c r="BG19" s="18" t="s">
        <v>108</v>
      </c>
      <c r="BH19" s="18" t="s">
        <v>233</v>
      </c>
      <c r="BI19" s="18" t="s">
        <v>83</v>
      </c>
      <c r="BJ19" s="18" t="s">
        <v>141</v>
      </c>
      <c r="BK19" s="27" t="s">
        <v>1064</v>
      </c>
      <c r="BL19" s="18" t="s">
        <v>213</v>
      </c>
      <c r="BM19" s="18" t="s">
        <v>587</v>
      </c>
      <c r="BN19" s="18"/>
      <c r="BO19" s="18" t="s">
        <v>74</v>
      </c>
      <c r="BP19" s="18"/>
      <c r="BS19" s="8"/>
      <c r="BT19" s="8"/>
      <c r="BU19" s="8"/>
      <c r="BV19" s="8"/>
      <c r="BW19" s="8"/>
      <c r="BX19" s="8"/>
      <c r="BY19" s="8"/>
      <c r="BZ19" s="8"/>
      <c r="CA19" s="8"/>
      <c r="CB19" s="8"/>
      <c r="CC19" s="8"/>
      <c r="CD19" s="8"/>
      <c r="CE19" s="8"/>
      <c r="CF19" s="8"/>
      <c r="CG19" s="8"/>
      <c r="CH19" s="8"/>
      <c r="CI19" s="8"/>
      <c r="CJ19" s="8"/>
      <c r="CK19" s="8"/>
    </row>
    <row r="20" spans="1:89" ht="15.75" customHeight="1">
      <c r="A20" s="8">
        <v>80</v>
      </c>
      <c r="B20" s="1" t="s">
        <v>1071</v>
      </c>
      <c r="C20" s="1" t="s">
        <v>1073</v>
      </c>
      <c r="D20" s="2" t="s">
        <v>70</v>
      </c>
      <c r="E20" s="9">
        <v>43777.676315034725</v>
      </c>
      <c r="F20" s="2" t="s">
        <v>1075</v>
      </c>
      <c r="G20" s="2" t="s">
        <v>1076</v>
      </c>
      <c r="H20" s="2" t="s">
        <v>1077</v>
      </c>
      <c r="I20" s="2" t="s">
        <v>83</v>
      </c>
      <c r="J20" s="10" t="s">
        <v>1078</v>
      </c>
      <c r="K20" s="2" t="s">
        <v>1081</v>
      </c>
      <c r="L20" s="2" t="s">
        <v>1083</v>
      </c>
      <c r="M20" s="2" t="s">
        <v>328</v>
      </c>
      <c r="N20" s="2" t="s">
        <v>1084</v>
      </c>
      <c r="O20" s="2" t="s">
        <v>608</v>
      </c>
      <c r="P20" s="2" t="s">
        <v>1086</v>
      </c>
      <c r="Q20" s="2" t="s">
        <v>418</v>
      </c>
      <c r="R20" s="2">
        <v>2018</v>
      </c>
      <c r="S20" s="2" t="s">
        <v>82</v>
      </c>
      <c r="T20" s="2" t="s">
        <v>74</v>
      </c>
      <c r="U20" s="2" t="s">
        <v>723</v>
      </c>
      <c r="V20" s="2" t="s">
        <v>966</v>
      </c>
      <c r="W20" s="2" t="s">
        <v>85</v>
      </c>
      <c r="X20" s="2" t="s">
        <v>74</v>
      </c>
      <c r="Y20" s="2" t="s">
        <v>1090</v>
      </c>
      <c r="Z20" s="2" t="s">
        <v>1091</v>
      </c>
      <c r="AA20" s="2" t="s">
        <v>85</v>
      </c>
      <c r="AB20" s="2" t="s">
        <v>74</v>
      </c>
      <c r="AC20" s="2" t="s">
        <v>1093</v>
      </c>
      <c r="AD20" s="2" t="s">
        <v>303</v>
      </c>
      <c r="AE20" s="2" t="s">
        <v>1094</v>
      </c>
      <c r="AF20" s="2" t="s">
        <v>127</v>
      </c>
      <c r="AG20" s="2" t="s">
        <v>92</v>
      </c>
      <c r="AH20" s="2" t="s">
        <v>107</v>
      </c>
      <c r="AI20" s="2" t="s">
        <v>107</v>
      </c>
      <c r="AJ20" s="2" t="s">
        <v>83</v>
      </c>
      <c r="AK20" s="2" t="s">
        <v>83</v>
      </c>
      <c r="AL20" s="2" t="s">
        <v>284</v>
      </c>
      <c r="AM20" s="2" t="s">
        <v>83</v>
      </c>
      <c r="AN20" s="2" t="s">
        <v>83</v>
      </c>
      <c r="AO20" s="2" t="s">
        <v>83</v>
      </c>
      <c r="AP20" s="2" t="s">
        <v>83</v>
      </c>
      <c r="AQ20" s="2" t="s">
        <v>107</v>
      </c>
      <c r="AR20" s="2" t="s">
        <v>233</v>
      </c>
      <c r="AS20" s="2" t="s">
        <v>233</v>
      </c>
      <c r="AT20" s="2" t="s">
        <v>233</v>
      </c>
      <c r="AU20" s="2" t="s">
        <v>233</v>
      </c>
      <c r="AV20" s="2" t="s">
        <v>83</v>
      </c>
      <c r="AW20" s="2" t="s">
        <v>107</v>
      </c>
      <c r="AX20" s="2" t="s">
        <v>107</v>
      </c>
      <c r="AY20" s="2" t="s">
        <v>233</v>
      </c>
      <c r="AZ20" s="8"/>
      <c r="BA20" s="2" t="s">
        <v>233</v>
      </c>
      <c r="BB20" s="2" t="s">
        <v>104</v>
      </c>
      <c r="BC20" s="2" t="s">
        <v>105</v>
      </c>
      <c r="BD20" s="2" t="s">
        <v>593</v>
      </c>
      <c r="BE20" s="8"/>
      <c r="BF20" s="2" t="s">
        <v>233</v>
      </c>
      <c r="BG20" s="2" t="s">
        <v>233</v>
      </c>
      <c r="BH20" s="2" t="s">
        <v>233</v>
      </c>
      <c r="BI20" s="2" t="s">
        <v>233</v>
      </c>
      <c r="BJ20" s="2" t="s">
        <v>141</v>
      </c>
      <c r="BK20" s="8"/>
      <c r="BL20" s="2" t="s">
        <v>213</v>
      </c>
      <c r="BM20" s="2" t="s">
        <v>173</v>
      </c>
      <c r="BN20" s="8"/>
      <c r="BO20" s="2" t="s">
        <v>74</v>
      </c>
      <c r="BP20" s="8"/>
      <c r="BS20" s="28"/>
      <c r="BT20" s="28"/>
      <c r="BU20" s="28"/>
      <c r="BV20" s="28"/>
      <c r="BW20" s="28"/>
      <c r="BX20" s="28"/>
      <c r="BY20" s="28"/>
      <c r="BZ20" s="28"/>
      <c r="CA20" s="8"/>
      <c r="CB20" s="8"/>
      <c r="CC20" s="8"/>
      <c r="CD20" s="8"/>
      <c r="CE20" s="8"/>
      <c r="CF20" s="8"/>
      <c r="CG20" s="8"/>
      <c r="CH20" s="8"/>
      <c r="CI20" s="8"/>
      <c r="CJ20" s="8"/>
      <c r="CK20" s="8"/>
    </row>
    <row r="21" spans="1:89" ht="12" customHeight="1">
      <c r="A21" s="8">
        <v>83</v>
      </c>
      <c r="B21" s="4" t="s">
        <v>1103</v>
      </c>
      <c r="C21" s="4" t="s">
        <v>322</v>
      </c>
      <c r="D21" s="15"/>
      <c r="E21" s="15">
        <v>43777.854557002313</v>
      </c>
      <c r="F21" s="16" t="s">
        <v>1104</v>
      </c>
      <c r="G21" s="16" t="s">
        <v>1105</v>
      </c>
      <c r="H21" s="16" t="s">
        <v>1106</v>
      </c>
      <c r="I21" s="16" t="s">
        <v>83</v>
      </c>
      <c r="J21" s="17" t="s">
        <v>1107</v>
      </c>
      <c r="K21" s="16" t="s">
        <v>1110</v>
      </c>
      <c r="L21" s="16" t="s">
        <v>1111</v>
      </c>
      <c r="M21" s="16" t="s">
        <v>152</v>
      </c>
      <c r="N21" s="16" t="s">
        <v>685</v>
      </c>
      <c r="O21" s="16" t="s">
        <v>915</v>
      </c>
      <c r="P21" s="16" t="s">
        <v>1112</v>
      </c>
      <c r="Q21" s="16" t="s">
        <v>418</v>
      </c>
      <c r="R21" s="16">
        <v>2015</v>
      </c>
      <c r="S21" s="16">
        <v>2015</v>
      </c>
      <c r="T21" s="16" t="s">
        <v>74</v>
      </c>
      <c r="U21" s="16" t="s">
        <v>119</v>
      </c>
      <c r="V21" s="16" t="s">
        <v>885</v>
      </c>
      <c r="W21" s="16" t="s">
        <v>120</v>
      </c>
      <c r="X21" s="16" t="s">
        <v>158</v>
      </c>
      <c r="Y21" s="16" t="s">
        <v>582</v>
      </c>
      <c r="Z21" s="16" t="s">
        <v>190</v>
      </c>
      <c r="AA21" s="16" t="s">
        <v>499</v>
      </c>
      <c r="AB21" s="16" t="s">
        <v>107</v>
      </c>
      <c r="AC21" s="4"/>
      <c r="AD21" s="16" t="s">
        <v>125</v>
      </c>
      <c r="AE21" s="16" t="s">
        <v>90</v>
      </c>
      <c r="AF21" s="16" t="s">
        <v>107</v>
      </c>
      <c r="AG21" s="16" t="s">
        <v>107</v>
      </c>
      <c r="AH21" s="16" t="s">
        <v>353</v>
      </c>
      <c r="AI21" s="16" t="s">
        <v>264</v>
      </c>
      <c r="AJ21" s="16" t="s">
        <v>74</v>
      </c>
      <c r="AK21" s="16" t="s">
        <v>74</v>
      </c>
      <c r="AL21" s="16" t="s">
        <v>107</v>
      </c>
      <c r="AM21" s="16" t="s">
        <v>74</v>
      </c>
      <c r="AN21" s="16" t="s">
        <v>74</v>
      </c>
      <c r="AO21" s="16" t="s">
        <v>74</v>
      </c>
      <c r="AP21" s="16" t="s">
        <v>74</v>
      </c>
      <c r="AQ21" s="16" t="s">
        <v>74</v>
      </c>
      <c r="AR21" s="16" t="s">
        <v>358</v>
      </c>
      <c r="AS21" s="16" t="s">
        <v>130</v>
      </c>
      <c r="AT21" s="16" t="s">
        <v>725</v>
      </c>
      <c r="AU21" s="16" t="s">
        <v>631</v>
      </c>
      <c r="AV21" s="16" t="s">
        <v>107</v>
      </c>
      <c r="AW21" s="16" t="s">
        <v>107</v>
      </c>
      <c r="AX21" s="16" t="s">
        <v>107</v>
      </c>
      <c r="AY21" s="16" t="s">
        <v>107</v>
      </c>
      <c r="AZ21" s="4"/>
      <c r="BA21" s="16" t="s">
        <v>103</v>
      </c>
      <c r="BB21" s="16" t="s">
        <v>368</v>
      </c>
      <c r="BC21" s="16" t="s">
        <v>105</v>
      </c>
      <c r="BD21" s="16" t="s">
        <v>1137</v>
      </c>
      <c r="BE21" s="16" t="s">
        <v>1138</v>
      </c>
      <c r="BF21" s="16" t="s">
        <v>233</v>
      </c>
      <c r="BG21" s="16" t="s">
        <v>108</v>
      </c>
      <c r="BH21" s="16" t="s">
        <v>108</v>
      </c>
      <c r="BI21" s="16" t="s">
        <v>107</v>
      </c>
      <c r="BJ21" s="16" t="s">
        <v>141</v>
      </c>
      <c r="BK21" s="17" t="s">
        <v>1142</v>
      </c>
      <c r="BL21" s="16" t="s">
        <v>213</v>
      </c>
      <c r="BM21" s="16" t="s">
        <v>107</v>
      </c>
      <c r="BN21" s="4"/>
      <c r="BO21" s="16" t="s">
        <v>74</v>
      </c>
      <c r="BP21" s="4"/>
    </row>
    <row r="22" spans="1:89" ht="15.75" customHeight="1">
      <c r="A22" s="8">
        <v>87</v>
      </c>
      <c r="B22" s="1" t="s">
        <v>1144</v>
      </c>
      <c r="C22" s="1" t="s">
        <v>1073</v>
      </c>
      <c r="D22" s="2" t="s">
        <v>70</v>
      </c>
      <c r="E22" s="9">
        <v>43802.466417881944</v>
      </c>
      <c r="F22" s="2" t="s">
        <v>1146</v>
      </c>
      <c r="G22" s="2" t="s">
        <v>1147</v>
      </c>
      <c r="H22" s="2" t="s">
        <v>1148</v>
      </c>
      <c r="I22" s="2" t="s">
        <v>83</v>
      </c>
      <c r="J22" s="10" t="s">
        <v>1150</v>
      </c>
      <c r="K22" s="2" t="s">
        <v>1155</v>
      </c>
      <c r="L22" s="2" t="s">
        <v>1156</v>
      </c>
      <c r="M22" s="2" t="s">
        <v>1157</v>
      </c>
      <c r="N22" s="2" t="s">
        <v>701</v>
      </c>
      <c r="O22" s="2" t="s">
        <v>1158</v>
      </c>
      <c r="P22" s="2" t="s">
        <v>284</v>
      </c>
      <c r="Q22" s="2" t="s">
        <v>233</v>
      </c>
      <c r="R22" s="2">
        <v>2017</v>
      </c>
      <c r="S22" s="2" t="s">
        <v>82</v>
      </c>
      <c r="T22" s="2" t="s">
        <v>95</v>
      </c>
      <c r="U22" s="2" t="s">
        <v>256</v>
      </c>
      <c r="V22" s="2" t="s">
        <v>84</v>
      </c>
      <c r="W22" s="2" t="s">
        <v>85</v>
      </c>
      <c r="X22" s="2" t="s">
        <v>95</v>
      </c>
      <c r="Y22" s="2" t="s">
        <v>224</v>
      </c>
      <c r="Z22" s="2" t="s">
        <v>491</v>
      </c>
      <c r="AA22" s="2" t="s">
        <v>85</v>
      </c>
      <c r="AB22" s="2" t="s">
        <v>83</v>
      </c>
      <c r="AC22" s="8"/>
      <c r="AD22" s="2" t="s">
        <v>125</v>
      </c>
      <c r="AE22" s="2" t="s">
        <v>126</v>
      </c>
      <c r="AF22" s="2" t="s">
        <v>931</v>
      </c>
      <c r="AG22" s="2" t="s">
        <v>305</v>
      </c>
      <c r="AH22" s="2" t="s">
        <v>284</v>
      </c>
      <c r="AI22" s="2" t="s">
        <v>94</v>
      </c>
      <c r="AJ22" s="2" t="s">
        <v>83</v>
      </c>
      <c r="AK22" s="2" t="s">
        <v>74</v>
      </c>
      <c r="AL22" s="2" t="s">
        <v>164</v>
      </c>
      <c r="AM22" s="2" t="s">
        <v>74</v>
      </c>
      <c r="AN22" s="2" t="s">
        <v>83</v>
      </c>
      <c r="AO22" s="2" t="s">
        <v>74</v>
      </c>
      <c r="AP22" s="2" t="s">
        <v>74</v>
      </c>
      <c r="AQ22" s="2" t="s">
        <v>74</v>
      </c>
      <c r="AR22" s="2" t="s">
        <v>97</v>
      </c>
      <c r="AS22" s="2" t="s">
        <v>464</v>
      </c>
      <c r="AT22" s="2" t="s">
        <v>165</v>
      </c>
      <c r="AU22" s="2" t="s">
        <v>1162</v>
      </c>
      <c r="AV22" s="2" t="s">
        <v>74</v>
      </c>
      <c r="AW22" s="2" t="s">
        <v>977</v>
      </c>
      <c r="AX22" s="2" t="s">
        <v>1163</v>
      </c>
      <c r="AY22" s="2" t="s">
        <v>83</v>
      </c>
      <c r="AZ22" s="8"/>
      <c r="BA22" s="2" t="s">
        <v>1164</v>
      </c>
      <c r="BB22" s="2" t="s">
        <v>167</v>
      </c>
      <c r="BC22" s="2" t="s">
        <v>233</v>
      </c>
      <c r="BD22" s="2" t="s">
        <v>233</v>
      </c>
      <c r="BE22" s="2" t="s">
        <v>233</v>
      </c>
      <c r="BF22" s="2" t="s">
        <v>233</v>
      </c>
      <c r="BG22" s="2" t="s">
        <v>139</v>
      </c>
      <c r="BH22" s="2" t="s">
        <v>140</v>
      </c>
      <c r="BI22" s="2" t="s">
        <v>83</v>
      </c>
      <c r="BJ22" s="2">
        <v>0</v>
      </c>
      <c r="BK22" s="8"/>
      <c r="BL22" s="2" t="s">
        <v>233</v>
      </c>
      <c r="BM22" s="2" t="s">
        <v>233</v>
      </c>
      <c r="BN22" s="8"/>
      <c r="BO22" s="2" t="s">
        <v>74</v>
      </c>
      <c r="BP22" s="8"/>
      <c r="BQ22" s="8"/>
      <c r="BR22" s="8"/>
      <c r="BS22" s="8"/>
      <c r="BT22" s="8"/>
      <c r="BU22" s="8"/>
      <c r="BV22" s="8"/>
      <c r="BW22" s="8"/>
      <c r="BX22" s="8"/>
      <c r="BY22" s="8"/>
      <c r="BZ22" s="8"/>
      <c r="CA22" s="8"/>
      <c r="CB22" s="8"/>
      <c r="CC22" s="8"/>
      <c r="CD22" s="8"/>
      <c r="CE22" s="8"/>
      <c r="CF22" s="8"/>
      <c r="CG22" s="8"/>
      <c r="CH22" s="8"/>
      <c r="CI22" s="8"/>
      <c r="CJ22" s="8"/>
    </row>
    <row r="23" spans="1:89" ht="15.75" customHeight="1">
      <c r="A23" s="8">
        <v>89</v>
      </c>
      <c r="B23" s="4" t="s">
        <v>1169</v>
      </c>
      <c r="C23" s="4" t="s">
        <v>322</v>
      </c>
      <c r="D23" s="15"/>
      <c r="E23" s="15">
        <v>43803.522802013889</v>
      </c>
      <c r="F23" s="16" t="s">
        <v>1173</v>
      </c>
      <c r="G23" s="16" t="s">
        <v>1175</v>
      </c>
      <c r="H23" s="17" t="s">
        <v>1176</v>
      </c>
      <c r="I23" s="16" t="s">
        <v>83</v>
      </c>
      <c r="J23" s="17" t="s">
        <v>1186</v>
      </c>
      <c r="K23" s="16" t="s">
        <v>1188</v>
      </c>
      <c r="L23" s="16" t="s">
        <v>1189</v>
      </c>
      <c r="M23" s="16" t="s">
        <v>152</v>
      </c>
      <c r="N23" s="16" t="s">
        <v>278</v>
      </c>
      <c r="O23" s="16" t="s">
        <v>1193</v>
      </c>
      <c r="P23" s="16" t="s">
        <v>1194</v>
      </c>
      <c r="Q23" s="16" t="s">
        <v>118</v>
      </c>
      <c r="R23" s="16">
        <v>2009</v>
      </c>
      <c r="S23" s="16" t="s">
        <v>82</v>
      </c>
      <c r="T23" s="16" t="s">
        <v>74</v>
      </c>
      <c r="U23" s="16" t="s">
        <v>720</v>
      </c>
      <c r="V23" s="16" t="s">
        <v>84</v>
      </c>
      <c r="W23" s="16" t="s">
        <v>1195</v>
      </c>
      <c r="X23" s="16" t="s">
        <v>158</v>
      </c>
      <c r="Y23" s="16" t="s">
        <v>1200</v>
      </c>
      <c r="Z23" s="16" t="s">
        <v>190</v>
      </c>
      <c r="AA23" s="16" t="s">
        <v>85</v>
      </c>
      <c r="AB23" s="16" t="s">
        <v>83</v>
      </c>
      <c r="AC23" s="4"/>
      <c r="AD23" s="16" t="s">
        <v>89</v>
      </c>
      <c r="AE23" s="16" t="s">
        <v>1201</v>
      </c>
      <c r="AF23" s="16" t="s">
        <v>999</v>
      </c>
      <c r="AG23" s="16" t="s">
        <v>284</v>
      </c>
      <c r="AH23" s="16" t="s">
        <v>1202</v>
      </c>
      <c r="AI23" s="16" t="s">
        <v>1204</v>
      </c>
      <c r="AJ23" s="16" t="s">
        <v>95</v>
      </c>
      <c r="AK23" s="16" t="s">
        <v>74</v>
      </c>
      <c r="AL23" s="16" t="s">
        <v>284</v>
      </c>
      <c r="AM23" s="16" t="s">
        <v>74</v>
      </c>
      <c r="AN23" s="16" t="s">
        <v>95</v>
      </c>
      <c r="AO23" s="16" t="s">
        <v>107</v>
      </c>
      <c r="AP23" s="16" t="s">
        <v>83</v>
      </c>
      <c r="AQ23" s="16" t="s">
        <v>74</v>
      </c>
      <c r="AR23" s="16" t="s">
        <v>97</v>
      </c>
      <c r="AS23" s="16" t="s">
        <v>130</v>
      </c>
      <c r="AT23" s="16" t="s">
        <v>229</v>
      </c>
      <c r="AU23" s="16" t="s">
        <v>166</v>
      </c>
      <c r="AV23" s="16" t="s">
        <v>74</v>
      </c>
      <c r="AW23" s="16" t="s">
        <v>107</v>
      </c>
      <c r="AX23" s="16" t="s">
        <v>107</v>
      </c>
      <c r="AY23" s="16" t="s">
        <v>233</v>
      </c>
      <c r="AZ23" s="4"/>
      <c r="BA23" s="16" t="s">
        <v>107</v>
      </c>
      <c r="BB23" s="16" t="s">
        <v>1209</v>
      </c>
      <c r="BC23" s="16" t="s">
        <v>339</v>
      </c>
      <c r="BD23" s="16" t="s">
        <v>233</v>
      </c>
      <c r="BE23" s="4"/>
      <c r="BF23" s="16" t="s">
        <v>107</v>
      </c>
      <c r="BG23" s="16" t="s">
        <v>315</v>
      </c>
      <c r="BH23" s="16" t="s">
        <v>801</v>
      </c>
      <c r="BI23" s="16" t="s">
        <v>83</v>
      </c>
      <c r="BJ23" s="16" t="s">
        <v>107</v>
      </c>
      <c r="BK23" s="4"/>
      <c r="BL23" s="16" t="s">
        <v>107</v>
      </c>
      <c r="BM23" s="16" t="s">
        <v>233</v>
      </c>
      <c r="BN23" s="4"/>
      <c r="BO23" s="16" t="s">
        <v>74</v>
      </c>
      <c r="BP23" s="4"/>
      <c r="BR23" s="8"/>
      <c r="BS23" s="8"/>
      <c r="BT23" s="8"/>
      <c r="BU23" s="8"/>
      <c r="BV23" s="8"/>
      <c r="BW23" s="8"/>
      <c r="BX23" s="8"/>
      <c r="BY23" s="8"/>
      <c r="BZ23" s="8"/>
      <c r="CA23" s="8"/>
      <c r="CB23" s="8"/>
      <c r="CC23" s="8"/>
      <c r="CD23" s="8"/>
      <c r="CE23" s="8"/>
      <c r="CF23" s="8"/>
      <c r="CG23" s="8"/>
      <c r="CH23" s="8"/>
      <c r="CI23" s="8"/>
      <c r="CJ23" s="8"/>
    </row>
    <row r="24" spans="1:89" ht="15.75" customHeight="1">
      <c r="A24" s="8">
        <v>91</v>
      </c>
      <c r="B24" s="4" t="s">
        <v>747</v>
      </c>
      <c r="C24" s="4" t="s">
        <v>322</v>
      </c>
      <c r="D24" s="15"/>
      <c r="E24" s="15">
        <v>43843.330054166669</v>
      </c>
      <c r="F24" s="16" t="s">
        <v>751</v>
      </c>
      <c r="G24" s="16" t="s">
        <v>1223</v>
      </c>
      <c r="H24" s="16" t="s">
        <v>1226</v>
      </c>
      <c r="I24" s="16" t="s">
        <v>83</v>
      </c>
      <c r="J24" s="16" t="s">
        <v>1229</v>
      </c>
      <c r="K24" s="16" t="s">
        <v>1231</v>
      </c>
      <c r="L24" s="16" t="s">
        <v>1232</v>
      </c>
      <c r="M24" s="16" t="s">
        <v>152</v>
      </c>
      <c r="N24" s="16" t="s">
        <v>695</v>
      </c>
      <c r="O24" s="16" t="s">
        <v>1115</v>
      </c>
      <c r="P24" s="16" t="s">
        <v>1236</v>
      </c>
      <c r="Q24" s="16" t="s">
        <v>118</v>
      </c>
      <c r="R24" s="16">
        <v>2019</v>
      </c>
      <c r="S24" s="16" t="s">
        <v>82</v>
      </c>
      <c r="T24" s="16" t="s">
        <v>95</v>
      </c>
      <c r="U24" s="16" t="s">
        <v>515</v>
      </c>
      <c r="V24" s="16" t="s">
        <v>300</v>
      </c>
      <c r="W24" s="16" t="s">
        <v>85</v>
      </c>
      <c r="X24" s="16" t="s">
        <v>95</v>
      </c>
      <c r="Y24" s="16" t="s">
        <v>1241</v>
      </c>
      <c r="Z24" s="16" t="s">
        <v>190</v>
      </c>
      <c r="AA24" s="16" t="s">
        <v>85</v>
      </c>
      <c r="AB24" s="16" t="s">
        <v>74</v>
      </c>
      <c r="AC24" s="16" t="s">
        <v>1242</v>
      </c>
      <c r="AD24" s="16" t="s">
        <v>205</v>
      </c>
      <c r="AE24" s="16" t="s">
        <v>126</v>
      </c>
      <c r="AF24" s="16" t="s">
        <v>931</v>
      </c>
      <c r="AG24" s="16" t="s">
        <v>548</v>
      </c>
      <c r="AH24" s="16" t="s">
        <v>93</v>
      </c>
      <c r="AI24" s="16" t="s">
        <v>163</v>
      </c>
      <c r="AJ24" s="16" t="s">
        <v>74</v>
      </c>
      <c r="AK24" s="16" t="s">
        <v>74</v>
      </c>
      <c r="AL24" s="16" t="s">
        <v>461</v>
      </c>
      <c r="AM24" s="16" t="s">
        <v>74</v>
      </c>
      <c r="AN24" s="16" t="s">
        <v>74</v>
      </c>
      <c r="AO24" s="16" t="s">
        <v>233</v>
      </c>
      <c r="AP24" s="16" t="s">
        <v>74</v>
      </c>
      <c r="AQ24" s="16" t="s">
        <v>95</v>
      </c>
      <c r="AR24" s="16" t="s">
        <v>1248</v>
      </c>
      <c r="AS24" s="16" t="s">
        <v>1249</v>
      </c>
      <c r="AT24" s="16" t="s">
        <v>308</v>
      </c>
      <c r="AU24" s="16" t="s">
        <v>777</v>
      </c>
      <c r="AV24" s="16" t="s">
        <v>74</v>
      </c>
      <c r="AW24" s="16" t="s">
        <v>759</v>
      </c>
      <c r="AX24" s="16" t="s">
        <v>102</v>
      </c>
      <c r="AY24" s="16" t="s">
        <v>83</v>
      </c>
      <c r="AZ24" s="4"/>
      <c r="BA24" s="16" t="s">
        <v>1254</v>
      </c>
      <c r="BB24" s="16" t="s">
        <v>522</v>
      </c>
      <c r="BC24" s="16" t="s">
        <v>339</v>
      </c>
      <c r="BD24" s="16" t="s">
        <v>136</v>
      </c>
      <c r="BE24" s="4"/>
      <c r="BF24" s="16" t="s">
        <v>212</v>
      </c>
      <c r="BG24" s="16" t="s">
        <v>139</v>
      </c>
      <c r="BH24" s="16" t="s">
        <v>171</v>
      </c>
      <c r="BI24" s="16" t="s">
        <v>83</v>
      </c>
      <c r="BJ24" s="16">
        <v>0</v>
      </c>
      <c r="BK24" s="4"/>
      <c r="BL24" s="16" t="s">
        <v>233</v>
      </c>
      <c r="BM24" s="16" t="s">
        <v>233</v>
      </c>
      <c r="BN24" s="4"/>
      <c r="BO24" s="16" t="s">
        <v>74</v>
      </c>
      <c r="BP24" s="4"/>
      <c r="BR24" s="8"/>
      <c r="BS24" s="8"/>
      <c r="BT24" s="8"/>
      <c r="BU24" s="8"/>
      <c r="BV24" s="8"/>
      <c r="BW24" s="8"/>
      <c r="BX24" s="8"/>
      <c r="BY24" s="8"/>
      <c r="BZ24" s="8"/>
      <c r="CA24" s="8"/>
      <c r="CB24" s="8"/>
      <c r="CC24" s="8"/>
      <c r="CD24" s="8"/>
      <c r="CE24" s="8"/>
      <c r="CF24" s="8"/>
      <c r="CG24" s="8"/>
      <c r="CH24" s="8"/>
      <c r="CI24" s="8"/>
    </row>
    <row r="25" spans="1:89" ht="15.75" customHeight="1">
      <c r="A25" s="8">
        <v>92</v>
      </c>
      <c r="B25" s="4" t="s">
        <v>1265</v>
      </c>
      <c r="C25" s="4" t="s">
        <v>322</v>
      </c>
      <c r="D25" s="15"/>
      <c r="E25" s="15">
        <v>43850.468477002316</v>
      </c>
      <c r="F25" s="16" t="s">
        <v>1266</v>
      </c>
      <c r="G25" s="16" t="s">
        <v>1268</v>
      </c>
      <c r="H25" s="16" t="s">
        <v>1269</v>
      </c>
      <c r="I25" s="16" t="s">
        <v>74</v>
      </c>
      <c r="J25" s="17" t="s">
        <v>1270</v>
      </c>
      <c r="K25" s="16" t="s">
        <v>1266</v>
      </c>
      <c r="L25" s="16" t="s">
        <v>1275</v>
      </c>
      <c r="M25" s="16" t="s">
        <v>152</v>
      </c>
      <c r="N25" s="16" t="s">
        <v>682</v>
      </c>
      <c r="O25" s="16" t="s">
        <v>1276</v>
      </c>
      <c r="P25" s="16" t="s">
        <v>1279</v>
      </c>
      <c r="Q25" s="16" t="s">
        <v>118</v>
      </c>
      <c r="R25" s="16">
        <v>2009</v>
      </c>
      <c r="S25" s="16" t="s">
        <v>82</v>
      </c>
      <c r="T25" s="16" t="s">
        <v>95</v>
      </c>
      <c r="U25" s="16" t="s">
        <v>515</v>
      </c>
      <c r="V25" s="16" t="s">
        <v>84</v>
      </c>
      <c r="W25" s="16" t="s">
        <v>1282</v>
      </c>
      <c r="X25" s="16" t="s">
        <v>158</v>
      </c>
      <c r="Y25" s="16" t="s">
        <v>1284</v>
      </c>
      <c r="Z25" s="16" t="s">
        <v>1285</v>
      </c>
      <c r="AA25" s="16" t="s">
        <v>85</v>
      </c>
      <c r="AB25" s="16" t="s">
        <v>83</v>
      </c>
      <c r="AC25" s="4"/>
      <c r="AD25" s="16" t="s">
        <v>89</v>
      </c>
      <c r="AE25" s="16" t="s">
        <v>126</v>
      </c>
      <c r="AF25" s="16" t="s">
        <v>1289</v>
      </c>
      <c r="AG25" s="16" t="s">
        <v>92</v>
      </c>
      <c r="AH25" s="16" t="s">
        <v>1291</v>
      </c>
      <c r="AI25" s="16" t="s">
        <v>264</v>
      </c>
      <c r="AJ25" s="16" t="s">
        <v>74</v>
      </c>
      <c r="AK25" s="16" t="s">
        <v>74</v>
      </c>
      <c r="AL25" s="16" t="s">
        <v>550</v>
      </c>
      <c r="AM25" s="16" t="s">
        <v>74</v>
      </c>
      <c r="AN25" s="16" t="s">
        <v>74</v>
      </c>
      <c r="AO25" s="16" t="s">
        <v>74</v>
      </c>
      <c r="AP25" s="16" t="s">
        <v>74</v>
      </c>
      <c r="AQ25" s="16" t="s">
        <v>74</v>
      </c>
      <c r="AR25" s="16" t="s">
        <v>412</v>
      </c>
      <c r="AS25" s="16" t="s">
        <v>130</v>
      </c>
      <c r="AT25" s="16" t="s">
        <v>229</v>
      </c>
      <c r="AU25" s="16" t="s">
        <v>1296</v>
      </c>
      <c r="AV25" s="16" t="s">
        <v>74</v>
      </c>
      <c r="AW25" s="16" t="s">
        <v>107</v>
      </c>
      <c r="AX25" s="16" t="s">
        <v>107</v>
      </c>
      <c r="AY25" s="16" t="s">
        <v>1297</v>
      </c>
      <c r="AZ25" s="4"/>
      <c r="BA25" s="16" t="s">
        <v>233</v>
      </c>
      <c r="BB25" s="16" t="s">
        <v>1298</v>
      </c>
      <c r="BC25" s="16" t="s">
        <v>233</v>
      </c>
      <c r="BD25" s="16" t="s">
        <v>233</v>
      </c>
      <c r="BE25" s="4"/>
      <c r="BF25" s="16" t="s">
        <v>571</v>
      </c>
      <c r="BG25" s="16" t="s">
        <v>314</v>
      </c>
      <c r="BH25" s="16" t="s">
        <v>789</v>
      </c>
      <c r="BI25" s="16" t="s">
        <v>233</v>
      </c>
      <c r="BJ25" s="16" t="s">
        <v>107</v>
      </c>
      <c r="BK25" s="4"/>
      <c r="BL25" s="16" t="s">
        <v>925</v>
      </c>
      <c r="BM25" s="16" t="s">
        <v>282</v>
      </c>
      <c r="BN25" s="4"/>
      <c r="BO25" s="16" t="s">
        <v>74</v>
      </c>
      <c r="BP25" s="4"/>
      <c r="BR25" s="8"/>
      <c r="BS25" s="8"/>
      <c r="BT25" s="8"/>
      <c r="BU25" s="8"/>
      <c r="BV25" s="8"/>
      <c r="BW25" s="8"/>
      <c r="BX25" s="8"/>
      <c r="BY25" s="8"/>
      <c r="BZ25" s="8"/>
      <c r="CA25" s="8"/>
      <c r="CB25" s="8"/>
      <c r="CC25" s="8"/>
      <c r="CD25" s="8"/>
      <c r="CE25" s="8"/>
      <c r="CF25" s="8"/>
      <c r="CG25" s="8"/>
      <c r="CH25" s="8"/>
      <c r="CI25" s="8"/>
      <c r="CJ25" s="8"/>
      <c r="CK25" s="8"/>
    </row>
    <row r="26" spans="1:89" ht="15.75" customHeight="1">
      <c r="A26" s="8">
        <v>113</v>
      </c>
      <c r="B26" s="4" t="s">
        <v>1307</v>
      </c>
      <c r="C26" s="4" t="s">
        <v>322</v>
      </c>
      <c r="D26" s="15"/>
      <c r="E26" s="15">
        <v>43893.701796932874</v>
      </c>
      <c r="F26" s="16" t="s">
        <v>1312</v>
      </c>
      <c r="G26" s="16" t="s">
        <v>1314</v>
      </c>
      <c r="H26" s="16" t="s">
        <v>1315</v>
      </c>
      <c r="I26" s="16" t="s">
        <v>74</v>
      </c>
      <c r="J26" s="17" t="s">
        <v>1316</v>
      </c>
      <c r="K26" s="16" t="s">
        <v>1320</v>
      </c>
      <c r="L26" s="16" t="s">
        <v>1321</v>
      </c>
      <c r="M26" s="16" t="s">
        <v>152</v>
      </c>
      <c r="N26" s="16" t="s">
        <v>680</v>
      </c>
      <c r="O26" s="16" t="s">
        <v>608</v>
      </c>
      <c r="P26" s="16" t="s">
        <v>1322</v>
      </c>
      <c r="Q26" s="16" t="s">
        <v>1323</v>
      </c>
      <c r="R26" s="16">
        <v>1999</v>
      </c>
      <c r="S26" s="16" t="s">
        <v>82</v>
      </c>
      <c r="T26" s="16" t="s">
        <v>95</v>
      </c>
      <c r="U26" s="16" t="s">
        <v>119</v>
      </c>
      <c r="V26" s="16" t="s">
        <v>84</v>
      </c>
      <c r="W26" s="16" t="s">
        <v>85</v>
      </c>
      <c r="X26" s="16" t="s">
        <v>95</v>
      </c>
      <c r="Y26" s="16" t="s">
        <v>1327</v>
      </c>
      <c r="Z26" s="16" t="s">
        <v>364</v>
      </c>
      <c r="AA26" s="16" t="s">
        <v>161</v>
      </c>
      <c r="AB26" s="16" t="s">
        <v>83</v>
      </c>
      <c r="AC26" s="4"/>
      <c r="AD26" s="16" t="s">
        <v>89</v>
      </c>
      <c r="AE26" s="16" t="s">
        <v>126</v>
      </c>
      <c r="AF26" s="16" t="s">
        <v>1328</v>
      </c>
      <c r="AG26" s="16" t="s">
        <v>305</v>
      </c>
      <c r="AH26" s="16" t="s">
        <v>284</v>
      </c>
      <c r="AI26" s="16" t="s">
        <v>94</v>
      </c>
      <c r="AJ26" s="16" t="s">
        <v>74</v>
      </c>
      <c r="AK26" s="16" t="s">
        <v>74</v>
      </c>
      <c r="AL26" s="16" t="s">
        <v>461</v>
      </c>
      <c r="AM26" s="16" t="s">
        <v>74</v>
      </c>
      <c r="AN26" s="16" t="s">
        <v>74</v>
      </c>
      <c r="AO26" s="16" t="s">
        <v>74</v>
      </c>
      <c r="AP26" s="16" t="s">
        <v>74</v>
      </c>
      <c r="AQ26" s="16" t="s">
        <v>74</v>
      </c>
      <c r="AR26" s="16" t="s">
        <v>97</v>
      </c>
      <c r="AS26" s="16" t="s">
        <v>130</v>
      </c>
      <c r="AT26" s="16" t="s">
        <v>1338</v>
      </c>
      <c r="AU26" s="16" t="s">
        <v>1339</v>
      </c>
      <c r="AV26" s="16" t="s">
        <v>74</v>
      </c>
      <c r="AW26" s="16" t="s">
        <v>779</v>
      </c>
      <c r="AX26" s="16" t="s">
        <v>102</v>
      </c>
      <c r="AY26" s="16" t="s">
        <v>1343</v>
      </c>
      <c r="AZ26" s="4"/>
      <c r="BA26" s="16" t="s">
        <v>103</v>
      </c>
      <c r="BB26" s="16" t="s">
        <v>1344</v>
      </c>
      <c r="BC26" s="16" t="s">
        <v>288</v>
      </c>
      <c r="BD26" s="16" t="s">
        <v>593</v>
      </c>
      <c r="BE26" s="16" t="s">
        <v>1346</v>
      </c>
      <c r="BF26" s="16" t="s">
        <v>233</v>
      </c>
      <c r="BG26" s="16" t="s">
        <v>341</v>
      </c>
      <c r="BH26" s="16" t="s">
        <v>108</v>
      </c>
      <c r="BI26" s="16" t="s">
        <v>83</v>
      </c>
      <c r="BJ26" s="16" t="s">
        <v>107</v>
      </c>
      <c r="BK26" s="4"/>
      <c r="BL26" s="16" t="s">
        <v>925</v>
      </c>
      <c r="BM26" s="16" t="s">
        <v>238</v>
      </c>
      <c r="BN26" s="4"/>
      <c r="BO26" s="16" t="s">
        <v>74</v>
      </c>
      <c r="BP26" s="16" t="s">
        <v>1347</v>
      </c>
      <c r="BR26" s="8"/>
      <c r="BS26" s="8"/>
      <c r="BT26" s="8"/>
      <c r="BU26" s="8"/>
      <c r="BV26" s="8"/>
      <c r="BW26" s="8"/>
      <c r="BX26" s="8"/>
      <c r="BY26" s="8"/>
      <c r="BZ26" s="8"/>
      <c r="CA26" s="8"/>
      <c r="CB26" s="8"/>
      <c r="CC26" s="8"/>
      <c r="CD26" s="8"/>
      <c r="CE26" s="8"/>
      <c r="CF26" s="8"/>
      <c r="CG26" s="8"/>
      <c r="CH26" s="8"/>
      <c r="CI26" s="8"/>
    </row>
    <row r="27" spans="1:89" ht="15.75" customHeight="1">
      <c r="A27" s="2">
        <v>129</v>
      </c>
      <c r="B27" s="4" t="s">
        <v>1349</v>
      </c>
      <c r="C27" s="8" t="s">
        <v>1073</v>
      </c>
      <c r="D27" s="8"/>
      <c r="E27" s="8"/>
      <c r="F27" s="8"/>
      <c r="G27" s="8"/>
      <c r="H27" s="2" t="s">
        <v>1350</v>
      </c>
      <c r="I27" s="8"/>
      <c r="J27" s="10" t="s">
        <v>1351</v>
      </c>
      <c r="K27" s="8"/>
      <c r="L27" s="8"/>
      <c r="M27" s="8"/>
      <c r="N27" s="2" t="s">
        <v>1354</v>
      </c>
      <c r="O27" s="2" t="s">
        <v>608</v>
      </c>
      <c r="P27" s="8"/>
      <c r="Q27" s="8"/>
      <c r="R27" s="2">
        <v>2019</v>
      </c>
      <c r="S27" s="2" t="s">
        <v>82</v>
      </c>
      <c r="T27" s="8"/>
      <c r="U27" s="8"/>
      <c r="V27" s="2" t="s">
        <v>84</v>
      </c>
      <c r="W27" s="2" t="s">
        <v>729</v>
      </c>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t="s">
        <v>1364</v>
      </c>
      <c r="BR27" s="8"/>
      <c r="BS27" s="8"/>
      <c r="BT27" s="8"/>
      <c r="BU27" s="8"/>
      <c r="BV27" s="8"/>
      <c r="BW27" s="8"/>
      <c r="BX27" s="8"/>
      <c r="BY27" s="8"/>
      <c r="BZ27" s="8"/>
      <c r="CA27" s="8"/>
      <c r="CB27" s="8"/>
      <c r="CC27" s="8"/>
      <c r="CD27" s="8"/>
      <c r="CE27" s="8"/>
      <c r="CF27" s="8"/>
      <c r="CG27" s="8"/>
      <c r="CH27" s="8"/>
      <c r="CI27" s="8"/>
      <c r="CJ27" s="8"/>
      <c r="CK27" s="8"/>
    </row>
    <row r="28" spans="1:89" ht="12" customHeight="1">
      <c r="A28" s="8"/>
    </row>
    <row r="29" spans="1:89" ht="12" customHeight="1">
      <c r="A29" s="8"/>
    </row>
    <row r="30" spans="1:89" ht="12" customHeight="1">
      <c r="A30" s="8"/>
    </row>
    <row r="31" spans="1:89" ht="12" customHeight="1">
      <c r="A31" s="8"/>
    </row>
    <row r="32" spans="1:89" ht="12" customHeight="1">
      <c r="A32" s="8"/>
    </row>
    <row r="33" spans="1:1" ht="12" customHeight="1">
      <c r="A33" s="8"/>
    </row>
    <row r="34" spans="1:1" ht="12" customHeight="1">
      <c r="A34" s="8"/>
    </row>
    <row r="35" spans="1:1" ht="12" customHeight="1">
      <c r="A35" s="8"/>
    </row>
    <row r="36" spans="1:1" ht="12" customHeight="1">
      <c r="A36" s="8"/>
    </row>
    <row r="37" spans="1:1" ht="12" customHeight="1">
      <c r="A37" s="8"/>
    </row>
    <row r="38" spans="1:1" ht="12" customHeight="1">
      <c r="A38" s="8"/>
    </row>
    <row r="39" spans="1:1" ht="12" customHeight="1">
      <c r="A39" s="8"/>
    </row>
    <row r="40" spans="1:1" ht="12" customHeight="1">
      <c r="A40" s="8"/>
    </row>
    <row r="41" spans="1:1" ht="12" customHeight="1">
      <c r="A41" s="8"/>
    </row>
    <row r="42" spans="1:1" ht="12" customHeight="1">
      <c r="A42" s="8"/>
    </row>
    <row r="43" spans="1:1" ht="12" customHeight="1">
      <c r="A43" s="8"/>
    </row>
    <row r="44" spans="1:1" ht="12" customHeight="1">
      <c r="A44" s="8"/>
    </row>
    <row r="45" spans="1:1" ht="12" customHeight="1">
      <c r="A45" s="8"/>
    </row>
    <row r="46" spans="1:1" ht="12" customHeight="1">
      <c r="A46" s="8"/>
    </row>
    <row r="47" spans="1:1" ht="12" customHeight="1">
      <c r="A47" s="8"/>
    </row>
    <row r="48" spans="1:1" ht="12" customHeight="1">
      <c r="A48" s="8"/>
    </row>
    <row r="49" spans="1:1" ht="12" customHeight="1">
      <c r="A49" s="8"/>
    </row>
    <row r="50" spans="1:1" ht="12" customHeight="1">
      <c r="A50" s="8"/>
    </row>
    <row r="51" spans="1:1" ht="12" customHeight="1">
      <c r="A51" s="8"/>
    </row>
    <row r="52" spans="1:1" ht="12" customHeight="1">
      <c r="A52" s="8"/>
    </row>
    <row r="53" spans="1:1" ht="12" customHeight="1">
      <c r="A53" s="8"/>
    </row>
    <row r="54" spans="1:1" ht="12" customHeight="1">
      <c r="A54" s="8"/>
    </row>
    <row r="55" spans="1:1" ht="12" customHeight="1">
      <c r="A55" s="8"/>
    </row>
    <row r="56" spans="1:1" ht="12" customHeight="1">
      <c r="A56" s="8"/>
    </row>
    <row r="57" spans="1:1" ht="12" customHeight="1">
      <c r="A57" s="8"/>
    </row>
    <row r="58" spans="1:1" ht="12" customHeight="1">
      <c r="A58" s="8"/>
    </row>
    <row r="59" spans="1:1" ht="12" customHeight="1">
      <c r="A59" s="8"/>
    </row>
    <row r="60" spans="1:1" ht="12" customHeight="1">
      <c r="A60" s="8"/>
    </row>
    <row r="61" spans="1:1" ht="12" customHeight="1">
      <c r="A61" s="8"/>
    </row>
    <row r="62" spans="1:1" ht="12" customHeight="1">
      <c r="A62" s="8"/>
    </row>
    <row r="63" spans="1:1" ht="12" customHeight="1">
      <c r="A63" s="8"/>
    </row>
    <row r="64" spans="1:1" ht="12" customHeight="1">
      <c r="A64" s="8"/>
    </row>
    <row r="65" spans="1:1" ht="12" customHeight="1">
      <c r="A65" s="8"/>
    </row>
    <row r="66" spans="1:1" ht="12" customHeight="1">
      <c r="A66" s="8"/>
    </row>
    <row r="67" spans="1:1" ht="12" customHeight="1">
      <c r="A67" s="8"/>
    </row>
    <row r="68" spans="1:1" ht="12" customHeight="1">
      <c r="A68" s="8"/>
    </row>
    <row r="69" spans="1:1" ht="12" customHeight="1">
      <c r="A69" s="8"/>
    </row>
    <row r="70" spans="1:1" ht="12" customHeight="1">
      <c r="A70" s="8"/>
    </row>
    <row r="71" spans="1:1" ht="12" customHeight="1">
      <c r="A71" s="8"/>
    </row>
    <row r="72" spans="1:1" ht="12" customHeight="1">
      <c r="A72" s="8"/>
    </row>
    <row r="73" spans="1:1" ht="12" customHeight="1">
      <c r="A73" s="8"/>
    </row>
    <row r="74" spans="1:1" ht="12" customHeight="1">
      <c r="A74" s="8"/>
    </row>
    <row r="75" spans="1:1" ht="12" customHeight="1">
      <c r="A75" s="8"/>
    </row>
    <row r="76" spans="1:1" ht="12" customHeight="1">
      <c r="A76" s="8"/>
    </row>
    <row r="77" spans="1:1" ht="12" customHeight="1">
      <c r="A77" s="8"/>
    </row>
    <row r="78" spans="1:1" ht="12" customHeight="1">
      <c r="A78" s="8"/>
    </row>
    <row r="79" spans="1:1" ht="12" customHeight="1">
      <c r="A79" s="8"/>
    </row>
    <row r="80" spans="1:1" ht="12" customHeight="1">
      <c r="A80" s="8"/>
    </row>
    <row r="81" spans="1:1" ht="12" customHeight="1">
      <c r="A81" s="8"/>
    </row>
    <row r="82" spans="1:1" ht="12" customHeight="1">
      <c r="A82" s="8"/>
    </row>
    <row r="83" spans="1:1" ht="12" customHeight="1">
      <c r="A83" s="8"/>
    </row>
    <row r="84" spans="1:1" ht="12" customHeight="1">
      <c r="A84" s="8"/>
    </row>
    <row r="85" spans="1:1" ht="12" customHeight="1">
      <c r="A85" s="8"/>
    </row>
    <row r="86" spans="1:1" ht="12" customHeight="1">
      <c r="A86" s="8"/>
    </row>
    <row r="87" spans="1:1" ht="12" customHeight="1">
      <c r="A87" s="8"/>
    </row>
    <row r="88" spans="1:1" ht="12" customHeight="1">
      <c r="A88" s="8"/>
    </row>
    <row r="89" spans="1:1" ht="12" customHeight="1">
      <c r="A89" s="8"/>
    </row>
    <row r="90" spans="1:1" ht="12" customHeight="1">
      <c r="A90" s="8"/>
    </row>
    <row r="91" spans="1:1" ht="12" customHeight="1">
      <c r="A91" s="8"/>
    </row>
    <row r="92" spans="1:1" ht="12" customHeight="1">
      <c r="A92" s="8"/>
    </row>
    <row r="93" spans="1:1" ht="12" customHeight="1">
      <c r="A93" s="8"/>
    </row>
    <row r="94" spans="1:1" ht="12" customHeight="1">
      <c r="A94" s="8"/>
    </row>
    <row r="95" spans="1:1" ht="12" customHeight="1">
      <c r="A95" s="8"/>
    </row>
    <row r="96" spans="1:1" ht="12" customHeight="1">
      <c r="A96" s="8"/>
    </row>
    <row r="97" spans="1:1" ht="12" customHeight="1">
      <c r="A97" s="8"/>
    </row>
    <row r="98" spans="1:1" ht="12" customHeight="1">
      <c r="A98" s="8"/>
    </row>
    <row r="99" spans="1:1" ht="12" customHeight="1">
      <c r="A99" s="8"/>
    </row>
    <row r="100" spans="1:1" ht="12" customHeight="1">
      <c r="A100" s="8"/>
    </row>
    <row r="101" spans="1:1" ht="12" customHeight="1">
      <c r="A101" s="8"/>
    </row>
    <row r="102" spans="1:1" ht="12" customHeight="1">
      <c r="A102" s="8"/>
    </row>
    <row r="103" spans="1:1" ht="12" customHeight="1">
      <c r="A103" s="8"/>
    </row>
    <row r="104" spans="1:1" ht="12" customHeight="1">
      <c r="A104" s="8"/>
    </row>
    <row r="105" spans="1:1" ht="12" customHeight="1">
      <c r="A105" s="8"/>
    </row>
    <row r="106" spans="1:1" ht="12" customHeight="1">
      <c r="A106" s="8"/>
    </row>
    <row r="107" spans="1:1" ht="12" customHeight="1">
      <c r="A107" s="8"/>
    </row>
    <row r="108" spans="1:1" ht="12" customHeight="1">
      <c r="A108" s="8"/>
    </row>
    <row r="109" spans="1:1" ht="12" customHeight="1">
      <c r="A109" s="8"/>
    </row>
    <row r="110" spans="1:1" ht="12" customHeight="1">
      <c r="A110" s="8"/>
    </row>
    <row r="111" spans="1:1" ht="12" customHeight="1">
      <c r="A111" s="8"/>
    </row>
    <row r="112" spans="1:1" ht="12" customHeight="1">
      <c r="A112" s="8"/>
    </row>
    <row r="113" spans="1:1" ht="12" customHeight="1">
      <c r="A113" s="8"/>
    </row>
    <row r="114" spans="1:1" ht="12" customHeight="1">
      <c r="A114" s="8"/>
    </row>
    <row r="115" spans="1:1" ht="12" customHeight="1">
      <c r="A115" s="8"/>
    </row>
    <row r="116" spans="1:1" ht="12" customHeight="1">
      <c r="A116" s="8"/>
    </row>
    <row r="117" spans="1:1" ht="12" customHeight="1">
      <c r="A117" s="8"/>
    </row>
    <row r="118" spans="1:1" ht="12" customHeight="1">
      <c r="A118" s="8"/>
    </row>
    <row r="119" spans="1:1" ht="12" customHeight="1">
      <c r="A119" s="8"/>
    </row>
    <row r="120" spans="1:1" ht="12" customHeight="1">
      <c r="A120" s="8"/>
    </row>
    <row r="121" spans="1:1" ht="12" customHeight="1">
      <c r="A121" s="8"/>
    </row>
    <row r="122" spans="1:1" ht="12" customHeight="1">
      <c r="A122" s="8"/>
    </row>
    <row r="123" spans="1:1" ht="12" customHeight="1">
      <c r="A123" s="8"/>
    </row>
    <row r="124" spans="1:1" ht="12" customHeight="1">
      <c r="A124" s="8"/>
    </row>
    <row r="125" spans="1:1" ht="12" customHeight="1">
      <c r="A125" s="8"/>
    </row>
    <row r="126" spans="1:1" ht="12" customHeight="1">
      <c r="A126" s="8"/>
    </row>
    <row r="127" spans="1:1" ht="12" customHeight="1">
      <c r="A127" s="8"/>
    </row>
    <row r="128" spans="1:1" ht="12" customHeight="1">
      <c r="A128" s="8"/>
    </row>
    <row r="129" spans="1:1" ht="12" customHeight="1">
      <c r="A129" s="8"/>
    </row>
    <row r="130" spans="1:1" ht="12" customHeight="1">
      <c r="A130" s="8"/>
    </row>
    <row r="131" spans="1:1" ht="12" customHeight="1">
      <c r="A131" s="8"/>
    </row>
    <row r="132" spans="1:1" ht="12" customHeight="1">
      <c r="A132" s="8"/>
    </row>
    <row r="133" spans="1:1" ht="12" customHeight="1">
      <c r="A133" s="8"/>
    </row>
    <row r="134" spans="1:1" ht="12" customHeight="1">
      <c r="A134" s="8"/>
    </row>
    <row r="135" spans="1:1" ht="12" customHeight="1">
      <c r="A135" s="8"/>
    </row>
    <row r="136" spans="1:1" ht="12" customHeight="1">
      <c r="A136" s="8"/>
    </row>
    <row r="137" spans="1:1" ht="12" customHeight="1">
      <c r="A137" s="8"/>
    </row>
    <row r="138" spans="1:1" ht="12" customHeight="1">
      <c r="A138" s="8"/>
    </row>
    <row r="139" spans="1:1" ht="12" customHeight="1">
      <c r="A139" s="8"/>
    </row>
    <row r="140" spans="1:1" ht="12" customHeight="1">
      <c r="A140" s="8"/>
    </row>
    <row r="141" spans="1:1" ht="12" customHeight="1">
      <c r="A141" s="8"/>
    </row>
    <row r="142" spans="1:1" ht="12" customHeight="1">
      <c r="A142" s="8"/>
    </row>
    <row r="143" spans="1:1" ht="12" customHeight="1">
      <c r="A143" s="8"/>
    </row>
    <row r="144" spans="1:1" ht="12" customHeight="1">
      <c r="A144" s="8"/>
    </row>
    <row r="145" spans="1:1" ht="12" customHeight="1">
      <c r="A145" s="8"/>
    </row>
    <row r="146" spans="1:1" ht="12" customHeight="1">
      <c r="A146" s="8"/>
    </row>
    <row r="147" spans="1:1" ht="12" customHeight="1">
      <c r="A147" s="8"/>
    </row>
    <row r="148" spans="1:1" ht="12" customHeight="1">
      <c r="A148" s="8"/>
    </row>
    <row r="149" spans="1:1" ht="12" customHeight="1">
      <c r="A149" s="8"/>
    </row>
    <row r="150" spans="1:1" ht="12" customHeight="1">
      <c r="A150" s="8"/>
    </row>
    <row r="151" spans="1:1" ht="12" customHeight="1">
      <c r="A151" s="8"/>
    </row>
    <row r="152" spans="1:1" ht="12" customHeight="1">
      <c r="A152" s="8"/>
    </row>
    <row r="153" spans="1:1" ht="12" customHeight="1">
      <c r="A153" s="8"/>
    </row>
    <row r="154" spans="1:1" ht="12" customHeight="1">
      <c r="A154" s="8"/>
    </row>
    <row r="155" spans="1:1" ht="12" customHeight="1">
      <c r="A155" s="8"/>
    </row>
    <row r="156" spans="1:1" ht="12" customHeight="1">
      <c r="A156" s="8"/>
    </row>
    <row r="157" spans="1:1" ht="12" customHeight="1">
      <c r="A157" s="8"/>
    </row>
    <row r="158" spans="1:1" ht="12" customHeight="1">
      <c r="A158" s="8"/>
    </row>
    <row r="159" spans="1:1" ht="12" customHeight="1">
      <c r="A159" s="8"/>
    </row>
    <row r="160" spans="1:1" ht="12" customHeight="1">
      <c r="A160" s="8"/>
    </row>
    <row r="161" spans="1:1" ht="12" customHeight="1">
      <c r="A161" s="8"/>
    </row>
    <row r="162" spans="1:1" ht="12" customHeight="1">
      <c r="A162" s="8"/>
    </row>
    <row r="163" spans="1:1" ht="12" customHeight="1">
      <c r="A163" s="8"/>
    </row>
    <row r="164" spans="1:1" ht="12" customHeight="1">
      <c r="A164" s="8"/>
    </row>
    <row r="165" spans="1:1" ht="12" customHeight="1">
      <c r="A165" s="8"/>
    </row>
    <row r="166" spans="1:1" ht="12" customHeight="1">
      <c r="A166" s="8"/>
    </row>
    <row r="167" spans="1:1" ht="12" customHeight="1">
      <c r="A167" s="8"/>
    </row>
    <row r="168" spans="1:1" ht="12" customHeight="1">
      <c r="A168" s="8"/>
    </row>
    <row r="169" spans="1:1" ht="12" customHeight="1">
      <c r="A169" s="8"/>
    </row>
    <row r="170" spans="1:1" ht="12" customHeight="1">
      <c r="A170" s="8"/>
    </row>
    <row r="171" spans="1:1" ht="12" customHeight="1">
      <c r="A171" s="8"/>
    </row>
    <row r="172" spans="1:1" ht="12" customHeight="1">
      <c r="A172" s="8"/>
    </row>
    <row r="173" spans="1:1" ht="12" customHeight="1">
      <c r="A173" s="8"/>
    </row>
    <row r="174" spans="1:1" ht="12" customHeight="1">
      <c r="A174" s="8"/>
    </row>
    <row r="175" spans="1:1" ht="12" customHeight="1">
      <c r="A175" s="8"/>
    </row>
    <row r="176" spans="1:1" ht="12" customHeight="1">
      <c r="A176" s="8"/>
    </row>
    <row r="177" spans="1:1" ht="12" customHeight="1">
      <c r="A177" s="8"/>
    </row>
    <row r="178" spans="1:1" ht="12" customHeight="1">
      <c r="A178" s="8"/>
    </row>
    <row r="179" spans="1:1" ht="12" customHeight="1">
      <c r="A179" s="8"/>
    </row>
    <row r="180" spans="1:1" ht="12" customHeight="1">
      <c r="A180" s="8"/>
    </row>
    <row r="181" spans="1:1" ht="12" customHeight="1">
      <c r="A181" s="8"/>
    </row>
    <row r="182" spans="1:1" ht="12" customHeight="1">
      <c r="A182" s="8"/>
    </row>
    <row r="183" spans="1:1" ht="12" customHeight="1">
      <c r="A183" s="8"/>
    </row>
    <row r="184" spans="1:1" ht="12" customHeight="1">
      <c r="A184" s="8"/>
    </row>
    <row r="185" spans="1:1" ht="12" customHeight="1">
      <c r="A185" s="8"/>
    </row>
    <row r="186" spans="1:1" ht="12" customHeight="1">
      <c r="A186" s="8"/>
    </row>
    <row r="187" spans="1:1" ht="12" customHeight="1">
      <c r="A187" s="8"/>
    </row>
    <row r="188" spans="1:1" ht="12" customHeight="1">
      <c r="A188" s="8"/>
    </row>
    <row r="189" spans="1:1" ht="12" customHeight="1">
      <c r="A189" s="8"/>
    </row>
    <row r="190" spans="1:1" ht="12" customHeight="1">
      <c r="A190" s="8"/>
    </row>
    <row r="191" spans="1:1" ht="12" customHeight="1">
      <c r="A191" s="8"/>
    </row>
    <row r="192" spans="1:1" ht="12" customHeight="1">
      <c r="A192" s="8"/>
    </row>
    <row r="193" spans="1:1" ht="12" customHeight="1">
      <c r="A193" s="8"/>
    </row>
    <row r="194" spans="1:1" ht="12" customHeight="1">
      <c r="A194" s="8"/>
    </row>
    <row r="195" spans="1:1" ht="12" customHeight="1">
      <c r="A195" s="8"/>
    </row>
    <row r="196" spans="1:1" ht="12" customHeight="1">
      <c r="A196" s="8"/>
    </row>
    <row r="197" spans="1:1" ht="12" customHeight="1">
      <c r="A197" s="8"/>
    </row>
    <row r="198" spans="1:1" ht="12" customHeight="1">
      <c r="A198" s="8"/>
    </row>
    <row r="199" spans="1:1" ht="12" customHeight="1">
      <c r="A199" s="8"/>
    </row>
    <row r="200" spans="1:1" ht="12" customHeight="1">
      <c r="A200" s="8"/>
    </row>
    <row r="201" spans="1:1" ht="12" customHeight="1">
      <c r="A201" s="8"/>
    </row>
    <row r="202" spans="1:1" ht="12" customHeight="1">
      <c r="A202" s="8"/>
    </row>
    <row r="203" spans="1:1" ht="12" customHeight="1">
      <c r="A203" s="8"/>
    </row>
    <row r="204" spans="1:1" ht="12" customHeight="1">
      <c r="A204" s="8"/>
    </row>
    <row r="205" spans="1:1" ht="12" customHeight="1">
      <c r="A205" s="8"/>
    </row>
    <row r="206" spans="1:1" ht="12" customHeight="1">
      <c r="A206" s="8"/>
    </row>
    <row r="207" spans="1:1" ht="12" customHeight="1">
      <c r="A207" s="8"/>
    </row>
    <row r="208" spans="1:1" ht="12" customHeight="1">
      <c r="A208" s="8"/>
    </row>
    <row r="209" spans="1:1" ht="12" customHeight="1">
      <c r="A209" s="8"/>
    </row>
    <row r="210" spans="1:1" ht="12" customHeight="1">
      <c r="A210" s="8"/>
    </row>
    <row r="211" spans="1:1" ht="12" customHeight="1">
      <c r="A211" s="8"/>
    </row>
    <row r="212" spans="1:1" ht="12" customHeight="1">
      <c r="A212" s="8"/>
    </row>
    <row r="213" spans="1:1" ht="12" customHeight="1">
      <c r="A213" s="8"/>
    </row>
    <row r="214" spans="1:1" ht="12" customHeight="1">
      <c r="A214" s="8"/>
    </row>
    <row r="215" spans="1:1" ht="12" customHeight="1">
      <c r="A215" s="8"/>
    </row>
    <row r="216" spans="1:1" ht="12" customHeight="1">
      <c r="A216" s="8"/>
    </row>
    <row r="217" spans="1:1" ht="12" customHeight="1">
      <c r="A217" s="8"/>
    </row>
    <row r="218" spans="1:1" ht="12" customHeight="1">
      <c r="A218" s="8"/>
    </row>
    <row r="219" spans="1:1" ht="12" customHeight="1">
      <c r="A219" s="8"/>
    </row>
    <row r="220" spans="1:1" ht="12" customHeight="1">
      <c r="A220" s="8"/>
    </row>
    <row r="221" spans="1:1" ht="12" customHeight="1">
      <c r="A221" s="8"/>
    </row>
    <row r="222" spans="1:1" ht="12" customHeight="1">
      <c r="A222" s="8"/>
    </row>
    <row r="223" spans="1:1" ht="12" customHeight="1">
      <c r="A223" s="8"/>
    </row>
    <row r="224" spans="1:1" ht="12" customHeight="1">
      <c r="A224" s="8"/>
    </row>
    <row r="225" spans="1:1" ht="12" customHeight="1">
      <c r="A225" s="8"/>
    </row>
    <row r="226" spans="1:1" ht="12" customHeight="1">
      <c r="A226" s="8"/>
    </row>
    <row r="227" spans="1:1" ht="12" customHeight="1">
      <c r="A227" s="8"/>
    </row>
    <row r="228" spans="1:1" ht="12" customHeight="1">
      <c r="A228" s="8"/>
    </row>
    <row r="229" spans="1:1" ht="12" customHeight="1">
      <c r="A229" s="8"/>
    </row>
    <row r="230" spans="1:1" ht="12" customHeight="1">
      <c r="A230" s="8"/>
    </row>
    <row r="231" spans="1:1" ht="12" customHeight="1">
      <c r="A231" s="8"/>
    </row>
    <row r="232" spans="1:1" ht="12" customHeight="1">
      <c r="A232" s="8"/>
    </row>
    <row r="233" spans="1:1" ht="12" customHeight="1">
      <c r="A233" s="8"/>
    </row>
    <row r="234" spans="1:1" ht="12" customHeight="1">
      <c r="A234" s="8"/>
    </row>
    <row r="235" spans="1:1" ht="12" customHeight="1">
      <c r="A235" s="8"/>
    </row>
    <row r="236" spans="1:1" ht="12" customHeight="1">
      <c r="A236" s="8"/>
    </row>
    <row r="237" spans="1:1" ht="12" customHeight="1">
      <c r="A237" s="8"/>
    </row>
    <row r="238" spans="1:1" ht="12" customHeight="1">
      <c r="A238" s="8"/>
    </row>
    <row r="239" spans="1:1" ht="12" customHeight="1">
      <c r="A239" s="8"/>
    </row>
    <row r="240" spans="1:1" ht="12" customHeight="1">
      <c r="A240" s="8"/>
    </row>
    <row r="241" spans="1:1" ht="12" customHeight="1">
      <c r="A241" s="8"/>
    </row>
    <row r="242" spans="1:1" ht="12" customHeight="1">
      <c r="A242" s="8"/>
    </row>
    <row r="243" spans="1:1" ht="12" customHeight="1">
      <c r="A243" s="8"/>
    </row>
    <row r="244" spans="1:1" ht="12" customHeight="1">
      <c r="A244" s="8"/>
    </row>
    <row r="245" spans="1:1" ht="12" customHeight="1">
      <c r="A245" s="8"/>
    </row>
    <row r="246" spans="1:1" ht="12" customHeight="1">
      <c r="A246" s="8"/>
    </row>
    <row r="247" spans="1:1" ht="12" customHeight="1">
      <c r="A247" s="8"/>
    </row>
    <row r="248" spans="1:1" ht="12" customHeight="1">
      <c r="A248" s="8"/>
    </row>
    <row r="249" spans="1:1" ht="12" customHeight="1">
      <c r="A249" s="8"/>
    </row>
    <row r="250" spans="1:1" ht="12" customHeight="1">
      <c r="A250" s="8"/>
    </row>
    <row r="251" spans="1:1" ht="12" customHeight="1">
      <c r="A251" s="8"/>
    </row>
    <row r="252" spans="1:1" ht="12" customHeight="1">
      <c r="A252" s="8"/>
    </row>
    <row r="253" spans="1:1" ht="12" customHeight="1">
      <c r="A253" s="8"/>
    </row>
    <row r="254" spans="1:1" ht="12" customHeight="1">
      <c r="A254" s="8"/>
    </row>
    <row r="255" spans="1:1" ht="12" customHeight="1">
      <c r="A255" s="8"/>
    </row>
    <row r="256" spans="1:1" ht="12" customHeight="1">
      <c r="A256" s="8"/>
    </row>
    <row r="257" spans="1:1" ht="12" customHeight="1">
      <c r="A257" s="8"/>
    </row>
    <row r="258" spans="1:1" ht="12" customHeight="1">
      <c r="A258" s="8"/>
    </row>
    <row r="259" spans="1:1" ht="12" customHeight="1">
      <c r="A259" s="8"/>
    </row>
    <row r="260" spans="1:1" ht="12" customHeight="1">
      <c r="A260" s="8"/>
    </row>
    <row r="261" spans="1:1" ht="12" customHeight="1">
      <c r="A261" s="8"/>
    </row>
    <row r="262" spans="1:1" ht="12" customHeight="1">
      <c r="A262" s="8"/>
    </row>
    <row r="263" spans="1:1" ht="12" customHeight="1">
      <c r="A263" s="8"/>
    </row>
    <row r="264" spans="1:1" ht="12" customHeight="1">
      <c r="A264" s="8"/>
    </row>
    <row r="265" spans="1:1" ht="12" customHeight="1">
      <c r="A265" s="8"/>
    </row>
    <row r="266" spans="1:1" ht="12" customHeight="1">
      <c r="A266" s="8"/>
    </row>
    <row r="267" spans="1:1" ht="12" customHeight="1">
      <c r="A267" s="8"/>
    </row>
    <row r="268" spans="1:1" ht="12" customHeight="1">
      <c r="A268" s="8"/>
    </row>
    <row r="269" spans="1:1" ht="12" customHeight="1">
      <c r="A269" s="8"/>
    </row>
    <row r="270" spans="1:1" ht="12" customHeight="1">
      <c r="A270" s="8"/>
    </row>
    <row r="271" spans="1:1" ht="12" customHeight="1">
      <c r="A271" s="8"/>
    </row>
    <row r="272" spans="1:1" ht="12" customHeight="1">
      <c r="A272" s="8"/>
    </row>
    <row r="273" spans="1:1" ht="12" customHeight="1">
      <c r="A273" s="8"/>
    </row>
    <row r="274" spans="1:1" ht="12" customHeight="1">
      <c r="A274" s="8"/>
    </row>
    <row r="275" spans="1:1" ht="12" customHeight="1">
      <c r="A275" s="8"/>
    </row>
    <row r="276" spans="1:1" ht="12" customHeight="1">
      <c r="A276" s="8"/>
    </row>
    <row r="277" spans="1:1" ht="12" customHeight="1">
      <c r="A277" s="8"/>
    </row>
    <row r="278" spans="1:1" ht="12" customHeight="1">
      <c r="A278" s="8"/>
    </row>
    <row r="279" spans="1:1" ht="12" customHeight="1">
      <c r="A279" s="8"/>
    </row>
    <row r="280" spans="1:1" ht="12" customHeight="1">
      <c r="A280" s="8"/>
    </row>
    <row r="281" spans="1:1" ht="12" customHeight="1">
      <c r="A281" s="8"/>
    </row>
    <row r="282" spans="1:1" ht="12" customHeight="1">
      <c r="A282" s="8"/>
    </row>
    <row r="283" spans="1:1" ht="12" customHeight="1">
      <c r="A283" s="8"/>
    </row>
    <row r="284" spans="1:1" ht="12" customHeight="1">
      <c r="A284" s="8"/>
    </row>
    <row r="285" spans="1:1" ht="12" customHeight="1">
      <c r="A285" s="8"/>
    </row>
    <row r="286" spans="1:1" ht="12" customHeight="1">
      <c r="A286" s="8"/>
    </row>
    <row r="287" spans="1:1" ht="12" customHeight="1">
      <c r="A287" s="8"/>
    </row>
    <row r="288" spans="1:1" ht="12" customHeight="1">
      <c r="A288" s="8"/>
    </row>
    <row r="289" spans="1:1" ht="12" customHeight="1">
      <c r="A289" s="8"/>
    </row>
    <row r="290" spans="1:1" ht="12" customHeight="1">
      <c r="A290" s="8"/>
    </row>
    <row r="291" spans="1:1" ht="12" customHeight="1">
      <c r="A291" s="8"/>
    </row>
    <row r="292" spans="1:1" ht="12" customHeight="1">
      <c r="A292" s="8"/>
    </row>
    <row r="293" spans="1:1" ht="12" customHeight="1">
      <c r="A293" s="8"/>
    </row>
    <row r="294" spans="1:1" ht="12" customHeight="1">
      <c r="A294" s="8"/>
    </row>
    <row r="295" spans="1:1" ht="12" customHeight="1">
      <c r="A295" s="8"/>
    </row>
    <row r="296" spans="1:1" ht="12" customHeight="1">
      <c r="A296" s="8"/>
    </row>
    <row r="297" spans="1:1" ht="12" customHeight="1">
      <c r="A297" s="8"/>
    </row>
    <row r="298" spans="1:1" ht="12" customHeight="1">
      <c r="A298" s="8"/>
    </row>
    <row r="299" spans="1:1" ht="12" customHeight="1">
      <c r="A299" s="8"/>
    </row>
    <row r="300" spans="1:1" ht="12" customHeight="1">
      <c r="A300" s="8"/>
    </row>
    <row r="301" spans="1:1" ht="12" customHeight="1">
      <c r="A301" s="8"/>
    </row>
    <row r="302" spans="1:1" ht="12" customHeight="1">
      <c r="A302" s="8"/>
    </row>
    <row r="303" spans="1:1" ht="12" customHeight="1">
      <c r="A303" s="8"/>
    </row>
    <row r="304" spans="1:1" ht="12" customHeight="1">
      <c r="A304" s="8"/>
    </row>
    <row r="305" spans="1:1" ht="12" customHeight="1">
      <c r="A305" s="8"/>
    </row>
    <row r="306" spans="1:1" ht="12" customHeight="1">
      <c r="A306" s="8"/>
    </row>
    <row r="307" spans="1:1" ht="12" customHeight="1">
      <c r="A307" s="8"/>
    </row>
    <row r="308" spans="1:1" ht="12" customHeight="1">
      <c r="A308" s="8"/>
    </row>
    <row r="309" spans="1:1" ht="12" customHeight="1">
      <c r="A309" s="8"/>
    </row>
    <row r="310" spans="1:1" ht="12" customHeight="1">
      <c r="A310" s="8"/>
    </row>
    <row r="311" spans="1:1" ht="12" customHeight="1">
      <c r="A311" s="8"/>
    </row>
    <row r="312" spans="1:1" ht="12" customHeight="1">
      <c r="A312" s="8"/>
    </row>
    <row r="313" spans="1:1" ht="12" customHeight="1">
      <c r="A313" s="8"/>
    </row>
    <row r="314" spans="1:1" ht="12" customHeight="1">
      <c r="A314" s="8"/>
    </row>
    <row r="315" spans="1:1" ht="12" customHeight="1">
      <c r="A315" s="8"/>
    </row>
    <row r="316" spans="1:1" ht="12" customHeight="1">
      <c r="A316" s="8"/>
    </row>
    <row r="317" spans="1:1" ht="12" customHeight="1">
      <c r="A317" s="8"/>
    </row>
    <row r="318" spans="1:1" ht="12" customHeight="1">
      <c r="A318" s="8"/>
    </row>
    <row r="319" spans="1:1" ht="12" customHeight="1">
      <c r="A319" s="8"/>
    </row>
    <row r="320" spans="1:1" ht="12" customHeight="1">
      <c r="A320" s="8"/>
    </row>
    <row r="321" spans="1:1" ht="12" customHeight="1">
      <c r="A321" s="8"/>
    </row>
    <row r="322" spans="1:1" ht="12" customHeight="1">
      <c r="A322" s="8"/>
    </row>
    <row r="323" spans="1:1" ht="12" customHeight="1">
      <c r="A323" s="8"/>
    </row>
    <row r="324" spans="1:1" ht="12" customHeight="1">
      <c r="A324" s="8"/>
    </row>
    <row r="325" spans="1:1" ht="12" customHeight="1">
      <c r="A325" s="8"/>
    </row>
    <row r="326" spans="1:1" ht="12" customHeight="1">
      <c r="A326" s="8"/>
    </row>
    <row r="327" spans="1:1" ht="12" customHeight="1">
      <c r="A327" s="8"/>
    </row>
    <row r="328" spans="1:1" ht="12" customHeight="1">
      <c r="A328" s="8"/>
    </row>
    <row r="329" spans="1:1" ht="12" customHeight="1">
      <c r="A329" s="8"/>
    </row>
    <row r="330" spans="1:1" ht="12" customHeight="1">
      <c r="A330" s="8"/>
    </row>
    <row r="331" spans="1:1" ht="12" customHeight="1">
      <c r="A331" s="8"/>
    </row>
    <row r="332" spans="1:1" ht="12" customHeight="1">
      <c r="A332" s="8"/>
    </row>
    <row r="333" spans="1:1" ht="12" customHeight="1">
      <c r="A333" s="8"/>
    </row>
    <row r="334" spans="1:1" ht="12" customHeight="1">
      <c r="A334" s="8"/>
    </row>
    <row r="335" spans="1:1" ht="12" customHeight="1">
      <c r="A335" s="8"/>
    </row>
    <row r="336" spans="1:1" ht="12" customHeight="1">
      <c r="A336" s="8"/>
    </row>
    <row r="337" spans="1:1" ht="12" customHeight="1">
      <c r="A337" s="8"/>
    </row>
    <row r="338" spans="1:1" ht="12" customHeight="1">
      <c r="A338" s="8"/>
    </row>
    <row r="339" spans="1:1" ht="12" customHeight="1">
      <c r="A339" s="8"/>
    </row>
    <row r="340" spans="1:1" ht="12" customHeight="1">
      <c r="A340" s="8"/>
    </row>
    <row r="341" spans="1:1" ht="12" customHeight="1">
      <c r="A341" s="8"/>
    </row>
    <row r="342" spans="1:1" ht="12" customHeight="1">
      <c r="A342" s="8"/>
    </row>
    <row r="343" spans="1:1" ht="12" customHeight="1">
      <c r="A343" s="8"/>
    </row>
    <row r="344" spans="1:1" ht="12" customHeight="1">
      <c r="A344" s="8"/>
    </row>
    <row r="345" spans="1:1" ht="12" customHeight="1">
      <c r="A345" s="8"/>
    </row>
    <row r="346" spans="1:1" ht="12" customHeight="1">
      <c r="A346" s="8"/>
    </row>
    <row r="347" spans="1:1" ht="12" customHeight="1">
      <c r="A347" s="8"/>
    </row>
    <row r="348" spans="1:1" ht="12" customHeight="1">
      <c r="A348" s="8"/>
    </row>
    <row r="349" spans="1:1" ht="12" customHeight="1">
      <c r="A349" s="8"/>
    </row>
    <row r="350" spans="1:1" ht="12" customHeight="1">
      <c r="A350" s="8"/>
    </row>
    <row r="351" spans="1:1" ht="12" customHeight="1">
      <c r="A351" s="8"/>
    </row>
    <row r="352" spans="1:1" ht="12" customHeight="1">
      <c r="A352" s="8"/>
    </row>
    <row r="353" spans="1:1" ht="12" customHeight="1">
      <c r="A353" s="8"/>
    </row>
    <row r="354" spans="1:1" ht="12" customHeight="1">
      <c r="A354" s="8"/>
    </row>
    <row r="355" spans="1:1" ht="12" customHeight="1">
      <c r="A355" s="8"/>
    </row>
    <row r="356" spans="1:1" ht="12" customHeight="1">
      <c r="A356" s="8"/>
    </row>
    <row r="357" spans="1:1" ht="12" customHeight="1">
      <c r="A357" s="8"/>
    </row>
    <row r="358" spans="1:1" ht="12" customHeight="1">
      <c r="A358" s="8"/>
    </row>
    <row r="359" spans="1:1" ht="12" customHeight="1">
      <c r="A359" s="8"/>
    </row>
    <row r="360" spans="1:1" ht="12" customHeight="1">
      <c r="A360" s="8"/>
    </row>
    <row r="361" spans="1:1" ht="12" customHeight="1">
      <c r="A361" s="8"/>
    </row>
    <row r="362" spans="1:1" ht="12" customHeight="1">
      <c r="A362" s="8"/>
    </row>
    <row r="363" spans="1:1" ht="12" customHeight="1">
      <c r="A363" s="8"/>
    </row>
    <row r="364" spans="1:1" ht="12" customHeight="1">
      <c r="A364" s="8"/>
    </row>
    <row r="365" spans="1:1" ht="12" customHeight="1">
      <c r="A365" s="8"/>
    </row>
    <row r="366" spans="1:1" ht="12" customHeight="1">
      <c r="A366" s="8"/>
    </row>
    <row r="367" spans="1:1" ht="12" customHeight="1">
      <c r="A367" s="8"/>
    </row>
    <row r="368" spans="1:1" ht="12" customHeight="1">
      <c r="A368" s="8"/>
    </row>
    <row r="369" spans="1:1" ht="12" customHeight="1">
      <c r="A369" s="8"/>
    </row>
    <row r="370" spans="1:1" ht="12" customHeight="1">
      <c r="A370" s="8"/>
    </row>
    <row r="371" spans="1:1" ht="12" customHeight="1">
      <c r="A371" s="8"/>
    </row>
    <row r="372" spans="1:1" ht="12" customHeight="1">
      <c r="A372" s="8"/>
    </row>
    <row r="373" spans="1:1" ht="12" customHeight="1">
      <c r="A373" s="8"/>
    </row>
    <row r="374" spans="1:1" ht="12" customHeight="1">
      <c r="A374" s="8"/>
    </row>
    <row r="375" spans="1:1" ht="12" customHeight="1">
      <c r="A375" s="8"/>
    </row>
    <row r="376" spans="1:1" ht="12" customHeight="1">
      <c r="A376" s="8"/>
    </row>
    <row r="377" spans="1:1" ht="12" customHeight="1">
      <c r="A377" s="8"/>
    </row>
    <row r="378" spans="1:1" ht="12" customHeight="1">
      <c r="A378" s="8"/>
    </row>
    <row r="379" spans="1:1" ht="12" customHeight="1">
      <c r="A379" s="8"/>
    </row>
    <row r="380" spans="1:1" ht="12" customHeight="1">
      <c r="A380" s="8"/>
    </row>
    <row r="381" spans="1:1" ht="12" customHeight="1">
      <c r="A381" s="8"/>
    </row>
    <row r="382" spans="1:1" ht="12" customHeight="1">
      <c r="A382" s="8"/>
    </row>
    <row r="383" spans="1:1" ht="12" customHeight="1">
      <c r="A383" s="8"/>
    </row>
    <row r="384" spans="1:1" ht="12" customHeight="1">
      <c r="A384" s="8"/>
    </row>
    <row r="385" spans="1:1" ht="12" customHeight="1">
      <c r="A385" s="8"/>
    </row>
    <row r="386" spans="1:1" ht="12" customHeight="1">
      <c r="A386" s="8"/>
    </row>
    <row r="387" spans="1:1" ht="12" customHeight="1">
      <c r="A387" s="8"/>
    </row>
    <row r="388" spans="1:1" ht="12" customHeight="1">
      <c r="A388" s="8"/>
    </row>
    <row r="389" spans="1:1" ht="12" customHeight="1">
      <c r="A389" s="8"/>
    </row>
    <row r="390" spans="1:1" ht="12" customHeight="1">
      <c r="A390" s="8"/>
    </row>
    <row r="391" spans="1:1" ht="12" customHeight="1">
      <c r="A391" s="8"/>
    </row>
    <row r="392" spans="1:1" ht="12" customHeight="1">
      <c r="A392" s="8"/>
    </row>
    <row r="393" spans="1:1" ht="12" customHeight="1">
      <c r="A393" s="8"/>
    </row>
    <row r="394" spans="1:1" ht="12" customHeight="1">
      <c r="A394" s="8"/>
    </row>
    <row r="395" spans="1:1" ht="12" customHeight="1">
      <c r="A395" s="8"/>
    </row>
    <row r="396" spans="1:1" ht="12" customHeight="1">
      <c r="A396" s="8"/>
    </row>
    <row r="397" spans="1:1" ht="12" customHeight="1">
      <c r="A397" s="8"/>
    </row>
    <row r="398" spans="1:1" ht="12" customHeight="1">
      <c r="A398" s="8"/>
    </row>
    <row r="399" spans="1:1" ht="12" customHeight="1">
      <c r="A399" s="8"/>
    </row>
    <row r="400" spans="1:1" ht="12" customHeight="1">
      <c r="A400" s="8"/>
    </row>
    <row r="401" spans="1:1" ht="12" customHeight="1">
      <c r="A401" s="8"/>
    </row>
    <row r="402" spans="1:1" ht="12" customHeight="1">
      <c r="A402" s="8"/>
    </row>
    <row r="403" spans="1:1" ht="12" customHeight="1">
      <c r="A403" s="8"/>
    </row>
    <row r="404" spans="1:1" ht="12" customHeight="1">
      <c r="A404" s="8"/>
    </row>
    <row r="405" spans="1:1" ht="12" customHeight="1">
      <c r="A405" s="8"/>
    </row>
    <row r="406" spans="1:1" ht="12" customHeight="1">
      <c r="A406" s="8"/>
    </row>
    <row r="407" spans="1:1" ht="12" customHeight="1">
      <c r="A407" s="8"/>
    </row>
    <row r="408" spans="1:1" ht="12" customHeight="1">
      <c r="A408" s="8"/>
    </row>
    <row r="409" spans="1:1" ht="12" customHeight="1">
      <c r="A409" s="8"/>
    </row>
    <row r="410" spans="1:1" ht="12" customHeight="1">
      <c r="A410" s="8"/>
    </row>
    <row r="411" spans="1:1" ht="12" customHeight="1">
      <c r="A411" s="8"/>
    </row>
    <row r="412" spans="1:1" ht="12" customHeight="1">
      <c r="A412" s="8"/>
    </row>
    <row r="413" spans="1:1" ht="12" customHeight="1">
      <c r="A413" s="8"/>
    </row>
    <row r="414" spans="1:1" ht="12" customHeight="1">
      <c r="A414" s="8"/>
    </row>
    <row r="415" spans="1:1" ht="12" customHeight="1">
      <c r="A415" s="8"/>
    </row>
    <row r="416" spans="1:1" ht="12" customHeight="1">
      <c r="A416" s="8"/>
    </row>
    <row r="417" spans="1:1" ht="12" customHeight="1">
      <c r="A417" s="8"/>
    </row>
    <row r="418" spans="1:1" ht="12" customHeight="1">
      <c r="A418" s="8"/>
    </row>
    <row r="419" spans="1:1" ht="12" customHeight="1">
      <c r="A419" s="8"/>
    </row>
    <row r="420" spans="1:1" ht="12" customHeight="1">
      <c r="A420" s="8"/>
    </row>
    <row r="421" spans="1:1" ht="12" customHeight="1">
      <c r="A421" s="8"/>
    </row>
    <row r="422" spans="1:1" ht="12" customHeight="1">
      <c r="A422" s="8"/>
    </row>
    <row r="423" spans="1:1" ht="12" customHeight="1">
      <c r="A423" s="8"/>
    </row>
    <row r="424" spans="1:1" ht="12" customHeight="1">
      <c r="A424" s="8"/>
    </row>
    <row r="425" spans="1:1" ht="12" customHeight="1">
      <c r="A425" s="8"/>
    </row>
    <row r="426" spans="1:1" ht="12" customHeight="1">
      <c r="A426" s="8"/>
    </row>
    <row r="427" spans="1:1" ht="12" customHeight="1">
      <c r="A427" s="8"/>
    </row>
    <row r="428" spans="1:1" ht="12" customHeight="1">
      <c r="A428" s="8"/>
    </row>
    <row r="429" spans="1:1" ht="12" customHeight="1">
      <c r="A429" s="8"/>
    </row>
    <row r="430" spans="1:1" ht="12" customHeight="1">
      <c r="A430" s="8"/>
    </row>
    <row r="431" spans="1:1" ht="12" customHeight="1">
      <c r="A431" s="8"/>
    </row>
    <row r="432" spans="1:1" ht="12" customHeight="1">
      <c r="A432" s="8"/>
    </row>
    <row r="433" spans="1:1" ht="12" customHeight="1">
      <c r="A433" s="8"/>
    </row>
    <row r="434" spans="1:1" ht="12" customHeight="1">
      <c r="A434" s="8"/>
    </row>
    <row r="435" spans="1:1" ht="12" customHeight="1">
      <c r="A435" s="8"/>
    </row>
    <row r="436" spans="1:1" ht="12" customHeight="1">
      <c r="A436" s="8"/>
    </row>
    <row r="437" spans="1:1" ht="12" customHeight="1">
      <c r="A437" s="8"/>
    </row>
    <row r="438" spans="1:1" ht="12" customHeight="1">
      <c r="A438" s="8"/>
    </row>
    <row r="439" spans="1:1" ht="12" customHeight="1">
      <c r="A439" s="8"/>
    </row>
    <row r="440" spans="1:1" ht="12" customHeight="1">
      <c r="A440" s="8"/>
    </row>
    <row r="441" spans="1:1" ht="12" customHeight="1">
      <c r="A441" s="8"/>
    </row>
    <row r="442" spans="1:1" ht="12" customHeight="1">
      <c r="A442" s="8"/>
    </row>
    <row r="443" spans="1:1" ht="12" customHeight="1">
      <c r="A443" s="8"/>
    </row>
    <row r="444" spans="1:1" ht="12" customHeight="1">
      <c r="A444" s="8"/>
    </row>
    <row r="445" spans="1:1" ht="12" customHeight="1">
      <c r="A445" s="8"/>
    </row>
    <row r="446" spans="1:1" ht="12" customHeight="1">
      <c r="A446" s="8"/>
    </row>
    <row r="447" spans="1:1" ht="12" customHeight="1">
      <c r="A447" s="8"/>
    </row>
    <row r="448" spans="1:1" ht="12" customHeight="1">
      <c r="A448" s="8"/>
    </row>
    <row r="449" spans="1:1" ht="12" customHeight="1">
      <c r="A449" s="8"/>
    </row>
    <row r="450" spans="1:1" ht="12" customHeight="1">
      <c r="A450" s="8"/>
    </row>
    <row r="451" spans="1:1" ht="12" customHeight="1">
      <c r="A451" s="8"/>
    </row>
    <row r="452" spans="1:1" ht="12" customHeight="1">
      <c r="A452" s="8"/>
    </row>
    <row r="453" spans="1:1" ht="12" customHeight="1">
      <c r="A453" s="8"/>
    </row>
    <row r="454" spans="1:1" ht="12" customHeight="1">
      <c r="A454" s="8"/>
    </row>
    <row r="455" spans="1:1" ht="12" customHeight="1">
      <c r="A455" s="8"/>
    </row>
    <row r="456" spans="1:1" ht="12" customHeight="1">
      <c r="A456" s="8"/>
    </row>
    <row r="457" spans="1:1" ht="12" customHeight="1">
      <c r="A457" s="8"/>
    </row>
    <row r="458" spans="1:1" ht="12" customHeight="1">
      <c r="A458" s="8"/>
    </row>
    <row r="459" spans="1:1" ht="12" customHeight="1">
      <c r="A459" s="8"/>
    </row>
    <row r="460" spans="1:1" ht="12" customHeight="1">
      <c r="A460" s="8"/>
    </row>
    <row r="461" spans="1:1" ht="12" customHeight="1">
      <c r="A461" s="8"/>
    </row>
    <row r="462" spans="1:1" ht="12" customHeight="1">
      <c r="A462" s="8"/>
    </row>
    <row r="463" spans="1:1" ht="12" customHeight="1">
      <c r="A463" s="8"/>
    </row>
    <row r="464" spans="1:1" ht="12" customHeight="1">
      <c r="A464" s="8"/>
    </row>
    <row r="465" spans="1:1" ht="12" customHeight="1">
      <c r="A465" s="8"/>
    </row>
    <row r="466" spans="1:1" ht="12" customHeight="1">
      <c r="A466" s="8"/>
    </row>
    <row r="467" spans="1:1" ht="12" customHeight="1">
      <c r="A467" s="8"/>
    </row>
    <row r="468" spans="1:1" ht="12" customHeight="1">
      <c r="A468" s="8"/>
    </row>
    <row r="469" spans="1:1" ht="12" customHeight="1">
      <c r="A469" s="8"/>
    </row>
    <row r="470" spans="1:1" ht="12" customHeight="1">
      <c r="A470" s="8"/>
    </row>
    <row r="471" spans="1:1" ht="12" customHeight="1">
      <c r="A471" s="8"/>
    </row>
    <row r="472" spans="1:1" ht="12" customHeight="1">
      <c r="A472" s="8"/>
    </row>
    <row r="473" spans="1:1" ht="12" customHeight="1">
      <c r="A473" s="8"/>
    </row>
    <row r="474" spans="1:1" ht="12" customHeight="1">
      <c r="A474" s="8"/>
    </row>
    <row r="475" spans="1:1" ht="12" customHeight="1">
      <c r="A475" s="8"/>
    </row>
    <row r="476" spans="1:1" ht="12" customHeight="1">
      <c r="A476" s="8"/>
    </row>
    <row r="477" spans="1:1" ht="12" customHeight="1">
      <c r="A477" s="8"/>
    </row>
    <row r="478" spans="1:1" ht="12" customHeight="1">
      <c r="A478" s="8"/>
    </row>
    <row r="479" spans="1:1" ht="12" customHeight="1">
      <c r="A479" s="8"/>
    </row>
    <row r="480" spans="1:1" ht="12" customHeight="1">
      <c r="A480" s="8"/>
    </row>
    <row r="481" spans="1:1" ht="12" customHeight="1">
      <c r="A481" s="8"/>
    </row>
    <row r="482" spans="1:1" ht="12" customHeight="1">
      <c r="A482" s="8"/>
    </row>
    <row r="483" spans="1:1" ht="12" customHeight="1">
      <c r="A483" s="8"/>
    </row>
    <row r="484" spans="1:1" ht="12" customHeight="1">
      <c r="A484" s="8"/>
    </row>
    <row r="485" spans="1:1" ht="12" customHeight="1">
      <c r="A485" s="8"/>
    </row>
    <row r="486" spans="1:1" ht="12" customHeight="1">
      <c r="A486" s="8"/>
    </row>
    <row r="487" spans="1:1" ht="12" customHeight="1">
      <c r="A487" s="8"/>
    </row>
    <row r="488" spans="1:1" ht="12" customHeight="1">
      <c r="A488" s="8"/>
    </row>
    <row r="489" spans="1:1" ht="12" customHeight="1">
      <c r="A489" s="8"/>
    </row>
    <row r="490" spans="1:1" ht="12" customHeight="1">
      <c r="A490" s="8"/>
    </row>
    <row r="491" spans="1:1" ht="12" customHeight="1">
      <c r="A491" s="8"/>
    </row>
    <row r="492" spans="1:1" ht="12" customHeight="1">
      <c r="A492" s="8"/>
    </row>
    <row r="493" spans="1:1" ht="12" customHeight="1">
      <c r="A493" s="8"/>
    </row>
    <row r="494" spans="1:1" ht="12" customHeight="1">
      <c r="A494" s="8"/>
    </row>
    <row r="495" spans="1:1" ht="12" customHeight="1">
      <c r="A495" s="8"/>
    </row>
    <row r="496" spans="1:1" ht="12" customHeight="1">
      <c r="A496" s="8"/>
    </row>
    <row r="497" spans="1:1" ht="12" customHeight="1">
      <c r="A497" s="8"/>
    </row>
    <row r="498" spans="1:1" ht="12" customHeight="1">
      <c r="A498" s="8"/>
    </row>
    <row r="499" spans="1:1" ht="12" customHeight="1">
      <c r="A499" s="8"/>
    </row>
    <row r="500" spans="1:1" ht="12" customHeight="1">
      <c r="A500" s="8"/>
    </row>
    <row r="501" spans="1:1" ht="12" customHeight="1">
      <c r="A501" s="8"/>
    </row>
    <row r="502" spans="1:1" ht="12" customHeight="1">
      <c r="A502" s="8"/>
    </row>
    <row r="503" spans="1:1" ht="12" customHeight="1">
      <c r="A503" s="8"/>
    </row>
    <row r="504" spans="1:1" ht="12" customHeight="1">
      <c r="A504" s="8"/>
    </row>
    <row r="505" spans="1:1" ht="12" customHeight="1">
      <c r="A505" s="8"/>
    </row>
    <row r="506" spans="1:1" ht="12" customHeight="1">
      <c r="A506" s="8"/>
    </row>
    <row r="507" spans="1:1" ht="12" customHeight="1">
      <c r="A507" s="8"/>
    </row>
    <row r="508" spans="1:1" ht="12" customHeight="1">
      <c r="A508" s="8"/>
    </row>
    <row r="509" spans="1:1" ht="12" customHeight="1">
      <c r="A509" s="8"/>
    </row>
    <row r="510" spans="1:1" ht="12" customHeight="1">
      <c r="A510" s="8"/>
    </row>
    <row r="511" spans="1:1" ht="12" customHeight="1">
      <c r="A511" s="8"/>
    </row>
    <row r="512" spans="1:1" ht="12" customHeight="1">
      <c r="A512" s="8"/>
    </row>
    <row r="513" spans="1:1" ht="12" customHeight="1">
      <c r="A513" s="8"/>
    </row>
    <row r="514" spans="1:1" ht="12" customHeight="1">
      <c r="A514" s="8"/>
    </row>
    <row r="515" spans="1:1" ht="12" customHeight="1">
      <c r="A515" s="8"/>
    </row>
    <row r="516" spans="1:1" ht="12" customHeight="1">
      <c r="A516" s="8"/>
    </row>
    <row r="517" spans="1:1" ht="12" customHeight="1">
      <c r="A517" s="8"/>
    </row>
    <row r="518" spans="1:1" ht="12" customHeight="1">
      <c r="A518" s="8"/>
    </row>
    <row r="519" spans="1:1" ht="12" customHeight="1">
      <c r="A519" s="8"/>
    </row>
    <row r="520" spans="1:1" ht="12" customHeight="1">
      <c r="A520" s="8"/>
    </row>
    <row r="521" spans="1:1" ht="12" customHeight="1">
      <c r="A521" s="8"/>
    </row>
    <row r="522" spans="1:1" ht="12" customHeight="1">
      <c r="A522" s="8"/>
    </row>
    <row r="523" spans="1:1" ht="12" customHeight="1">
      <c r="A523" s="8"/>
    </row>
    <row r="524" spans="1:1" ht="12" customHeight="1">
      <c r="A524" s="8"/>
    </row>
    <row r="525" spans="1:1" ht="12" customHeight="1">
      <c r="A525" s="8"/>
    </row>
    <row r="526" spans="1:1" ht="12" customHeight="1">
      <c r="A526" s="8"/>
    </row>
    <row r="527" spans="1:1" ht="12" customHeight="1">
      <c r="A527" s="8"/>
    </row>
    <row r="528" spans="1:1" ht="12" customHeight="1">
      <c r="A528" s="8"/>
    </row>
    <row r="529" spans="1:1" ht="12" customHeight="1">
      <c r="A529" s="8"/>
    </row>
    <row r="530" spans="1:1" ht="12" customHeight="1">
      <c r="A530" s="8"/>
    </row>
    <row r="531" spans="1:1" ht="12" customHeight="1">
      <c r="A531" s="8"/>
    </row>
    <row r="532" spans="1:1" ht="12" customHeight="1">
      <c r="A532" s="8"/>
    </row>
    <row r="533" spans="1:1" ht="12" customHeight="1">
      <c r="A533" s="8"/>
    </row>
    <row r="534" spans="1:1" ht="12" customHeight="1">
      <c r="A534" s="8"/>
    </row>
    <row r="535" spans="1:1" ht="12" customHeight="1">
      <c r="A535" s="8"/>
    </row>
    <row r="536" spans="1:1" ht="12" customHeight="1">
      <c r="A536" s="8"/>
    </row>
    <row r="537" spans="1:1" ht="12" customHeight="1">
      <c r="A537" s="8"/>
    </row>
    <row r="538" spans="1:1" ht="12" customHeight="1">
      <c r="A538" s="8"/>
    </row>
    <row r="539" spans="1:1" ht="12" customHeight="1">
      <c r="A539" s="8"/>
    </row>
    <row r="540" spans="1:1" ht="12" customHeight="1">
      <c r="A540" s="8"/>
    </row>
    <row r="541" spans="1:1" ht="12" customHeight="1">
      <c r="A541" s="8"/>
    </row>
    <row r="542" spans="1:1" ht="12" customHeight="1">
      <c r="A542" s="8"/>
    </row>
    <row r="543" spans="1:1" ht="12" customHeight="1">
      <c r="A543" s="8"/>
    </row>
    <row r="544" spans="1:1" ht="12" customHeight="1">
      <c r="A544" s="8"/>
    </row>
    <row r="545" spans="1:1" ht="12" customHeight="1">
      <c r="A545" s="8"/>
    </row>
    <row r="546" spans="1:1" ht="12" customHeight="1">
      <c r="A546" s="8"/>
    </row>
    <row r="547" spans="1:1" ht="12" customHeight="1">
      <c r="A547" s="8"/>
    </row>
    <row r="548" spans="1:1" ht="12" customHeight="1">
      <c r="A548" s="8"/>
    </row>
    <row r="549" spans="1:1" ht="12" customHeight="1">
      <c r="A549" s="8"/>
    </row>
    <row r="550" spans="1:1" ht="12" customHeight="1">
      <c r="A550" s="8"/>
    </row>
    <row r="551" spans="1:1" ht="12" customHeight="1">
      <c r="A551" s="8"/>
    </row>
    <row r="552" spans="1:1" ht="12" customHeight="1">
      <c r="A552" s="8"/>
    </row>
    <row r="553" spans="1:1" ht="12" customHeight="1">
      <c r="A553" s="8"/>
    </row>
    <row r="554" spans="1:1" ht="12" customHeight="1">
      <c r="A554" s="8"/>
    </row>
    <row r="555" spans="1:1" ht="12" customHeight="1">
      <c r="A555" s="8"/>
    </row>
    <row r="556" spans="1:1" ht="12" customHeight="1">
      <c r="A556" s="8"/>
    </row>
    <row r="557" spans="1:1" ht="12" customHeight="1">
      <c r="A557" s="8"/>
    </row>
    <row r="558" spans="1:1" ht="12" customHeight="1">
      <c r="A558" s="8"/>
    </row>
    <row r="559" spans="1:1" ht="12" customHeight="1">
      <c r="A559" s="8"/>
    </row>
    <row r="560" spans="1:1" ht="12" customHeight="1">
      <c r="A560" s="8"/>
    </row>
    <row r="561" spans="1:1" ht="12" customHeight="1">
      <c r="A561" s="8"/>
    </row>
    <row r="562" spans="1:1" ht="12" customHeight="1">
      <c r="A562" s="8"/>
    </row>
    <row r="563" spans="1:1" ht="12" customHeight="1">
      <c r="A563" s="8"/>
    </row>
    <row r="564" spans="1:1" ht="12" customHeight="1">
      <c r="A564" s="8"/>
    </row>
    <row r="565" spans="1:1" ht="12" customHeight="1">
      <c r="A565" s="8"/>
    </row>
    <row r="566" spans="1:1" ht="12" customHeight="1">
      <c r="A566" s="8"/>
    </row>
    <row r="567" spans="1:1" ht="12" customHeight="1">
      <c r="A567" s="8"/>
    </row>
    <row r="568" spans="1:1" ht="12" customHeight="1">
      <c r="A568" s="8"/>
    </row>
    <row r="569" spans="1:1" ht="12" customHeight="1">
      <c r="A569" s="8"/>
    </row>
    <row r="570" spans="1:1" ht="12" customHeight="1">
      <c r="A570" s="8"/>
    </row>
    <row r="571" spans="1:1" ht="12" customHeight="1">
      <c r="A571" s="8"/>
    </row>
    <row r="572" spans="1:1" ht="12" customHeight="1">
      <c r="A572" s="8"/>
    </row>
    <row r="573" spans="1:1" ht="12" customHeight="1">
      <c r="A573" s="8"/>
    </row>
    <row r="574" spans="1:1" ht="12" customHeight="1">
      <c r="A574" s="8"/>
    </row>
    <row r="575" spans="1:1" ht="12" customHeight="1">
      <c r="A575" s="8"/>
    </row>
    <row r="576" spans="1:1" ht="12" customHeight="1">
      <c r="A576" s="8"/>
    </row>
    <row r="577" spans="1:1" ht="12" customHeight="1">
      <c r="A577" s="8"/>
    </row>
    <row r="578" spans="1:1" ht="12" customHeight="1">
      <c r="A578" s="8"/>
    </row>
    <row r="579" spans="1:1" ht="12" customHeight="1">
      <c r="A579" s="8"/>
    </row>
    <row r="580" spans="1:1" ht="12" customHeight="1">
      <c r="A580" s="8"/>
    </row>
    <row r="581" spans="1:1" ht="12" customHeight="1">
      <c r="A581" s="8"/>
    </row>
    <row r="582" spans="1:1" ht="12" customHeight="1">
      <c r="A582" s="8"/>
    </row>
    <row r="583" spans="1:1" ht="12" customHeight="1">
      <c r="A583" s="8"/>
    </row>
    <row r="584" spans="1:1" ht="12" customHeight="1">
      <c r="A584" s="8"/>
    </row>
    <row r="585" spans="1:1" ht="12" customHeight="1">
      <c r="A585" s="8"/>
    </row>
    <row r="586" spans="1:1" ht="12" customHeight="1">
      <c r="A586" s="8"/>
    </row>
    <row r="587" spans="1:1" ht="12" customHeight="1">
      <c r="A587" s="8"/>
    </row>
    <row r="588" spans="1:1" ht="12" customHeight="1">
      <c r="A588" s="8"/>
    </row>
    <row r="589" spans="1:1" ht="12" customHeight="1">
      <c r="A589" s="8"/>
    </row>
    <row r="590" spans="1:1" ht="12" customHeight="1">
      <c r="A590" s="8"/>
    </row>
    <row r="591" spans="1:1" ht="12" customHeight="1">
      <c r="A591" s="8"/>
    </row>
    <row r="592" spans="1:1" ht="12" customHeight="1">
      <c r="A592" s="8"/>
    </row>
    <row r="593" spans="1:1" ht="12" customHeight="1">
      <c r="A593" s="8"/>
    </row>
    <row r="594" spans="1:1" ht="12" customHeight="1">
      <c r="A594" s="8"/>
    </row>
    <row r="595" spans="1:1" ht="12" customHeight="1">
      <c r="A595" s="8"/>
    </row>
    <row r="596" spans="1:1" ht="12" customHeight="1">
      <c r="A596" s="8"/>
    </row>
    <row r="597" spans="1:1" ht="12" customHeight="1">
      <c r="A597" s="8"/>
    </row>
    <row r="598" spans="1:1" ht="12" customHeight="1">
      <c r="A598" s="8"/>
    </row>
    <row r="599" spans="1:1" ht="12" customHeight="1">
      <c r="A599" s="8"/>
    </row>
    <row r="600" spans="1:1" ht="12" customHeight="1">
      <c r="A600" s="8"/>
    </row>
    <row r="601" spans="1:1" ht="12" customHeight="1">
      <c r="A601" s="8"/>
    </row>
    <row r="602" spans="1:1" ht="12" customHeight="1">
      <c r="A602" s="8"/>
    </row>
    <row r="603" spans="1:1" ht="12" customHeight="1">
      <c r="A603" s="8"/>
    </row>
    <row r="604" spans="1:1" ht="12" customHeight="1">
      <c r="A604" s="8"/>
    </row>
    <row r="605" spans="1:1" ht="12" customHeight="1">
      <c r="A605" s="8"/>
    </row>
    <row r="606" spans="1:1" ht="12" customHeight="1">
      <c r="A606" s="8"/>
    </row>
    <row r="607" spans="1:1" ht="12" customHeight="1">
      <c r="A607" s="8"/>
    </row>
    <row r="608" spans="1:1" ht="12" customHeight="1">
      <c r="A608" s="8"/>
    </row>
    <row r="609" spans="1:1" ht="12" customHeight="1">
      <c r="A609" s="8"/>
    </row>
    <row r="610" spans="1:1" ht="12" customHeight="1">
      <c r="A610" s="8"/>
    </row>
    <row r="611" spans="1:1" ht="12" customHeight="1">
      <c r="A611" s="8"/>
    </row>
    <row r="612" spans="1:1" ht="12" customHeight="1">
      <c r="A612" s="8"/>
    </row>
    <row r="613" spans="1:1" ht="12" customHeight="1">
      <c r="A613" s="8"/>
    </row>
    <row r="614" spans="1:1" ht="12" customHeight="1">
      <c r="A614" s="8"/>
    </row>
    <row r="615" spans="1:1" ht="12" customHeight="1">
      <c r="A615" s="8"/>
    </row>
    <row r="616" spans="1:1" ht="12" customHeight="1">
      <c r="A616" s="8"/>
    </row>
    <row r="617" spans="1:1" ht="12" customHeight="1">
      <c r="A617" s="8"/>
    </row>
    <row r="618" spans="1:1" ht="12" customHeight="1">
      <c r="A618" s="8"/>
    </row>
    <row r="619" spans="1:1" ht="12" customHeight="1">
      <c r="A619" s="8"/>
    </row>
    <row r="620" spans="1:1" ht="12" customHeight="1">
      <c r="A620" s="8"/>
    </row>
    <row r="621" spans="1:1" ht="12" customHeight="1">
      <c r="A621" s="8"/>
    </row>
    <row r="622" spans="1:1" ht="12" customHeight="1">
      <c r="A622" s="8"/>
    </row>
    <row r="623" spans="1:1" ht="12" customHeight="1">
      <c r="A623" s="8"/>
    </row>
    <row r="624" spans="1:1" ht="12" customHeight="1">
      <c r="A624" s="8"/>
    </row>
    <row r="625" spans="1:1" ht="12" customHeight="1">
      <c r="A625" s="8"/>
    </row>
    <row r="626" spans="1:1" ht="12" customHeight="1">
      <c r="A626" s="8"/>
    </row>
    <row r="627" spans="1:1" ht="12" customHeight="1">
      <c r="A627" s="8"/>
    </row>
    <row r="628" spans="1:1" ht="12" customHeight="1">
      <c r="A628" s="8"/>
    </row>
    <row r="629" spans="1:1" ht="12" customHeight="1">
      <c r="A629" s="8"/>
    </row>
    <row r="630" spans="1:1" ht="12" customHeight="1">
      <c r="A630" s="8"/>
    </row>
    <row r="631" spans="1:1" ht="12" customHeight="1">
      <c r="A631" s="8"/>
    </row>
    <row r="632" spans="1:1" ht="12" customHeight="1">
      <c r="A632" s="8"/>
    </row>
    <row r="633" spans="1:1" ht="12" customHeight="1">
      <c r="A633" s="8"/>
    </row>
    <row r="634" spans="1:1" ht="12" customHeight="1">
      <c r="A634" s="8"/>
    </row>
    <row r="635" spans="1:1" ht="12" customHeight="1">
      <c r="A635" s="8"/>
    </row>
    <row r="636" spans="1:1" ht="12" customHeight="1">
      <c r="A636" s="8"/>
    </row>
    <row r="637" spans="1:1" ht="12" customHeight="1">
      <c r="A637" s="8"/>
    </row>
    <row r="638" spans="1:1" ht="12" customHeight="1">
      <c r="A638" s="8"/>
    </row>
    <row r="639" spans="1:1" ht="12" customHeight="1">
      <c r="A639" s="8"/>
    </row>
    <row r="640" spans="1:1" ht="12" customHeight="1">
      <c r="A640" s="8"/>
    </row>
    <row r="641" spans="1:1" ht="12" customHeight="1">
      <c r="A641" s="8"/>
    </row>
    <row r="642" spans="1:1" ht="12" customHeight="1">
      <c r="A642" s="8"/>
    </row>
    <row r="643" spans="1:1" ht="12" customHeight="1">
      <c r="A643" s="8"/>
    </row>
    <row r="644" spans="1:1" ht="12" customHeight="1">
      <c r="A644" s="8"/>
    </row>
    <row r="645" spans="1:1" ht="12" customHeight="1">
      <c r="A645" s="8"/>
    </row>
    <row r="646" spans="1:1" ht="12" customHeight="1">
      <c r="A646" s="8"/>
    </row>
    <row r="647" spans="1:1" ht="12" customHeight="1">
      <c r="A647" s="8"/>
    </row>
    <row r="648" spans="1:1" ht="12" customHeight="1">
      <c r="A648" s="8"/>
    </row>
    <row r="649" spans="1:1" ht="12" customHeight="1">
      <c r="A649" s="8"/>
    </row>
    <row r="650" spans="1:1" ht="12" customHeight="1">
      <c r="A650" s="8"/>
    </row>
    <row r="651" spans="1:1" ht="12" customHeight="1">
      <c r="A651" s="8"/>
    </row>
    <row r="652" spans="1:1" ht="12" customHeight="1">
      <c r="A652" s="8"/>
    </row>
    <row r="653" spans="1:1" ht="12" customHeight="1">
      <c r="A653" s="8"/>
    </row>
    <row r="654" spans="1:1" ht="12" customHeight="1">
      <c r="A654" s="8"/>
    </row>
    <row r="655" spans="1:1" ht="12" customHeight="1">
      <c r="A655" s="8"/>
    </row>
    <row r="656" spans="1:1" ht="12" customHeight="1">
      <c r="A656" s="8"/>
    </row>
    <row r="657" spans="1:1" ht="12" customHeight="1">
      <c r="A657" s="8"/>
    </row>
    <row r="658" spans="1:1" ht="12" customHeight="1">
      <c r="A658" s="8"/>
    </row>
    <row r="659" spans="1:1" ht="12" customHeight="1">
      <c r="A659" s="8"/>
    </row>
    <row r="660" spans="1:1" ht="12" customHeight="1">
      <c r="A660" s="8"/>
    </row>
    <row r="661" spans="1:1" ht="12" customHeight="1">
      <c r="A661" s="8"/>
    </row>
    <row r="662" spans="1:1" ht="12" customHeight="1">
      <c r="A662" s="8"/>
    </row>
    <row r="663" spans="1:1" ht="12" customHeight="1">
      <c r="A663" s="8"/>
    </row>
    <row r="664" spans="1:1" ht="12" customHeight="1">
      <c r="A664" s="8"/>
    </row>
    <row r="665" spans="1:1" ht="12" customHeight="1">
      <c r="A665" s="8"/>
    </row>
    <row r="666" spans="1:1" ht="12" customHeight="1">
      <c r="A666" s="8"/>
    </row>
    <row r="667" spans="1:1" ht="12" customHeight="1">
      <c r="A667" s="8"/>
    </row>
    <row r="668" spans="1:1" ht="12" customHeight="1">
      <c r="A668" s="8"/>
    </row>
    <row r="669" spans="1:1" ht="12" customHeight="1">
      <c r="A669" s="8"/>
    </row>
    <row r="670" spans="1:1" ht="12" customHeight="1">
      <c r="A670" s="8"/>
    </row>
    <row r="671" spans="1:1" ht="12" customHeight="1">
      <c r="A671" s="8"/>
    </row>
    <row r="672" spans="1:1" ht="12" customHeight="1">
      <c r="A672" s="8"/>
    </row>
    <row r="673" spans="1:1" ht="12" customHeight="1">
      <c r="A673" s="8"/>
    </row>
    <row r="674" spans="1:1" ht="12" customHeight="1">
      <c r="A674" s="8"/>
    </row>
    <row r="675" spans="1:1" ht="12" customHeight="1">
      <c r="A675" s="8"/>
    </row>
    <row r="676" spans="1:1" ht="12" customHeight="1">
      <c r="A676" s="8"/>
    </row>
    <row r="677" spans="1:1" ht="12" customHeight="1">
      <c r="A677" s="8"/>
    </row>
    <row r="678" spans="1:1" ht="12" customHeight="1">
      <c r="A678" s="8"/>
    </row>
    <row r="679" spans="1:1" ht="12" customHeight="1">
      <c r="A679" s="8"/>
    </row>
    <row r="680" spans="1:1" ht="12" customHeight="1">
      <c r="A680" s="8"/>
    </row>
    <row r="681" spans="1:1" ht="12" customHeight="1">
      <c r="A681" s="8"/>
    </row>
    <row r="682" spans="1:1" ht="12" customHeight="1">
      <c r="A682" s="8"/>
    </row>
    <row r="683" spans="1:1" ht="12" customHeight="1">
      <c r="A683" s="8"/>
    </row>
    <row r="684" spans="1:1" ht="12" customHeight="1">
      <c r="A684" s="8"/>
    </row>
    <row r="685" spans="1:1" ht="12" customHeight="1">
      <c r="A685" s="8"/>
    </row>
    <row r="686" spans="1:1" ht="12" customHeight="1">
      <c r="A686" s="8"/>
    </row>
    <row r="687" spans="1:1" ht="12" customHeight="1">
      <c r="A687" s="8"/>
    </row>
    <row r="688" spans="1:1" ht="12" customHeight="1">
      <c r="A688" s="8"/>
    </row>
    <row r="689" spans="1:1" ht="12" customHeight="1">
      <c r="A689" s="8"/>
    </row>
    <row r="690" spans="1:1" ht="12" customHeight="1">
      <c r="A690" s="8"/>
    </row>
    <row r="691" spans="1:1" ht="12" customHeight="1">
      <c r="A691" s="8"/>
    </row>
    <row r="692" spans="1:1" ht="12" customHeight="1">
      <c r="A692" s="8"/>
    </row>
    <row r="693" spans="1:1" ht="12" customHeight="1">
      <c r="A693" s="8"/>
    </row>
    <row r="694" spans="1:1" ht="12" customHeight="1">
      <c r="A694" s="8"/>
    </row>
    <row r="695" spans="1:1" ht="12" customHeight="1">
      <c r="A695" s="8"/>
    </row>
    <row r="696" spans="1:1" ht="12" customHeight="1">
      <c r="A696" s="8"/>
    </row>
    <row r="697" spans="1:1" ht="12" customHeight="1">
      <c r="A697" s="8"/>
    </row>
    <row r="698" spans="1:1" ht="12" customHeight="1">
      <c r="A698" s="8"/>
    </row>
    <row r="699" spans="1:1" ht="12" customHeight="1">
      <c r="A699" s="8"/>
    </row>
    <row r="700" spans="1:1" ht="12" customHeight="1">
      <c r="A700" s="8"/>
    </row>
    <row r="701" spans="1:1" ht="12" customHeight="1">
      <c r="A701" s="8"/>
    </row>
    <row r="702" spans="1:1" ht="12" customHeight="1">
      <c r="A702" s="8"/>
    </row>
    <row r="703" spans="1:1" ht="12" customHeight="1">
      <c r="A703" s="8"/>
    </row>
    <row r="704" spans="1:1" ht="12" customHeight="1">
      <c r="A704" s="8"/>
    </row>
    <row r="705" spans="1:1" ht="12" customHeight="1">
      <c r="A705" s="8"/>
    </row>
    <row r="706" spans="1:1" ht="12" customHeight="1">
      <c r="A706" s="8"/>
    </row>
    <row r="707" spans="1:1" ht="12" customHeight="1">
      <c r="A707" s="8"/>
    </row>
    <row r="708" spans="1:1" ht="12" customHeight="1">
      <c r="A708" s="8"/>
    </row>
    <row r="709" spans="1:1" ht="12" customHeight="1">
      <c r="A709" s="8"/>
    </row>
    <row r="710" spans="1:1" ht="12" customHeight="1">
      <c r="A710" s="8"/>
    </row>
    <row r="711" spans="1:1" ht="12" customHeight="1">
      <c r="A711" s="8"/>
    </row>
    <row r="712" spans="1:1" ht="12" customHeight="1">
      <c r="A712" s="8"/>
    </row>
    <row r="713" spans="1:1" ht="12" customHeight="1">
      <c r="A713" s="8"/>
    </row>
    <row r="714" spans="1:1" ht="12" customHeight="1">
      <c r="A714" s="8"/>
    </row>
    <row r="715" spans="1:1" ht="12" customHeight="1">
      <c r="A715" s="8"/>
    </row>
    <row r="716" spans="1:1" ht="12" customHeight="1">
      <c r="A716" s="8"/>
    </row>
    <row r="717" spans="1:1" ht="12" customHeight="1">
      <c r="A717" s="8"/>
    </row>
    <row r="718" spans="1:1" ht="12" customHeight="1">
      <c r="A718" s="8"/>
    </row>
    <row r="719" spans="1:1" ht="12" customHeight="1">
      <c r="A719" s="8"/>
    </row>
    <row r="720" spans="1:1" ht="12" customHeight="1">
      <c r="A720" s="8"/>
    </row>
    <row r="721" spans="1:1" ht="12" customHeight="1">
      <c r="A721" s="8"/>
    </row>
    <row r="722" spans="1:1" ht="12" customHeight="1">
      <c r="A722" s="8"/>
    </row>
    <row r="723" spans="1:1" ht="12" customHeight="1">
      <c r="A723" s="8"/>
    </row>
    <row r="724" spans="1:1" ht="12" customHeight="1">
      <c r="A724" s="8"/>
    </row>
    <row r="725" spans="1:1" ht="12" customHeight="1">
      <c r="A725" s="8"/>
    </row>
    <row r="726" spans="1:1" ht="12" customHeight="1">
      <c r="A726" s="8"/>
    </row>
    <row r="727" spans="1:1" ht="12" customHeight="1">
      <c r="A727" s="8"/>
    </row>
    <row r="728" spans="1:1" ht="12" customHeight="1">
      <c r="A728" s="8"/>
    </row>
    <row r="729" spans="1:1" ht="12" customHeight="1">
      <c r="A729" s="8"/>
    </row>
    <row r="730" spans="1:1" ht="12" customHeight="1">
      <c r="A730" s="8"/>
    </row>
    <row r="731" spans="1:1" ht="12" customHeight="1">
      <c r="A731" s="8"/>
    </row>
    <row r="732" spans="1:1" ht="12" customHeight="1">
      <c r="A732" s="8"/>
    </row>
    <row r="733" spans="1:1" ht="12" customHeight="1">
      <c r="A733" s="8"/>
    </row>
    <row r="734" spans="1:1" ht="12" customHeight="1">
      <c r="A734" s="8"/>
    </row>
    <row r="735" spans="1:1" ht="12" customHeight="1">
      <c r="A735" s="8"/>
    </row>
    <row r="736" spans="1:1" ht="12" customHeight="1">
      <c r="A736" s="8"/>
    </row>
    <row r="737" spans="1:1" ht="12" customHeight="1">
      <c r="A737" s="8"/>
    </row>
    <row r="738" spans="1:1" ht="12" customHeight="1">
      <c r="A738" s="8"/>
    </row>
    <row r="739" spans="1:1" ht="12" customHeight="1">
      <c r="A739" s="8"/>
    </row>
    <row r="740" spans="1:1" ht="12" customHeight="1">
      <c r="A740" s="8"/>
    </row>
    <row r="741" spans="1:1" ht="12" customHeight="1">
      <c r="A741" s="8"/>
    </row>
    <row r="742" spans="1:1" ht="12" customHeight="1">
      <c r="A742" s="8"/>
    </row>
    <row r="743" spans="1:1" ht="12" customHeight="1">
      <c r="A743" s="8"/>
    </row>
    <row r="744" spans="1:1" ht="12" customHeight="1">
      <c r="A744" s="8"/>
    </row>
    <row r="745" spans="1:1" ht="12" customHeight="1">
      <c r="A745" s="8"/>
    </row>
    <row r="746" spans="1:1" ht="12" customHeight="1">
      <c r="A746" s="8"/>
    </row>
    <row r="747" spans="1:1" ht="12" customHeight="1">
      <c r="A747" s="8"/>
    </row>
    <row r="748" spans="1:1" ht="12" customHeight="1">
      <c r="A748" s="8"/>
    </row>
    <row r="749" spans="1:1" ht="12" customHeight="1">
      <c r="A749" s="8"/>
    </row>
    <row r="750" spans="1:1" ht="12" customHeight="1">
      <c r="A750" s="8"/>
    </row>
    <row r="751" spans="1:1" ht="12" customHeight="1">
      <c r="A751" s="8"/>
    </row>
    <row r="752" spans="1:1" ht="12" customHeight="1">
      <c r="A752" s="8"/>
    </row>
    <row r="753" spans="1:1" ht="12" customHeight="1">
      <c r="A753" s="8"/>
    </row>
    <row r="754" spans="1:1" ht="12" customHeight="1">
      <c r="A754" s="8"/>
    </row>
    <row r="755" spans="1:1" ht="12" customHeight="1">
      <c r="A755" s="8"/>
    </row>
    <row r="756" spans="1:1" ht="12" customHeight="1">
      <c r="A756" s="8"/>
    </row>
    <row r="757" spans="1:1" ht="12" customHeight="1">
      <c r="A757" s="8"/>
    </row>
    <row r="758" spans="1:1" ht="12" customHeight="1">
      <c r="A758" s="8"/>
    </row>
    <row r="759" spans="1:1" ht="12" customHeight="1">
      <c r="A759" s="8"/>
    </row>
    <row r="760" spans="1:1" ht="12" customHeight="1">
      <c r="A760" s="8"/>
    </row>
    <row r="761" spans="1:1" ht="12" customHeight="1">
      <c r="A761" s="8"/>
    </row>
    <row r="762" spans="1:1" ht="12" customHeight="1">
      <c r="A762" s="8"/>
    </row>
    <row r="763" spans="1:1" ht="12" customHeight="1">
      <c r="A763" s="8"/>
    </row>
    <row r="764" spans="1:1" ht="12" customHeight="1">
      <c r="A764" s="8"/>
    </row>
    <row r="765" spans="1:1" ht="12" customHeight="1">
      <c r="A765" s="8"/>
    </row>
    <row r="766" spans="1:1" ht="12" customHeight="1">
      <c r="A766" s="8"/>
    </row>
    <row r="767" spans="1:1" ht="12" customHeight="1">
      <c r="A767" s="8"/>
    </row>
    <row r="768" spans="1:1" ht="12" customHeight="1">
      <c r="A768" s="8"/>
    </row>
    <row r="769" spans="1:1" ht="12" customHeight="1">
      <c r="A769" s="8"/>
    </row>
    <row r="770" spans="1:1" ht="12" customHeight="1">
      <c r="A770" s="8"/>
    </row>
    <row r="771" spans="1:1" ht="12" customHeight="1">
      <c r="A771" s="8"/>
    </row>
    <row r="772" spans="1:1" ht="12" customHeight="1">
      <c r="A772" s="8"/>
    </row>
    <row r="773" spans="1:1" ht="12" customHeight="1">
      <c r="A773" s="8"/>
    </row>
    <row r="774" spans="1:1" ht="12" customHeight="1">
      <c r="A774" s="8"/>
    </row>
    <row r="775" spans="1:1" ht="12" customHeight="1">
      <c r="A775" s="8"/>
    </row>
    <row r="776" spans="1:1" ht="12" customHeight="1">
      <c r="A776" s="8"/>
    </row>
    <row r="777" spans="1:1" ht="12" customHeight="1">
      <c r="A777" s="8"/>
    </row>
    <row r="778" spans="1:1" ht="12" customHeight="1">
      <c r="A778" s="8"/>
    </row>
    <row r="779" spans="1:1" ht="12" customHeight="1">
      <c r="A779" s="8"/>
    </row>
    <row r="780" spans="1:1" ht="12" customHeight="1">
      <c r="A780" s="8"/>
    </row>
    <row r="781" spans="1:1" ht="12" customHeight="1">
      <c r="A781" s="8"/>
    </row>
    <row r="782" spans="1:1" ht="12" customHeight="1">
      <c r="A782" s="8"/>
    </row>
    <row r="783" spans="1:1" ht="12" customHeight="1">
      <c r="A783" s="8"/>
    </row>
    <row r="784" spans="1:1" ht="12" customHeight="1">
      <c r="A784" s="8"/>
    </row>
    <row r="785" spans="1:1" ht="12" customHeight="1">
      <c r="A785" s="8"/>
    </row>
    <row r="786" spans="1:1" ht="12" customHeight="1">
      <c r="A786" s="8"/>
    </row>
    <row r="787" spans="1:1" ht="12" customHeight="1">
      <c r="A787" s="8"/>
    </row>
    <row r="788" spans="1:1" ht="12" customHeight="1">
      <c r="A788" s="8"/>
    </row>
    <row r="789" spans="1:1" ht="12" customHeight="1">
      <c r="A789" s="8"/>
    </row>
    <row r="790" spans="1:1" ht="12" customHeight="1">
      <c r="A790" s="8"/>
    </row>
    <row r="791" spans="1:1" ht="12" customHeight="1">
      <c r="A791" s="8"/>
    </row>
    <row r="792" spans="1:1" ht="12" customHeight="1">
      <c r="A792" s="8"/>
    </row>
    <row r="793" spans="1:1" ht="12" customHeight="1">
      <c r="A793" s="8"/>
    </row>
    <row r="794" spans="1:1" ht="12" customHeight="1">
      <c r="A794" s="8"/>
    </row>
    <row r="795" spans="1:1" ht="12" customHeight="1">
      <c r="A795" s="8"/>
    </row>
    <row r="796" spans="1:1" ht="12" customHeight="1">
      <c r="A796" s="8"/>
    </row>
    <row r="797" spans="1:1" ht="12" customHeight="1">
      <c r="A797" s="8"/>
    </row>
    <row r="798" spans="1:1" ht="12" customHeight="1">
      <c r="A798" s="8"/>
    </row>
    <row r="799" spans="1:1" ht="12" customHeight="1">
      <c r="A799" s="8"/>
    </row>
    <row r="800" spans="1:1" ht="12" customHeight="1">
      <c r="A800" s="8"/>
    </row>
    <row r="801" spans="1:1" ht="12" customHeight="1">
      <c r="A801" s="8"/>
    </row>
    <row r="802" spans="1:1" ht="12" customHeight="1">
      <c r="A802" s="8"/>
    </row>
    <row r="803" spans="1:1" ht="12" customHeight="1">
      <c r="A803" s="8"/>
    </row>
    <row r="804" spans="1:1" ht="12" customHeight="1">
      <c r="A804" s="8"/>
    </row>
    <row r="805" spans="1:1" ht="12" customHeight="1">
      <c r="A805" s="8"/>
    </row>
    <row r="806" spans="1:1" ht="12" customHeight="1">
      <c r="A806" s="8"/>
    </row>
    <row r="807" spans="1:1" ht="12" customHeight="1">
      <c r="A807" s="8"/>
    </row>
    <row r="808" spans="1:1" ht="12" customHeight="1">
      <c r="A808" s="8"/>
    </row>
    <row r="809" spans="1:1" ht="12" customHeight="1">
      <c r="A809" s="8"/>
    </row>
    <row r="810" spans="1:1" ht="12" customHeight="1">
      <c r="A810" s="8"/>
    </row>
    <row r="811" spans="1:1" ht="12" customHeight="1">
      <c r="A811" s="8"/>
    </row>
    <row r="812" spans="1:1" ht="12" customHeight="1">
      <c r="A812" s="8"/>
    </row>
    <row r="813" spans="1:1" ht="12" customHeight="1">
      <c r="A813" s="8"/>
    </row>
    <row r="814" spans="1:1" ht="12" customHeight="1">
      <c r="A814" s="8"/>
    </row>
    <row r="815" spans="1:1" ht="12" customHeight="1">
      <c r="A815" s="8"/>
    </row>
    <row r="816" spans="1:1" ht="12" customHeight="1">
      <c r="A816" s="8"/>
    </row>
    <row r="817" spans="1:1" ht="12" customHeight="1">
      <c r="A817" s="8"/>
    </row>
    <row r="818" spans="1:1" ht="12" customHeight="1">
      <c r="A818" s="8"/>
    </row>
    <row r="819" spans="1:1" ht="12" customHeight="1">
      <c r="A819" s="8"/>
    </row>
    <row r="820" spans="1:1" ht="12" customHeight="1">
      <c r="A820" s="8"/>
    </row>
    <row r="821" spans="1:1" ht="12" customHeight="1">
      <c r="A821" s="8"/>
    </row>
    <row r="822" spans="1:1" ht="12" customHeight="1">
      <c r="A822" s="8"/>
    </row>
    <row r="823" spans="1:1" ht="12" customHeight="1">
      <c r="A823" s="8"/>
    </row>
    <row r="824" spans="1:1" ht="12" customHeight="1">
      <c r="A824" s="8"/>
    </row>
    <row r="825" spans="1:1" ht="12" customHeight="1">
      <c r="A825" s="8"/>
    </row>
    <row r="826" spans="1:1" ht="12" customHeight="1">
      <c r="A826" s="8"/>
    </row>
    <row r="827" spans="1:1" ht="12" customHeight="1">
      <c r="A827" s="8"/>
    </row>
    <row r="828" spans="1:1" ht="12" customHeight="1">
      <c r="A828" s="8"/>
    </row>
    <row r="829" spans="1:1" ht="12" customHeight="1">
      <c r="A829" s="8"/>
    </row>
    <row r="830" spans="1:1" ht="12" customHeight="1">
      <c r="A830" s="8"/>
    </row>
    <row r="831" spans="1:1" ht="12" customHeight="1">
      <c r="A831" s="8"/>
    </row>
    <row r="832" spans="1:1" ht="12" customHeight="1">
      <c r="A832" s="8"/>
    </row>
    <row r="833" spans="1:1" ht="12" customHeight="1">
      <c r="A833" s="8"/>
    </row>
    <row r="834" spans="1:1" ht="12" customHeight="1">
      <c r="A834" s="8"/>
    </row>
    <row r="835" spans="1:1" ht="12" customHeight="1">
      <c r="A835" s="8"/>
    </row>
    <row r="836" spans="1:1" ht="12" customHeight="1">
      <c r="A836" s="8"/>
    </row>
    <row r="837" spans="1:1" ht="12" customHeight="1">
      <c r="A837" s="8"/>
    </row>
    <row r="838" spans="1:1" ht="12" customHeight="1">
      <c r="A838" s="8"/>
    </row>
    <row r="839" spans="1:1" ht="12" customHeight="1">
      <c r="A839" s="8"/>
    </row>
    <row r="840" spans="1:1" ht="12" customHeight="1">
      <c r="A840" s="8"/>
    </row>
    <row r="841" spans="1:1" ht="12" customHeight="1">
      <c r="A841" s="8"/>
    </row>
    <row r="842" spans="1:1" ht="12" customHeight="1">
      <c r="A842" s="8"/>
    </row>
    <row r="843" spans="1:1" ht="12" customHeight="1">
      <c r="A843" s="8"/>
    </row>
    <row r="844" spans="1:1" ht="12" customHeight="1">
      <c r="A844" s="8"/>
    </row>
    <row r="845" spans="1:1" ht="12" customHeight="1">
      <c r="A845" s="8"/>
    </row>
    <row r="846" spans="1:1" ht="12" customHeight="1">
      <c r="A846" s="8"/>
    </row>
    <row r="847" spans="1:1" ht="12" customHeight="1">
      <c r="A847" s="8"/>
    </row>
    <row r="848" spans="1:1" ht="12" customHeight="1">
      <c r="A848" s="8"/>
    </row>
    <row r="849" spans="1:1" ht="12" customHeight="1">
      <c r="A849" s="8"/>
    </row>
    <row r="850" spans="1:1" ht="12" customHeight="1">
      <c r="A850" s="8"/>
    </row>
    <row r="851" spans="1:1" ht="12" customHeight="1">
      <c r="A851" s="8"/>
    </row>
    <row r="852" spans="1:1" ht="12" customHeight="1">
      <c r="A852" s="8"/>
    </row>
    <row r="853" spans="1:1" ht="12" customHeight="1">
      <c r="A853" s="8"/>
    </row>
    <row r="854" spans="1:1" ht="12" customHeight="1">
      <c r="A854" s="8"/>
    </row>
    <row r="855" spans="1:1" ht="12" customHeight="1">
      <c r="A855" s="8"/>
    </row>
    <row r="856" spans="1:1" ht="12" customHeight="1">
      <c r="A856" s="8"/>
    </row>
    <row r="857" spans="1:1" ht="12" customHeight="1">
      <c r="A857" s="8"/>
    </row>
    <row r="858" spans="1:1" ht="12" customHeight="1">
      <c r="A858" s="8"/>
    </row>
    <row r="859" spans="1:1" ht="12" customHeight="1">
      <c r="A859" s="8"/>
    </row>
    <row r="860" spans="1:1" ht="12" customHeight="1">
      <c r="A860" s="8"/>
    </row>
    <row r="861" spans="1:1" ht="12" customHeight="1">
      <c r="A861" s="8"/>
    </row>
    <row r="862" spans="1:1" ht="12" customHeight="1">
      <c r="A862" s="8"/>
    </row>
    <row r="863" spans="1:1" ht="12" customHeight="1">
      <c r="A863" s="8"/>
    </row>
    <row r="864" spans="1:1" ht="12" customHeight="1">
      <c r="A864" s="8"/>
    </row>
    <row r="865" spans="1:1" ht="12" customHeight="1">
      <c r="A865" s="8"/>
    </row>
    <row r="866" spans="1:1" ht="12" customHeight="1">
      <c r="A866" s="8"/>
    </row>
    <row r="867" spans="1:1" ht="12" customHeight="1">
      <c r="A867" s="8"/>
    </row>
    <row r="868" spans="1:1" ht="12" customHeight="1">
      <c r="A868" s="8"/>
    </row>
    <row r="869" spans="1:1" ht="12" customHeight="1">
      <c r="A869" s="8"/>
    </row>
    <row r="870" spans="1:1" ht="12" customHeight="1">
      <c r="A870" s="8"/>
    </row>
    <row r="871" spans="1:1" ht="12" customHeight="1">
      <c r="A871" s="8"/>
    </row>
    <row r="872" spans="1:1" ht="12" customHeight="1">
      <c r="A872" s="8"/>
    </row>
    <row r="873" spans="1:1" ht="12" customHeight="1">
      <c r="A873" s="8"/>
    </row>
    <row r="874" spans="1:1" ht="12" customHeight="1">
      <c r="A874" s="8"/>
    </row>
    <row r="875" spans="1:1" ht="12" customHeight="1">
      <c r="A875" s="8"/>
    </row>
    <row r="876" spans="1:1" ht="12" customHeight="1">
      <c r="A876" s="8"/>
    </row>
    <row r="877" spans="1:1" ht="12" customHeight="1">
      <c r="A877" s="8"/>
    </row>
    <row r="878" spans="1:1" ht="12" customHeight="1">
      <c r="A878" s="8"/>
    </row>
    <row r="879" spans="1:1" ht="12" customHeight="1">
      <c r="A879" s="8"/>
    </row>
    <row r="880" spans="1:1" ht="12" customHeight="1">
      <c r="A880" s="8"/>
    </row>
    <row r="881" spans="1:1" ht="12" customHeight="1">
      <c r="A881" s="8"/>
    </row>
    <row r="882" spans="1:1" ht="12" customHeight="1">
      <c r="A882" s="8"/>
    </row>
    <row r="883" spans="1:1" ht="12" customHeight="1">
      <c r="A883" s="8"/>
    </row>
    <row r="884" spans="1:1" ht="12" customHeight="1">
      <c r="A884" s="8"/>
    </row>
    <row r="885" spans="1:1" ht="12" customHeight="1">
      <c r="A885" s="8"/>
    </row>
    <row r="886" spans="1:1" ht="12" customHeight="1">
      <c r="A886" s="8"/>
    </row>
    <row r="887" spans="1:1" ht="12" customHeight="1">
      <c r="A887" s="8"/>
    </row>
    <row r="888" spans="1:1" ht="12" customHeight="1">
      <c r="A888" s="8"/>
    </row>
    <row r="889" spans="1:1" ht="12" customHeight="1">
      <c r="A889" s="8"/>
    </row>
    <row r="890" spans="1:1" ht="12" customHeight="1">
      <c r="A890" s="8"/>
    </row>
    <row r="891" spans="1:1" ht="12" customHeight="1">
      <c r="A891" s="8"/>
    </row>
    <row r="892" spans="1:1" ht="12" customHeight="1">
      <c r="A892" s="8"/>
    </row>
    <row r="893" spans="1:1" ht="12" customHeight="1">
      <c r="A893" s="8"/>
    </row>
    <row r="894" spans="1:1" ht="12" customHeight="1">
      <c r="A894" s="8"/>
    </row>
    <row r="895" spans="1:1" ht="12" customHeight="1">
      <c r="A895" s="8"/>
    </row>
    <row r="896" spans="1:1" ht="12" customHeight="1">
      <c r="A896" s="8"/>
    </row>
    <row r="897" spans="1:1" ht="12" customHeight="1">
      <c r="A897" s="8"/>
    </row>
    <row r="898" spans="1:1" ht="12" customHeight="1">
      <c r="A898" s="8"/>
    </row>
    <row r="899" spans="1:1" ht="12" customHeight="1">
      <c r="A899" s="8"/>
    </row>
    <row r="900" spans="1:1" ht="12" customHeight="1">
      <c r="A900" s="8"/>
    </row>
    <row r="901" spans="1:1" ht="12" customHeight="1">
      <c r="A901" s="8"/>
    </row>
    <row r="902" spans="1:1" ht="12" customHeight="1">
      <c r="A902" s="8"/>
    </row>
    <row r="903" spans="1:1" ht="12" customHeight="1">
      <c r="A903" s="8"/>
    </row>
    <row r="904" spans="1:1" ht="12" customHeight="1">
      <c r="A904" s="8"/>
    </row>
    <row r="905" spans="1:1" ht="12" customHeight="1">
      <c r="A905" s="8"/>
    </row>
    <row r="906" spans="1:1" ht="12" customHeight="1">
      <c r="A906" s="8"/>
    </row>
    <row r="907" spans="1:1" ht="12" customHeight="1">
      <c r="A907" s="8"/>
    </row>
    <row r="908" spans="1:1" ht="12" customHeight="1">
      <c r="A908" s="8"/>
    </row>
    <row r="909" spans="1:1" ht="12" customHeight="1">
      <c r="A909" s="8"/>
    </row>
    <row r="910" spans="1:1" ht="12" customHeight="1">
      <c r="A910" s="8"/>
    </row>
    <row r="911" spans="1:1" ht="12" customHeight="1">
      <c r="A911" s="8"/>
    </row>
    <row r="912" spans="1:1" ht="12" customHeight="1">
      <c r="A912" s="8"/>
    </row>
    <row r="913" spans="1:1" ht="12" customHeight="1">
      <c r="A913" s="8"/>
    </row>
    <row r="914" spans="1:1" ht="12" customHeight="1">
      <c r="A914" s="8"/>
    </row>
    <row r="915" spans="1:1" ht="12" customHeight="1">
      <c r="A915" s="8"/>
    </row>
    <row r="916" spans="1:1" ht="12" customHeight="1">
      <c r="A916" s="8"/>
    </row>
    <row r="917" spans="1:1" ht="12" customHeight="1">
      <c r="A917" s="8"/>
    </row>
    <row r="918" spans="1:1" ht="12" customHeight="1">
      <c r="A918" s="8"/>
    </row>
    <row r="919" spans="1:1" ht="12" customHeight="1">
      <c r="A919" s="8"/>
    </row>
    <row r="920" spans="1:1" ht="12" customHeight="1">
      <c r="A920" s="8"/>
    </row>
    <row r="921" spans="1:1" ht="12" customHeight="1">
      <c r="A921" s="8"/>
    </row>
    <row r="922" spans="1:1" ht="12" customHeight="1">
      <c r="A922" s="8"/>
    </row>
    <row r="923" spans="1:1" ht="12" customHeight="1">
      <c r="A923" s="8"/>
    </row>
    <row r="924" spans="1:1" ht="12" customHeight="1">
      <c r="A924" s="8"/>
    </row>
    <row r="925" spans="1:1" ht="12" customHeight="1">
      <c r="A925" s="8"/>
    </row>
    <row r="926" spans="1:1" ht="12" customHeight="1">
      <c r="A926" s="8"/>
    </row>
    <row r="927" spans="1:1" ht="12" customHeight="1">
      <c r="A927" s="8"/>
    </row>
    <row r="928" spans="1:1" ht="12" customHeight="1">
      <c r="A928" s="8"/>
    </row>
    <row r="929" spans="1:1" ht="12" customHeight="1">
      <c r="A929" s="8"/>
    </row>
    <row r="930" spans="1:1" ht="12" customHeight="1">
      <c r="A930" s="8"/>
    </row>
    <row r="931" spans="1:1" ht="12" customHeight="1">
      <c r="A931" s="8"/>
    </row>
    <row r="932" spans="1:1" ht="12" customHeight="1">
      <c r="A932" s="8"/>
    </row>
    <row r="933" spans="1:1" ht="12" customHeight="1">
      <c r="A933" s="8"/>
    </row>
    <row r="934" spans="1:1" ht="12" customHeight="1">
      <c r="A934" s="8"/>
    </row>
    <row r="935" spans="1:1" ht="12" customHeight="1">
      <c r="A935" s="8"/>
    </row>
    <row r="936" spans="1:1" ht="12" customHeight="1">
      <c r="A936" s="8"/>
    </row>
    <row r="937" spans="1:1" ht="12" customHeight="1">
      <c r="A937" s="8"/>
    </row>
    <row r="938" spans="1:1" ht="12" customHeight="1">
      <c r="A938" s="8"/>
    </row>
    <row r="939" spans="1:1" ht="12" customHeight="1">
      <c r="A939" s="8"/>
    </row>
    <row r="940" spans="1:1" ht="12" customHeight="1">
      <c r="A940" s="8"/>
    </row>
    <row r="941" spans="1:1" ht="12" customHeight="1">
      <c r="A941" s="8"/>
    </row>
    <row r="942" spans="1:1" ht="12" customHeight="1">
      <c r="A942" s="8"/>
    </row>
    <row r="943" spans="1:1" ht="12" customHeight="1">
      <c r="A943" s="8"/>
    </row>
    <row r="944" spans="1:1" ht="12" customHeight="1">
      <c r="A944" s="8"/>
    </row>
    <row r="945" spans="1:1" ht="12" customHeight="1">
      <c r="A945" s="8"/>
    </row>
    <row r="946" spans="1:1" ht="12" customHeight="1">
      <c r="A946" s="8"/>
    </row>
    <row r="947" spans="1:1" ht="12" customHeight="1">
      <c r="A947" s="8"/>
    </row>
    <row r="948" spans="1:1" ht="12" customHeight="1">
      <c r="A948" s="8"/>
    </row>
    <row r="949" spans="1:1" ht="12" customHeight="1">
      <c r="A949" s="8"/>
    </row>
    <row r="950" spans="1:1" ht="12" customHeight="1">
      <c r="A950" s="8"/>
    </row>
    <row r="951" spans="1:1" ht="12" customHeight="1">
      <c r="A951" s="8"/>
    </row>
    <row r="952" spans="1:1" ht="12" customHeight="1">
      <c r="A952" s="8"/>
    </row>
    <row r="953" spans="1:1" ht="12" customHeight="1">
      <c r="A953" s="8"/>
    </row>
    <row r="954" spans="1:1" ht="12" customHeight="1">
      <c r="A954" s="8"/>
    </row>
    <row r="955" spans="1:1" ht="12" customHeight="1">
      <c r="A955" s="8"/>
    </row>
    <row r="956" spans="1:1" ht="12" customHeight="1">
      <c r="A956" s="8"/>
    </row>
    <row r="957" spans="1:1" ht="12" customHeight="1">
      <c r="A957" s="8"/>
    </row>
    <row r="958" spans="1:1" ht="12" customHeight="1">
      <c r="A958" s="8"/>
    </row>
    <row r="959" spans="1:1" ht="12" customHeight="1">
      <c r="A959" s="8"/>
    </row>
    <row r="960" spans="1:1" ht="12" customHeight="1">
      <c r="A960" s="8"/>
    </row>
    <row r="961" spans="1:1" ht="12" customHeight="1">
      <c r="A961" s="8"/>
    </row>
    <row r="962" spans="1:1" ht="12" customHeight="1">
      <c r="A962" s="8"/>
    </row>
    <row r="963" spans="1:1" ht="12" customHeight="1">
      <c r="A963" s="8"/>
    </row>
    <row r="964" spans="1:1" ht="12" customHeight="1">
      <c r="A964" s="8"/>
    </row>
    <row r="965" spans="1:1" ht="12" customHeight="1">
      <c r="A965" s="8"/>
    </row>
    <row r="966" spans="1:1" ht="12" customHeight="1">
      <c r="A966" s="8"/>
    </row>
    <row r="967" spans="1:1" ht="12" customHeight="1">
      <c r="A967" s="8"/>
    </row>
    <row r="968" spans="1:1" ht="12" customHeight="1">
      <c r="A968" s="8"/>
    </row>
    <row r="969" spans="1:1" ht="12" customHeight="1">
      <c r="A969" s="8"/>
    </row>
    <row r="970" spans="1:1" ht="12" customHeight="1">
      <c r="A970" s="8"/>
    </row>
    <row r="971" spans="1:1" ht="12" customHeight="1">
      <c r="A971" s="8"/>
    </row>
    <row r="972" spans="1:1" ht="12" customHeight="1">
      <c r="A972" s="8"/>
    </row>
    <row r="973" spans="1:1" ht="12" customHeight="1">
      <c r="A973" s="8"/>
    </row>
    <row r="974" spans="1:1" ht="12" customHeight="1">
      <c r="A974" s="8"/>
    </row>
    <row r="975" spans="1:1" ht="12" customHeight="1">
      <c r="A975" s="8"/>
    </row>
    <row r="976" spans="1:1" ht="12" customHeight="1">
      <c r="A976" s="8"/>
    </row>
    <row r="977" spans="1:1" ht="12" customHeight="1">
      <c r="A977" s="8"/>
    </row>
    <row r="978" spans="1:1" ht="12" customHeight="1">
      <c r="A978" s="8"/>
    </row>
    <row r="979" spans="1:1" ht="12" customHeight="1">
      <c r="A979" s="8"/>
    </row>
    <row r="980" spans="1:1" ht="12" customHeight="1">
      <c r="A980" s="8"/>
    </row>
    <row r="981" spans="1:1" ht="12" customHeight="1">
      <c r="A981" s="8"/>
    </row>
    <row r="982" spans="1:1" ht="12" customHeight="1">
      <c r="A982" s="8"/>
    </row>
    <row r="983" spans="1:1" ht="12" customHeight="1">
      <c r="A983" s="8"/>
    </row>
    <row r="984" spans="1:1" ht="12" customHeight="1">
      <c r="A984" s="8"/>
    </row>
    <row r="985" spans="1:1" ht="12" customHeight="1">
      <c r="A985" s="8"/>
    </row>
    <row r="986" spans="1:1" ht="12" customHeight="1">
      <c r="A986" s="8"/>
    </row>
    <row r="987" spans="1:1" ht="12" customHeight="1">
      <c r="A987" s="8"/>
    </row>
    <row r="988" spans="1:1" ht="12" customHeight="1">
      <c r="A988" s="8"/>
    </row>
    <row r="989" spans="1:1" ht="12" customHeight="1">
      <c r="A989" s="8"/>
    </row>
    <row r="990" spans="1:1" ht="12" customHeight="1">
      <c r="A990" s="8"/>
    </row>
    <row r="991" spans="1:1" ht="12" customHeight="1">
      <c r="A991" s="8"/>
    </row>
    <row r="992" spans="1:1" ht="12" customHeight="1">
      <c r="A992" s="8"/>
    </row>
    <row r="993" spans="1:1" ht="12" customHeight="1">
      <c r="A993" s="8"/>
    </row>
    <row r="994" spans="1:1" ht="12" customHeight="1">
      <c r="A994" s="8"/>
    </row>
    <row r="995" spans="1:1" ht="12" customHeight="1">
      <c r="A995" s="8"/>
    </row>
    <row r="996" spans="1:1" ht="12" customHeight="1">
      <c r="A996" s="8"/>
    </row>
    <row r="997" spans="1:1" ht="12" customHeight="1">
      <c r="A997" s="8"/>
    </row>
  </sheetData>
  <hyperlinks>
    <hyperlink ref="J2" r:id="rId1" xr:uid="{00000000-0004-0000-0300-000000000000}"/>
    <hyperlink ref="H3" r:id="rId2" xr:uid="{00000000-0004-0000-0300-000001000000}"/>
    <hyperlink ref="J3" r:id="rId3" xr:uid="{00000000-0004-0000-0300-000002000000}"/>
    <hyperlink ref="P3" r:id="rId4" xr:uid="{00000000-0004-0000-0300-000003000000}"/>
    <hyperlink ref="J4" r:id="rId5" xr:uid="{00000000-0004-0000-0300-000004000000}"/>
    <hyperlink ref="BK4" r:id="rId6" xr:uid="{00000000-0004-0000-0300-000005000000}"/>
    <hyperlink ref="J5" r:id="rId7" xr:uid="{00000000-0004-0000-0300-000006000000}"/>
    <hyperlink ref="H6" r:id="rId8" xr:uid="{00000000-0004-0000-0300-000007000000}"/>
    <hyperlink ref="J6" r:id="rId9" xr:uid="{00000000-0004-0000-0300-000008000000}"/>
    <hyperlink ref="J7" r:id="rId10" xr:uid="{00000000-0004-0000-0300-000009000000}"/>
    <hyperlink ref="J8" r:id="rId11" xr:uid="{00000000-0004-0000-0300-00000A000000}"/>
    <hyperlink ref="J9" r:id="rId12" xr:uid="{00000000-0004-0000-0300-00000B000000}"/>
    <hyperlink ref="K9" r:id="rId13" xr:uid="{00000000-0004-0000-0300-00000C000000}"/>
    <hyperlink ref="J10" r:id="rId14" xr:uid="{00000000-0004-0000-0300-00000D000000}"/>
    <hyperlink ref="J11" r:id="rId15" xr:uid="{00000000-0004-0000-0300-00000E000000}"/>
    <hyperlink ref="BK11" r:id="rId16" xr:uid="{00000000-0004-0000-0300-00000F000000}"/>
    <hyperlink ref="J12" r:id="rId17" xr:uid="{00000000-0004-0000-0300-000010000000}"/>
    <hyperlink ref="J13" r:id="rId18" xr:uid="{00000000-0004-0000-0300-000011000000}"/>
    <hyperlink ref="H16" r:id="rId19" xr:uid="{00000000-0004-0000-0300-000012000000}"/>
    <hyperlink ref="J16" r:id="rId20" xr:uid="{00000000-0004-0000-0300-000013000000}"/>
    <hyperlink ref="AY16" r:id="rId21" xr:uid="{00000000-0004-0000-0300-000014000000}"/>
    <hyperlink ref="BK16" r:id="rId22" xr:uid="{00000000-0004-0000-0300-000015000000}"/>
    <hyperlink ref="J17" r:id="rId23" xr:uid="{00000000-0004-0000-0300-000016000000}"/>
    <hyperlink ref="H18" r:id="rId24" xr:uid="{00000000-0004-0000-0300-000017000000}"/>
    <hyperlink ref="J18" r:id="rId25" xr:uid="{00000000-0004-0000-0300-000018000000}"/>
    <hyperlink ref="J19" r:id="rId26" xr:uid="{00000000-0004-0000-0300-000019000000}"/>
    <hyperlink ref="BK19" r:id="rId27" xr:uid="{00000000-0004-0000-0300-00001A000000}"/>
    <hyperlink ref="J20" r:id="rId28" xr:uid="{00000000-0004-0000-0300-00001B000000}"/>
    <hyperlink ref="J21" r:id="rId29" xr:uid="{00000000-0004-0000-0300-00001C000000}"/>
    <hyperlink ref="BK21" r:id="rId30" xr:uid="{00000000-0004-0000-0300-00001D000000}"/>
    <hyperlink ref="J22" r:id="rId31" xr:uid="{00000000-0004-0000-0300-00001E000000}"/>
    <hyperlink ref="H23" r:id="rId32" xr:uid="{00000000-0004-0000-0300-00001F000000}"/>
    <hyperlink ref="J23" r:id="rId33" xr:uid="{00000000-0004-0000-0300-000020000000}"/>
    <hyperlink ref="J25" r:id="rId34" xr:uid="{00000000-0004-0000-0300-000021000000}"/>
    <hyperlink ref="J26" r:id="rId35" xr:uid="{00000000-0004-0000-0300-000022000000}"/>
    <hyperlink ref="J27" r:id="rId36" xr:uid="{00000000-0004-0000-0300-000023000000}"/>
  </hyperlinks>
  <pageMargins left="0.7" right="0.7" top="0.75" bottom="0.75" header="0" footer="0"/>
  <pageSetup orientation="landscape"/>
  <legacyDrawing r:id="rId3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3"/>
  <sheetViews>
    <sheetView workbookViewId="0"/>
  </sheetViews>
  <sheetFormatPr defaultColWidth="14.453125" defaultRowHeight="15" customHeight="1"/>
  <sheetData>
    <row r="1" spans="1:1" ht="15" customHeight="1">
      <c r="A1" s="10" t="s">
        <v>891</v>
      </c>
    </row>
    <row r="2" spans="1:1" ht="15" customHeight="1">
      <c r="A2" s="10" t="s">
        <v>898</v>
      </c>
    </row>
    <row r="3" spans="1:1" ht="15" customHeight="1">
      <c r="A3" s="3" t="s">
        <v>904</v>
      </c>
    </row>
  </sheetData>
  <hyperlinks>
    <hyperlink ref="A1" r:id="rId1" xr:uid="{00000000-0004-0000-0400-000000000000}"/>
    <hyperlink ref="A2" r:id="rId2" xr:uid="{00000000-0004-0000-0400-000001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M129"/>
  <sheetViews>
    <sheetView workbookViewId="0"/>
  </sheetViews>
  <sheetFormatPr defaultColWidth="14.453125" defaultRowHeight="15" customHeight="1"/>
  <cols>
    <col min="1" max="1" width="15" customWidth="1"/>
    <col min="6" max="6" width="50.7265625" customWidth="1"/>
    <col min="7" max="7" width="34.7265625" customWidth="1"/>
  </cols>
  <sheetData>
    <row r="1" spans="1:65" ht="15" customHeight="1">
      <c r="A1" s="2" t="s">
        <v>4</v>
      </c>
      <c r="B1" s="2" t="s">
        <v>5</v>
      </c>
      <c r="C1" s="2" t="s">
        <v>6</v>
      </c>
      <c r="D1" s="2" t="s">
        <v>7</v>
      </c>
      <c r="E1" s="2" t="s">
        <v>8</v>
      </c>
      <c r="F1" s="2" t="s">
        <v>9</v>
      </c>
      <c r="G1" s="2" t="s">
        <v>10</v>
      </c>
      <c r="H1" s="2" t="s">
        <v>11</v>
      </c>
      <c r="I1" s="2" t="s">
        <v>12</v>
      </c>
      <c r="J1" s="2" t="s">
        <v>13</v>
      </c>
      <c r="K1" s="2" t="s">
        <v>14</v>
      </c>
      <c r="L1" s="2" t="s">
        <v>15</v>
      </c>
      <c r="M1" s="2" t="s">
        <v>16</v>
      </c>
      <c r="N1" s="2" t="s">
        <v>17</v>
      </c>
      <c r="O1" s="2" t="s">
        <v>18</v>
      </c>
      <c r="P1" s="2" t="s">
        <v>19</v>
      </c>
      <c r="Q1" s="2" t="s">
        <v>20</v>
      </c>
      <c r="R1" s="2" t="s">
        <v>21</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43</v>
      </c>
      <c r="AO1" s="2" t="s">
        <v>44</v>
      </c>
      <c r="AP1" s="2" t="s">
        <v>45</v>
      </c>
      <c r="AQ1" s="2" t="s">
        <v>46</v>
      </c>
      <c r="AR1" s="2" t="s">
        <v>47</v>
      </c>
      <c r="AS1" s="2" t="s">
        <v>48</v>
      </c>
      <c r="AT1" s="2" t="s">
        <v>49</v>
      </c>
      <c r="AU1" s="2" t="s">
        <v>50</v>
      </c>
      <c r="AV1" s="2" t="s">
        <v>51</v>
      </c>
      <c r="AW1" s="2" t="s">
        <v>52</v>
      </c>
      <c r="AX1" s="2" t="s">
        <v>53</v>
      </c>
      <c r="AY1" s="2" t="s">
        <v>54</v>
      </c>
      <c r="AZ1" s="2" t="s">
        <v>55</v>
      </c>
      <c r="BA1" s="2" t="s">
        <v>56</v>
      </c>
      <c r="BB1" s="2" t="s">
        <v>57</v>
      </c>
      <c r="BC1" s="2" t="s">
        <v>58</v>
      </c>
      <c r="BD1" s="2" t="s">
        <v>59</v>
      </c>
      <c r="BE1" s="2" t="s">
        <v>60</v>
      </c>
      <c r="BF1" s="2" t="s">
        <v>61</v>
      </c>
      <c r="BG1" s="2" t="s">
        <v>62</v>
      </c>
      <c r="BH1" s="2" t="s">
        <v>63</v>
      </c>
      <c r="BI1" s="2" t="s">
        <v>64</v>
      </c>
      <c r="BJ1" s="2" t="s">
        <v>65</v>
      </c>
      <c r="BK1" s="2" t="s">
        <v>66</v>
      </c>
      <c r="BL1" s="2" t="s">
        <v>67</v>
      </c>
      <c r="BM1" s="2"/>
    </row>
    <row r="2" spans="1:65" ht="15" customHeight="1">
      <c r="A2" s="22">
        <v>43643.728188368055</v>
      </c>
      <c r="B2" s="2" t="s">
        <v>71</v>
      </c>
      <c r="C2" s="2" t="s">
        <v>72</v>
      </c>
      <c r="D2" s="2" t="s">
        <v>73</v>
      </c>
      <c r="E2" s="2" t="s">
        <v>74</v>
      </c>
      <c r="F2" s="2" t="s">
        <v>75</v>
      </c>
      <c r="G2" s="2" t="s">
        <v>71</v>
      </c>
      <c r="H2" s="2" t="s">
        <v>76</v>
      </c>
      <c r="I2" s="2" t="s">
        <v>77</v>
      </c>
      <c r="J2" s="2" t="s">
        <v>78</v>
      </c>
      <c r="K2" s="2" t="s">
        <v>79</v>
      </c>
      <c r="L2" s="2" t="s">
        <v>80</v>
      </c>
      <c r="M2" s="2" t="s">
        <v>81</v>
      </c>
      <c r="N2" s="23">
        <v>2019</v>
      </c>
      <c r="O2" s="2" t="s">
        <v>82</v>
      </c>
      <c r="P2" s="2" t="s">
        <v>83</v>
      </c>
      <c r="Q2" s="2"/>
      <c r="R2" s="2" t="s">
        <v>84</v>
      </c>
      <c r="S2" s="2" t="s">
        <v>85</v>
      </c>
      <c r="T2" s="2" t="s">
        <v>74</v>
      </c>
      <c r="U2" s="2" t="s">
        <v>86</v>
      </c>
      <c r="V2" s="2" t="s">
        <v>87</v>
      </c>
      <c r="W2" s="2" t="s">
        <v>88</v>
      </c>
      <c r="X2" s="2" t="s">
        <v>83</v>
      </c>
      <c r="Y2" s="2"/>
      <c r="Z2" s="2" t="s">
        <v>89</v>
      </c>
      <c r="AA2" s="2" t="s">
        <v>90</v>
      </c>
      <c r="AB2" s="2" t="s">
        <v>91</v>
      </c>
      <c r="AC2" s="2" t="s">
        <v>92</v>
      </c>
      <c r="AD2" s="2" t="s">
        <v>93</v>
      </c>
      <c r="AE2" s="2" t="s">
        <v>94</v>
      </c>
      <c r="AF2" s="2" t="s">
        <v>95</v>
      </c>
      <c r="AG2" s="2" t="s">
        <v>74</v>
      </c>
      <c r="AH2" s="2" t="s">
        <v>96</v>
      </c>
      <c r="AI2" s="2" t="s">
        <v>74</v>
      </c>
      <c r="AJ2" s="2" t="s">
        <v>74</v>
      </c>
      <c r="AK2" s="2" t="s">
        <v>74</v>
      </c>
      <c r="AL2" s="2" t="s">
        <v>74</v>
      </c>
      <c r="AM2" s="2" t="s">
        <v>74</v>
      </c>
      <c r="AN2" s="2" t="s">
        <v>97</v>
      </c>
      <c r="AO2" s="2" t="s">
        <v>98</v>
      </c>
      <c r="AP2" s="2" t="s">
        <v>99</v>
      </c>
      <c r="AQ2" s="2" t="s">
        <v>100</v>
      </c>
      <c r="AR2" s="2" t="s">
        <v>74</v>
      </c>
      <c r="AS2" s="2" t="s">
        <v>101</v>
      </c>
      <c r="AT2" s="2" t="s">
        <v>102</v>
      </c>
      <c r="AU2" s="2" t="s">
        <v>83</v>
      </c>
      <c r="AV2" s="2"/>
      <c r="AW2" s="2" t="s">
        <v>103</v>
      </c>
      <c r="AX2" s="2" t="s">
        <v>104</v>
      </c>
      <c r="AY2" s="2" t="s">
        <v>105</v>
      </c>
      <c r="AZ2" s="24" t="s">
        <v>106</v>
      </c>
      <c r="BA2" s="2"/>
      <c r="BB2" s="2" t="s">
        <v>107</v>
      </c>
      <c r="BC2" s="2" t="s">
        <v>108</v>
      </c>
      <c r="BD2" s="2" t="s">
        <v>108</v>
      </c>
      <c r="BE2" s="2" t="s">
        <v>74</v>
      </c>
      <c r="BF2" s="2" t="s">
        <v>107</v>
      </c>
      <c r="BG2" s="2"/>
      <c r="BH2" s="2" t="s">
        <v>107</v>
      </c>
      <c r="BI2" s="2" t="s">
        <v>107</v>
      </c>
      <c r="BJ2" s="2"/>
      <c r="BK2" s="2" t="s">
        <v>74</v>
      </c>
      <c r="BL2" s="2"/>
      <c r="BM2" s="2"/>
    </row>
    <row r="3" spans="1:65" ht="15" customHeight="1">
      <c r="A3" s="22">
        <v>43644.461507766202</v>
      </c>
      <c r="B3" s="2" t="s">
        <v>109</v>
      </c>
      <c r="C3" s="2" t="s">
        <v>110</v>
      </c>
      <c r="D3" s="2" t="s">
        <v>111</v>
      </c>
      <c r="E3" s="2" t="s">
        <v>74</v>
      </c>
      <c r="F3" s="25" t="s">
        <v>112</v>
      </c>
      <c r="G3" s="2" t="s">
        <v>109</v>
      </c>
      <c r="H3" s="2" t="s">
        <v>113</v>
      </c>
      <c r="I3" s="2" t="s">
        <v>114</v>
      </c>
      <c r="J3" s="2" t="s">
        <v>115</v>
      </c>
      <c r="K3" s="2" t="s">
        <v>116</v>
      </c>
      <c r="L3" s="2" t="s">
        <v>117</v>
      </c>
      <c r="M3" s="2" t="s">
        <v>118</v>
      </c>
      <c r="N3" s="23">
        <v>2010</v>
      </c>
      <c r="O3" s="2" t="s">
        <v>82</v>
      </c>
      <c r="P3" s="2" t="s">
        <v>95</v>
      </c>
      <c r="Q3" s="2" t="s">
        <v>119</v>
      </c>
      <c r="R3" s="2" t="s">
        <v>84</v>
      </c>
      <c r="S3" s="2" t="s">
        <v>120</v>
      </c>
      <c r="T3" s="2" t="s">
        <v>74</v>
      </c>
      <c r="U3" s="2" t="s">
        <v>121</v>
      </c>
      <c r="V3" s="2" t="s">
        <v>122</v>
      </c>
      <c r="W3" s="2" t="s">
        <v>123</v>
      </c>
      <c r="X3" s="2" t="s">
        <v>74</v>
      </c>
      <c r="Y3" s="2" t="s">
        <v>124</v>
      </c>
      <c r="Z3" s="2" t="s">
        <v>125</v>
      </c>
      <c r="AA3" s="2" t="s">
        <v>126</v>
      </c>
      <c r="AB3" s="2" t="s">
        <v>127</v>
      </c>
      <c r="AC3" s="2" t="s">
        <v>128</v>
      </c>
      <c r="AD3" s="2" t="s">
        <v>129</v>
      </c>
      <c r="AE3" s="2" t="s">
        <v>94</v>
      </c>
      <c r="AF3" s="2" t="s">
        <v>74</v>
      </c>
      <c r="AG3" s="2" t="s">
        <v>74</v>
      </c>
      <c r="AH3" s="2" t="s">
        <v>96</v>
      </c>
      <c r="AI3" s="2" t="s">
        <v>74</v>
      </c>
      <c r="AJ3" s="2" t="s">
        <v>74</v>
      </c>
      <c r="AK3" s="2" t="s">
        <v>107</v>
      </c>
      <c r="AL3" s="2" t="s">
        <v>74</v>
      </c>
      <c r="AM3" s="2" t="s">
        <v>74</v>
      </c>
      <c r="AN3" s="2" t="s">
        <v>97</v>
      </c>
      <c r="AO3" s="2" t="s">
        <v>130</v>
      </c>
      <c r="AP3" s="2" t="s">
        <v>131</v>
      </c>
      <c r="AQ3" s="2" t="s">
        <v>100</v>
      </c>
      <c r="AR3" s="2" t="s">
        <v>74</v>
      </c>
      <c r="AS3" s="2" t="s">
        <v>132</v>
      </c>
      <c r="AT3" s="2" t="s">
        <v>133</v>
      </c>
      <c r="AU3" s="2" t="s">
        <v>83</v>
      </c>
      <c r="AV3" s="2"/>
      <c r="AW3" s="2" t="s">
        <v>103</v>
      </c>
      <c r="AX3" s="2" t="s">
        <v>134</v>
      </c>
      <c r="AY3" s="2" t="s">
        <v>135</v>
      </c>
      <c r="AZ3" s="2" t="s">
        <v>136</v>
      </c>
      <c r="BA3" s="2" t="s">
        <v>137</v>
      </c>
      <c r="BB3" s="2" t="s">
        <v>138</v>
      </c>
      <c r="BC3" s="2" t="s">
        <v>139</v>
      </c>
      <c r="BD3" s="2" t="s">
        <v>140</v>
      </c>
      <c r="BE3" s="2" t="s">
        <v>83</v>
      </c>
      <c r="BF3" s="2" t="s">
        <v>141</v>
      </c>
      <c r="BG3" s="25" t="s">
        <v>142</v>
      </c>
      <c r="BH3" s="2" t="s">
        <v>143</v>
      </c>
      <c r="BI3" s="2" t="s">
        <v>144</v>
      </c>
      <c r="BJ3" s="2"/>
      <c r="BK3" s="2" t="s">
        <v>74</v>
      </c>
      <c r="BL3" s="2"/>
      <c r="BM3" s="2"/>
    </row>
    <row r="4" spans="1:65" ht="15" customHeight="1">
      <c r="A4" s="22">
        <v>43646.843472754626</v>
      </c>
      <c r="B4" s="2" t="s">
        <v>146</v>
      </c>
      <c r="C4" s="2" t="s">
        <v>147</v>
      </c>
      <c r="D4" s="2" t="s">
        <v>148</v>
      </c>
      <c r="E4" s="2" t="s">
        <v>74</v>
      </c>
      <c r="F4" s="25" t="s">
        <v>149</v>
      </c>
      <c r="G4" s="2" t="s">
        <v>150</v>
      </c>
      <c r="H4" s="2" t="s">
        <v>151</v>
      </c>
      <c r="I4" s="2" t="s">
        <v>152</v>
      </c>
      <c r="J4" s="2" t="s">
        <v>153</v>
      </c>
      <c r="K4" s="2" t="s">
        <v>154</v>
      </c>
      <c r="L4" s="2" t="s">
        <v>155</v>
      </c>
      <c r="M4" s="2" t="s">
        <v>118</v>
      </c>
      <c r="N4" s="23">
        <v>2017</v>
      </c>
      <c r="O4" s="2" t="s">
        <v>107</v>
      </c>
      <c r="P4" s="2" t="s">
        <v>83</v>
      </c>
      <c r="Q4" s="2"/>
      <c r="R4" s="2" t="s">
        <v>156</v>
      </c>
      <c r="S4" s="2" t="s">
        <v>157</v>
      </c>
      <c r="T4" s="2" t="s">
        <v>158</v>
      </c>
      <c r="U4" s="2" t="s">
        <v>159</v>
      </c>
      <c r="V4" s="2" t="s">
        <v>160</v>
      </c>
      <c r="W4" s="2" t="s">
        <v>161</v>
      </c>
      <c r="X4" s="2" t="s">
        <v>83</v>
      </c>
      <c r="Y4" s="2"/>
      <c r="Z4" s="2" t="s">
        <v>125</v>
      </c>
      <c r="AA4" s="2" t="s">
        <v>126</v>
      </c>
      <c r="AB4" s="2" t="s">
        <v>127</v>
      </c>
      <c r="AC4" s="2" t="s">
        <v>162</v>
      </c>
      <c r="AD4" s="2" t="s">
        <v>93</v>
      </c>
      <c r="AE4" s="2" t="s">
        <v>163</v>
      </c>
      <c r="AF4" s="2" t="s">
        <v>74</v>
      </c>
      <c r="AG4" s="2" t="s">
        <v>74</v>
      </c>
      <c r="AH4" s="2" t="s">
        <v>164</v>
      </c>
      <c r="AI4" s="2" t="s">
        <v>83</v>
      </c>
      <c r="AJ4" s="2" t="s">
        <v>74</v>
      </c>
      <c r="AK4" s="2" t="s">
        <v>74</v>
      </c>
      <c r="AL4" s="2" t="s">
        <v>74</v>
      </c>
      <c r="AM4" s="2" t="s">
        <v>74</v>
      </c>
      <c r="AN4" s="2" t="s">
        <v>97</v>
      </c>
      <c r="AO4" s="2" t="s">
        <v>92</v>
      </c>
      <c r="AP4" s="2" t="s">
        <v>165</v>
      </c>
      <c r="AQ4" s="2" t="s">
        <v>166</v>
      </c>
      <c r="AR4" s="2" t="s">
        <v>83</v>
      </c>
      <c r="AS4" s="2" t="s">
        <v>101</v>
      </c>
      <c r="AT4" s="2" t="s">
        <v>107</v>
      </c>
      <c r="AU4" s="2" t="s">
        <v>83</v>
      </c>
      <c r="AV4" s="2"/>
      <c r="AW4" s="2" t="s">
        <v>107</v>
      </c>
      <c r="AX4" s="2" t="s">
        <v>167</v>
      </c>
      <c r="AY4" s="2" t="s">
        <v>168</v>
      </c>
      <c r="AZ4" s="2" t="s">
        <v>136</v>
      </c>
      <c r="BA4" s="2" t="s">
        <v>169</v>
      </c>
      <c r="BB4" s="2" t="s">
        <v>170</v>
      </c>
      <c r="BC4" s="2" t="s">
        <v>171</v>
      </c>
      <c r="BD4" s="2" t="s">
        <v>172</v>
      </c>
      <c r="BE4" s="2" t="s">
        <v>74</v>
      </c>
      <c r="BF4" s="2" t="s">
        <v>141</v>
      </c>
      <c r="BG4" s="2"/>
      <c r="BH4" s="2" t="s">
        <v>143</v>
      </c>
      <c r="BI4" s="2" t="s">
        <v>173</v>
      </c>
      <c r="BJ4" s="2"/>
      <c r="BK4" s="2" t="s">
        <v>74</v>
      </c>
      <c r="BL4" s="2"/>
      <c r="BM4" s="2"/>
    </row>
    <row r="5" spans="1:65" ht="15" customHeight="1">
      <c r="A5" s="22">
        <v>43648.642050324073</v>
      </c>
      <c r="B5" s="2" t="s">
        <v>177</v>
      </c>
      <c r="C5" s="2" t="s">
        <v>178</v>
      </c>
      <c r="D5" s="2" t="s">
        <v>179</v>
      </c>
      <c r="E5" s="2" t="s">
        <v>74</v>
      </c>
      <c r="F5" s="25" t="s">
        <v>186</v>
      </c>
      <c r="G5" s="2" t="s">
        <v>178</v>
      </c>
      <c r="H5" s="2" t="s">
        <v>198</v>
      </c>
      <c r="I5" s="2" t="s">
        <v>152</v>
      </c>
      <c r="J5" s="2" t="s">
        <v>199</v>
      </c>
      <c r="K5" s="2" t="s">
        <v>200</v>
      </c>
      <c r="L5" s="2" t="s">
        <v>201</v>
      </c>
      <c r="M5" s="2" t="s">
        <v>81</v>
      </c>
      <c r="N5" s="23">
        <v>2018</v>
      </c>
      <c r="O5" s="2" t="s">
        <v>82</v>
      </c>
      <c r="P5" s="2" t="s">
        <v>74</v>
      </c>
      <c r="Q5" s="2" t="s">
        <v>119</v>
      </c>
      <c r="R5" s="2" t="s">
        <v>202</v>
      </c>
      <c r="S5" s="2" t="s">
        <v>120</v>
      </c>
      <c r="T5" s="2" t="s">
        <v>74</v>
      </c>
      <c r="U5" s="2" t="s">
        <v>203</v>
      </c>
      <c r="V5" s="2" t="s">
        <v>204</v>
      </c>
      <c r="W5" s="2" t="s">
        <v>161</v>
      </c>
      <c r="X5" s="2" t="s">
        <v>107</v>
      </c>
      <c r="Y5" s="2"/>
      <c r="Z5" s="2" t="s">
        <v>205</v>
      </c>
      <c r="AA5" s="2" t="s">
        <v>126</v>
      </c>
      <c r="AB5" s="2" t="s">
        <v>206</v>
      </c>
      <c r="AC5" s="2" t="s">
        <v>207</v>
      </c>
      <c r="AD5" s="2" t="s">
        <v>93</v>
      </c>
      <c r="AE5" s="2" t="s">
        <v>107</v>
      </c>
      <c r="AF5" s="2" t="s">
        <v>74</v>
      </c>
      <c r="AG5" s="2" t="s">
        <v>74</v>
      </c>
      <c r="AH5" s="2" t="s">
        <v>96</v>
      </c>
      <c r="AI5" s="2" t="s">
        <v>208</v>
      </c>
      <c r="AJ5" s="2" t="s">
        <v>74</v>
      </c>
      <c r="AK5" s="2" t="s">
        <v>74</v>
      </c>
      <c r="AL5" s="2" t="s">
        <v>74</v>
      </c>
      <c r="AM5" s="2" t="s">
        <v>74</v>
      </c>
      <c r="AN5" s="2" t="s">
        <v>97</v>
      </c>
      <c r="AO5" s="2" t="s">
        <v>209</v>
      </c>
      <c r="AP5" s="2" t="s">
        <v>210</v>
      </c>
      <c r="AQ5" s="2" t="s">
        <v>210</v>
      </c>
      <c r="AR5" s="2" t="s">
        <v>107</v>
      </c>
      <c r="AS5" s="2" t="s">
        <v>210</v>
      </c>
      <c r="AT5" s="2" t="s">
        <v>210</v>
      </c>
      <c r="AU5" s="2" t="s">
        <v>210</v>
      </c>
      <c r="AV5" s="2"/>
      <c r="AW5" s="2" t="s">
        <v>210</v>
      </c>
      <c r="AX5" s="2" t="s">
        <v>211</v>
      </c>
      <c r="AY5" s="2" t="s">
        <v>168</v>
      </c>
      <c r="AZ5" s="2" t="s">
        <v>168</v>
      </c>
      <c r="BA5" s="2"/>
      <c r="BB5" s="2" t="s">
        <v>212</v>
      </c>
      <c r="BC5" s="2" t="s">
        <v>139</v>
      </c>
      <c r="BD5" s="2" t="s">
        <v>139</v>
      </c>
      <c r="BE5" s="2" t="s">
        <v>74</v>
      </c>
      <c r="BF5" s="2" t="s">
        <v>141</v>
      </c>
      <c r="BG5" s="2"/>
      <c r="BH5" s="2" t="s">
        <v>213</v>
      </c>
      <c r="BI5" s="2" t="s">
        <v>107</v>
      </c>
      <c r="BJ5" s="2"/>
      <c r="BK5" s="2" t="s">
        <v>74</v>
      </c>
      <c r="BL5" s="2"/>
      <c r="BM5" s="2"/>
    </row>
    <row r="6" spans="1:65" ht="15" customHeight="1">
      <c r="A6" s="22">
        <v>43648.783036539353</v>
      </c>
      <c r="B6" s="2" t="s">
        <v>215</v>
      </c>
      <c r="C6" s="2" t="s">
        <v>216</v>
      </c>
      <c r="D6" s="25" t="s">
        <v>217</v>
      </c>
      <c r="E6" s="2" t="s">
        <v>74</v>
      </c>
      <c r="F6" s="2" t="s">
        <v>218</v>
      </c>
      <c r="G6" s="2" t="s">
        <v>219</v>
      </c>
      <c r="H6" s="2" t="s">
        <v>1036</v>
      </c>
      <c r="I6" s="2" t="s">
        <v>152</v>
      </c>
      <c r="J6" s="2" t="s">
        <v>199</v>
      </c>
      <c r="K6" s="2" t="s">
        <v>221</v>
      </c>
      <c r="L6" s="2" t="s">
        <v>222</v>
      </c>
      <c r="M6" s="2" t="s">
        <v>81</v>
      </c>
      <c r="N6" s="23">
        <v>2013</v>
      </c>
      <c r="O6" s="2" t="s">
        <v>82</v>
      </c>
      <c r="P6" s="2" t="s">
        <v>95</v>
      </c>
      <c r="Q6" s="2" t="s">
        <v>223</v>
      </c>
      <c r="R6" s="2" t="s">
        <v>84</v>
      </c>
      <c r="S6" s="2" t="s">
        <v>120</v>
      </c>
      <c r="T6" s="2" t="s">
        <v>74</v>
      </c>
      <c r="U6" s="2" t="s">
        <v>224</v>
      </c>
      <c r="V6" s="2" t="s">
        <v>190</v>
      </c>
      <c r="W6" s="2" t="s">
        <v>88</v>
      </c>
      <c r="X6" s="24" t="s">
        <v>225</v>
      </c>
      <c r="Y6" s="2"/>
      <c r="Z6" s="2" t="s">
        <v>89</v>
      </c>
      <c r="AA6" s="2" t="s">
        <v>90</v>
      </c>
      <c r="AB6" s="2" t="s">
        <v>226</v>
      </c>
      <c r="AC6" s="2" t="s">
        <v>227</v>
      </c>
      <c r="AD6" s="2" t="s">
        <v>93</v>
      </c>
      <c r="AE6" s="2" t="s">
        <v>163</v>
      </c>
      <c r="AF6" s="2" t="s">
        <v>74</v>
      </c>
      <c r="AG6" s="2" t="s">
        <v>74</v>
      </c>
      <c r="AH6" s="2" t="s">
        <v>228</v>
      </c>
      <c r="AI6" s="2" t="s">
        <v>74</v>
      </c>
      <c r="AJ6" s="2" t="s">
        <v>95</v>
      </c>
      <c r="AK6" s="2" t="s">
        <v>83</v>
      </c>
      <c r="AL6" s="2" t="s">
        <v>74</v>
      </c>
      <c r="AM6" s="2" t="s">
        <v>74</v>
      </c>
      <c r="AN6" s="2" t="s">
        <v>97</v>
      </c>
      <c r="AO6" s="2" t="s">
        <v>130</v>
      </c>
      <c r="AP6" s="2" t="s">
        <v>229</v>
      </c>
      <c r="AQ6" s="2" t="s">
        <v>230</v>
      </c>
      <c r="AR6" s="2" t="s">
        <v>74</v>
      </c>
      <c r="AS6" s="2" t="s">
        <v>231</v>
      </c>
      <c r="AT6" s="2" t="s">
        <v>102</v>
      </c>
      <c r="AU6" s="2" t="s">
        <v>83</v>
      </c>
      <c r="AV6" s="2"/>
      <c r="AW6" s="2" t="s">
        <v>103</v>
      </c>
      <c r="AX6" s="2" t="s">
        <v>233</v>
      </c>
      <c r="AY6" s="2" t="s">
        <v>233</v>
      </c>
      <c r="AZ6" s="2" t="s">
        <v>233</v>
      </c>
      <c r="BA6" s="2"/>
      <c r="BB6" s="2" t="s">
        <v>138</v>
      </c>
      <c r="BC6" s="2" t="s">
        <v>234</v>
      </c>
      <c r="BD6" s="2" t="s">
        <v>235</v>
      </c>
      <c r="BE6" s="2" t="s">
        <v>83</v>
      </c>
      <c r="BF6" s="2" t="s">
        <v>141</v>
      </c>
      <c r="BG6" s="25" t="s">
        <v>236</v>
      </c>
      <c r="BH6" s="2" t="s">
        <v>237</v>
      </c>
      <c r="BI6" s="2" t="s">
        <v>238</v>
      </c>
      <c r="BJ6" s="2"/>
      <c r="BK6" s="2" t="s">
        <v>74</v>
      </c>
      <c r="BL6" s="2"/>
      <c r="BM6" s="2"/>
    </row>
    <row r="7" spans="1:65" ht="15" customHeight="1">
      <c r="A7" s="22">
        <v>43650.731530381949</v>
      </c>
      <c r="B7" s="2" t="s">
        <v>247</v>
      </c>
      <c r="C7" s="2" t="s">
        <v>248</v>
      </c>
      <c r="D7" s="2" t="s">
        <v>249</v>
      </c>
      <c r="E7" s="2" t="s">
        <v>83</v>
      </c>
      <c r="F7" s="25" t="s">
        <v>250</v>
      </c>
      <c r="G7" s="2" t="s">
        <v>251</v>
      </c>
      <c r="H7" s="2" t="s">
        <v>1062</v>
      </c>
      <c r="I7" s="2" t="s">
        <v>152</v>
      </c>
      <c r="J7" s="2" t="s">
        <v>199</v>
      </c>
      <c r="K7" s="2" t="s">
        <v>253</v>
      </c>
      <c r="L7" s="2" t="s">
        <v>254</v>
      </c>
      <c r="M7" s="2" t="s">
        <v>255</v>
      </c>
      <c r="N7" s="23">
        <v>2017</v>
      </c>
      <c r="O7" s="2" t="s">
        <v>82</v>
      </c>
      <c r="P7" s="2" t="s">
        <v>74</v>
      </c>
      <c r="Q7" s="2" t="s">
        <v>256</v>
      </c>
      <c r="R7" s="2" t="s">
        <v>257</v>
      </c>
      <c r="S7" s="2" t="s">
        <v>258</v>
      </c>
      <c r="T7" s="2" t="s">
        <v>74</v>
      </c>
      <c r="U7" s="2" t="s">
        <v>259</v>
      </c>
      <c r="V7" s="2" t="s">
        <v>260</v>
      </c>
      <c r="W7" s="2" t="s">
        <v>261</v>
      </c>
      <c r="X7" s="2" t="s">
        <v>74</v>
      </c>
      <c r="Y7" s="2" t="s">
        <v>262</v>
      </c>
      <c r="Z7" s="2" t="s">
        <v>205</v>
      </c>
      <c r="AA7" s="2" t="s">
        <v>126</v>
      </c>
      <c r="AB7" s="2" t="s">
        <v>263</v>
      </c>
      <c r="AC7" s="2" t="s">
        <v>162</v>
      </c>
      <c r="AD7" s="2" t="s">
        <v>93</v>
      </c>
      <c r="AE7" s="2" t="s">
        <v>264</v>
      </c>
      <c r="AF7" s="2" t="s">
        <v>74</v>
      </c>
      <c r="AG7" s="2" t="s">
        <v>74</v>
      </c>
      <c r="AH7" s="2" t="s">
        <v>265</v>
      </c>
      <c r="AI7" s="2" t="s">
        <v>83</v>
      </c>
      <c r="AJ7" s="2" t="s">
        <v>95</v>
      </c>
      <c r="AK7" s="2" t="s">
        <v>74</v>
      </c>
      <c r="AL7" s="2" t="s">
        <v>74</v>
      </c>
      <c r="AM7" s="2" t="s">
        <v>74</v>
      </c>
      <c r="AN7" s="2" t="s">
        <v>97</v>
      </c>
      <c r="AO7" s="2" t="s">
        <v>92</v>
      </c>
      <c r="AP7" s="2" t="s">
        <v>266</v>
      </c>
      <c r="AQ7" s="2" t="s">
        <v>267</v>
      </c>
      <c r="AR7" s="2" t="s">
        <v>74</v>
      </c>
      <c r="AS7" s="2" t="s">
        <v>101</v>
      </c>
      <c r="AT7" s="2" t="s">
        <v>107</v>
      </c>
      <c r="AU7" s="2" t="s">
        <v>107</v>
      </c>
      <c r="AV7" s="2"/>
      <c r="AW7" s="2" t="s">
        <v>107</v>
      </c>
      <c r="AX7" s="2" t="s">
        <v>268</v>
      </c>
      <c r="AY7" s="2" t="s">
        <v>168</v>
      </c>
      <c r="AZ7" s="2" t="s">
        <v>269</v>
      </c>
      <c r="BA7" s="2"/>
      <c r="BB7" s="2" t="s">
        <v>233</v>
      </c>
      <c r="BC7" s="2" t="s">
        <v>233</v>
      </c>
      <c r="BD7" s="2" t="s">
        <v>171</v>
      </c>
      <c r="BE7" s="2" t="s">
        <v>233</v>
      </c>
      <c r="BF7" s="2" t="s">
        <v>270</v>
      </c>
      <c r="BG7" s="2"/>
      <c r="BH7" s="2" t="s">
        <v>271</v>
      </c>
      <c r="BI7" s="2" t="s">
        <v>272</v>
      </c>
      <c r="BJ7" s="2"/>
      <c r="BK7" s="2" t="s">
        <v>74</v>
      </c>
      <c r="BL7" s="2"/>
      <c r="BM7" s="2"/>
    </row>
    <row r="8" spans="1:65" ht="15" customHeight="1">
      <c r="A8" s="22">
        <v>43651.924175659718</v>
      </c>
      <c r="B8" s="2" t="s">
        <v>273</v>
      </c>
      <c r="C8" s="2" t="s">
        <v>274</v>
      </c>
      <c r="D8" s="2" t="s">
        <v>275</v>
      </c>
      <c r="E8" s="2" t="s">
        <v>74</v>
      </c>
      <c r="F8" s="25" t="s">
        <v>276</v>
      </c>
      <c r="G8" s="2" t="s">
        <v>273</v>
      </c>
      <c r="H8" s="2" t="s">
        <v>1080</v>
      </c>
      <c r="I8" s="2" t="s">
        <v>77</v>
      </c>
      <c r="J8" s="2" t="s">
        <v>278</v>
      </c>
      <c r="K8" s="2" t="s">
        <v>279</v>
      </c>
      <c r="L8" s="2" t="s">
        <v>280</v>
      </c>
      <c r="M8" s="2" t="s">
        <v>81</v>
      </c>
      <c r="N8" s="23">
        <v>2017</v>
      </c>
      <c r="O8" s="23">
        <v>2017</v>
      </c>
      <c r="P8" s="2" t="s">
        <v>83</v>
      </c>
      <c r="Q8" s="2" t="s">
        <v>282</v>
      </c>
      <c r="R8" s="2" t="s">
        <v>84</v>
      </c>
      <c r="S8" s="2" t="s">
        <v>283</v>
      </c>
      <c r="T8" s="2" t="s">
        <v>74</v>
      </c>
      <c r="U8" s="2" t="s">
        <v>86</v>
      </c>
      <c r="V8" s="2" t="s">
        <v>190</v>
      </c>
      <c r="W8" s="2" t="s">
        <v>161</v>
      </c>
      <c r="X8" s="2" t="s">
        <v>74</v>
      </c>
      <c r="Y8" s="2" t="s">
        <v>74</v>
      </c>
      <c r="Z8" s="2" t="s">
        <v>89</v>
      </c>
      <c r="AA8" s="2" t="s">
        <v>126</v>
      </c>
      <c r="AB8" s="2" t="s">
        <v>32</v>
      </c>
      <c r="AC8" s="2" t="s">
        <v>92</v>
      </c>
      <c r="AD8" s="2" t="s">
        <v>284</v>
      </c>
      <c r="AE8" s="2" t="s">
        <v>264</v>
      </c>
      <c r="AF8" s="2" t="s">
        <v>74</v>
      </c>
      <c r="AG8" s="2" t="s">
        <v>74</v>
      </c>
      <c r="AH8" s="2" t="s">
        <v>164</v>
      </c>
      <c r="AI8" s="2" t="s">
        <v>83</v>
      </c>
      <c r="AJ8" s="2" t="s">
        <v>74</v>
      </c>
      <c r="AK8" s="2" t="s">
        <v>74</v>
      </c>
      <c r="AL8" s="2" t="s">
        <v>74</v>
      </c>
      <c r="AM8" s="2" t="s">
        <v>74</v>
      </c>
      <c r="AN8" s="2" t="s">
        <v>97</v>
      </c>
      <c r="AO8" s="2" t="s">
        <v>92</v>
      </c>
      <c r="AP8" s="2" t="s">
        <v>285</v>
      </c>
      <c r="AQ8" s="2" t="s">
        <v>233</v>
      </c>
      <c r="AR8" s="2" t="s">
        <v>74</v>
      </c>
      <c r="AS8" s="2" t="s">
        <v>101</v>
      </c>
      <c r="AT8" s="2" t="s">
        <v>286</v>
      </c>
      <c r="AU8" s="2" t="s">
        <v>74</v>
      </c>
      <c r="AV8" s="2"/>
      <c r="AW8" s="2" t="s">
        <v>233</v>
      </c>
      <c r="AX8" s="2" t="s">
        <v>287</v>
      </c>
      <c r="AY8" s="2" t="s">
        <v>288</v>
      </c>
      <c r="AZ8" s="2" t="s">
        <v>233</v>
      </c>
      <c r="BA8" s="2" t="s">
        <v>69</v>
      </c>
      <c r="BB8" s="2" t="s">
        <v>233</v>
      </c>
      <c r="BC8" s="2" t="s">
        <v>234</v>
      </c>
      <c r="BD8" s="2" t="s">
        <v>172</v>
      </c>
      <c r="BE8" s="2" t="s">
        <v>74</v>
      </c>
      <c r="BF8" s="2" t="s">
        <v>141</v>
      </c>
      <c r="BG8" s="2"/>
      <c r="BH8" s="2" t="s">
        <v>143</v>
      </c>
      <c r="BI8" s="2" t="s">
        <v>238</v>
      </c>
      <c r="BJ8" s="2"/>
      <c r="BK8" s="2" t="s">
        <v>74</v>
      </c>
      <c r="BL8" s="2"/>
      <c r="BM8" s="2"/>
    </row>
    <row r="9" spans="1:65" ht="15" customHeight="1">
      <c r="A9" s="22">
        <v>43656.512883159725</v>
      </c>
      <c r="B9" s="2" t="s">
        <v>290</v>
      </c>
      <c r="C9" s="2" t="s">
        <v>291</v>
      </c>
      <c r="D9" s="2" t="s">
        <v>1100</v>
      </c>
      <c r="E9" s="2" t="s">
        <v>83</v>
      </c>
      <c r="F9" s="25" t="s">
        <v>292</v>
      </c>
      <c r="G9" s="2" t="s">
        <v>293</v>
      </c>
      <c r="H9" s="2" t="s">
        <v>1102</v>
      </c>
      <c r="I9" s="2" t="s">
        <v>152</v>
      </c>
      <c r="J9" s="2" t="s">
        <v>295</v>
      </c>
      <c r="K9" s="2" t="s">
        <v>296</v>
      </c>
      <c r="L9" s="2" t="s">
        <v>297</v>
      </c>
      <c r="M9" s="2" t="s">
        <v>298</v>
      </c>
      <c r="N9" s="23">
        <v>2014</v>
      </c>
      <c r="O9" s="2" t="s">
        <v>82</v>
      </c>
      <c r="P9" s="2" t="s">
        <v>74</v>
      </c>
      <c r="Q9" s="2" t="s">
        <v>299</v>
      </c>
      <c r="R9" s="2" t="s">
        <v>300</v>
      </c>
      <c r="S9" s="2" t="s">
        <v>258</v>
      </c>
      <c r="T9" s="2" t="s">
        <v>74</v>
      </c>
      <c r="U9" s="2" t="s">
        <v>301</v>
      </c>
      <c r="V9" s="2" t="s">
        <v>122</v>
      </c>
      <c r="W9" s="2" t="s">
        <v>261</v>
      </c>
      <c r="X9" s="2" t="s">
        <v>74</v>
      </c>
      <c r="Y9" s="2" t="s">
        <v>302</v>
      </c>
      <c r="Z9" s="2" t="s">
        <v>303</v>
      </c>
      <c r="AA9" s="2" t="s">
        <v>90</v>
      </c>
      <c r="AB9" s="2" t="s">
        <v>304</v>
      </c>
      <c r="AC9" s="2" t="s">
        <v>305</v>
      </c>
      <c r="AD9" s="2" t="s">
        <v>93</v>
      </c>
      <c r="AE9" s="2" t="s">
        <v>94</v>
      </c>
      <c r="AF9" s="2" t="s">
        <v>74</v>
      </c>
      <c r="AG9" s="2" t="s">
        <v>74</v>
      </c>
      <c r="AH9" s="2" t="s">
        <v>306</v>
      </c>
      <c r="AI9" s="2" t="s">
        <v>74</v>
      </c>
      <c r="AJ9" s="2" t="s">
        <v>74</v>
      </c>
      <c r="AK9" s="2" t="s">
        <v>74</v>
      </c>
      <c r="AL9" s="2" t="s">
        <v>74</v>
      </c>
      <c r="AM9" s="2" t="s">
        <v>74</v>
      </c>
      <c r="AN9" s="2" t="s">
        <v>97</v>
      </c>
      <c r="AO9" s="2" t="s">
        <v>307</v>
      </c>
      <c r="AP9" s="2" t="s">
        <v>308</v>
      </c>
      <c r="AQ9" s="2" t="s">
        <v>309</v>
      </c>
      <c r="AR9" s="2" t="s">
        <v>74</v>
      </c>
      <c r="AS9" s="2" t="s">
        <v>310</v>
      </c>
      <c r="AT9" s="2" t="s">
        <v>107</v>
      </c>
      <c r="AU9" s="24" t="s">
        <v>311</v>
      </c>
      <c r="AV9" s="2"/>
      <c r="AW9" s="2" t="s">
        <v>103</v>
      </c>
      <c r="AX9" s="2" t="s">
        <v>312</v>
      </c>
      <c r="AY9" s="2" t="s">
        <v>105</v>
      </c>
      <c r="AZ9" s="2" t="s">
        <v>313</v>
      </c>
      <c r="BA9" s="2"/>
      <c r="BB9" s="2" t="s">
        <v>107</v>
      </c>
      <c r="BC9" s="2" t="s">
        <v>314</v>
      </c>
      <c r="BD9" s="2" t="s">
        <v>315</v>
      </c>
      <c r="BE9" s="2" t="s">
        <v>74</v>
      </c>
      <c r="BF9" s="2" t="s">
        <v>316</v>
      </c>
      <c r="BG9" s="2"/>
      <c r="BH9" s="2" t="s">
        <v>143</v>
      </c>
      <c r="BI9" s="2" t="s">
        <v>238</v>
      </c>
      <c r="BJ9" s="2"/>
      <c r="BK9" s="2" t="s">
        <v>74</v>
      </c>
      <c r="BL9" s="2"/>
      <c r="BM9" s="2"/>
    </row>
    <row r="10" spans="1:65" ht="15" customHeight="1">
      <c r="A10" s="22">
        <v>43656.768682199079</v>
      </c>
      <c r="B10" s="2" t="s">
        <v>317</v>
      </c>
      <c r="C10" s="2" t="s">
        <v>318</v>
      </c>
      <c r="D10" s="2" t="s">
        <v>319</v>
      </c>
      <c r="E10" s="2" t="s">
        <v>83</v>
      </c>
      <c r="F10" s="25" t="s">
        <v>321</v>
      </c>
      <c r="G10" s="2" t="s">
        <v>317</v>
      </c>
      <c r="H10" s="2" t="s">
        <v>327</v>
      </c>
      <c r="I10" s="2" t="s">
        <v>328</v>
      </c>
      <c r="J10" s="2" t="s">
        <v>295</v>
      </c>
      <c r="K10" s="2" t="s">
        <v>330</v>
      </c>
      <c r="L10" s="2" t="s">
        <v>331</v>
      </c>
      <c r="M10" s="2" t="s">
        <v>118</v>
      </c>
      <c r="N10" s="23">
        <v>2015</v>
      </c>
      <c r="O10" s="2" t="s">
        <v>82</v>
      </c>
      <c r="P10" s="2" t="s">
        <v>74</v>
      </c>
      <c r="Q10" s="2" t="s">
        <v>256</v>
      </c>
      <c r="R10" s="2" t="s">
        <v>84</v>
      </c>
      <c r="S10" s="2" t="s">
        <v>332</v>
      </c>
      <c r="T10" s="2" t="s">
        <v>74</v>
      </c>
      <c r="U10" s="2" t="s">
        <v>333</v>
      </c>
      <c r="V10" s="2" t="s">
        <v>260</v>
      </c>
      <c r="W10" s="2" t="s">
        <v>261</v>
      </c>
      <c r="X10" s="2" t="s">
        <v>107</v>
      </c>
      <c r="Y10" s="2"/>
      <c r="Z10" s="2" t="s">
        <v>89</v>
      </c>
      <c r="AA10" s="2" t="s">
        <v>126</v>
      </c>
      <c r="AB10" s="2" t="s">
        <v>334</v>
      </c>
      <c r="AC10" s="2" t="s">
        <v>162</v>
      </c>
      <c r="AD10" s="2" t="s">
        <v>284</v>
      </c>
      <c r="AE10" s="2" t="s">
        <v>163</v>
      </c>
      <c r="AF10" s="2" t="s">
        <v>74</v>
      </c>
      <c r="AG10" s="2" t="s">
        <v>83</v>
      </c>
      <c r="AH10" s="2" t="s">
        <v>284</v>
      </c>
      <c r="AI10" s="2" t="s">
        <v>74</v>
      </c>
      <c r="AJ10" s="2" t="s">
        <v>74</v>
      </c>
      <c r="AK10" s="2" t="s">
        <v>74</v>
      </c>
      <c r="AL10" s="2" t="s">
        <v>74</v>
      </c>
      <c r="AM10" s="2" t="s">
        <v>74</v>
      </c>
      <c r="AN10" s="2" t="s">
        <v>97</v>
      </c>
      <c r="AO10" s="2" t="s">
        <v>130</v>
      </c>
      <c r="AP10" s="2" t="s">
        <v>308</v>
      </c>
      <c r="AQ10" s="2" t="s">
        <v>336</v>
      </c>
      <c r="AR10" s="2" t="s">
        <v>74</v>
      </c>
      <c r="AS10" s="2" t="s">
        <v>337</v>
      </c>
      <c r="AT10" s="2" t="s">
        <v>107</v>
      </c>
      <c r="AU10" s="2" t="s">
        <v>83</v>
      </c>
      <c r="AV10" s="2"/>
      <c r="AW10" s="2" t="s">
        <v>103</v>
      </c>
      <c r="AX10" s="2" t="s">
        <v>167</v>
      </c>
      <c r="AY10" s="2" t="s">
        <v>339</v>
      </c>
      <c r="AZ10" s="2" t="s">
        <v>233</v>
      </c>
      <c r="BA10" s="2"/>
      <c r="BB10" s="2" t="s">
        <v>107</v>
      </c>
      <c r="BC10" s="2" t="s">
        <v>108</v>
      </c>
      <c r="BD10" s="2" t="s">
        <v>341</v>
      </c>
      <c r="BE10" s="2" t="s">
        <v>83</v>
      </c>
      <c r="BF10" s="23">
        <v>0</v>
      </c>
      <c r="BG10" s="2"/>
      <c r="BH10" s="2" t="s">
        <v>233</v>
      </c>
      <c r="BI10" s="2" t="s">
        <v>233</v>
      </c>
      <c r="BJ10" s="2"/>
      <c r="BK10" s="2" t="s">
        <v>74</v>
      </c>
      <c r="BL10" s="2"/>
      <c r="BM10" s="2"/>
    </row>
    <row r="11" spans="1:65" ht="15" customHeight="1">
      <c r="A11" s="22">
        <v>43658.475188703705</v>
      </c>
      <c r="B11" s="2" t="s">
        <v>323</v>
      </c>
      <c r="C11" s="2" t="s">
        <v>324</v>
      </c>
      <c r="D11" s="2" t="s">
        <v>325</v>
      </c>
      <c r="E11" s="2" t="s">
        <v>83</v>
      </c>
      <c r="F11" s="25" t="s">
        <v>326</v>
      </c>
      <c r="G11" s="2" t="s">
        <v>335</v>
      </c>
      <c r="H11" s="2" t="s">
        <v>338</v>
      </c>
      <c r="I11" s="2" t="s">
        <v>152</v>
      </c>
      <c r="J11" s="2" t="s">
        <v>340</v>
      </c>
      <c r="K11" s="2" t="s">
        <v>340</v>
      </c>
      <c r="L11" s="2" t="s">
        <v>342</v>
      </c>
      <c r="M11" s="2" t="s">
        <v>81</v>
      </c>
      <c r="N11" s="2" t="s">
        <v>343</v>
      </c>
      <c r="O11" s="2" t="s">
        <v>82</v>
      </c>
      <c r="P11" s="2" t="s">
        <v>74</v>
      </c>
      <c r="Q11" s="2" t="s">
        <v>119</v>
      </c>
      <c r="R11" s="2" t="s">
        <v>344</v>
      </c>
      <c r="S11" s="2" t="s">
        <v>85</v>
      </c>
      <c r="T11" s="2" t="s">
        <v>95</v>
      </c>
      <c r="U11" s="2" t="s">
        <v>345</v>
      </c>
      <c r="V11" s="2" t="s">
        <v>346</v>
      </c>
      <c r="W11" s="2" t="s">
        <v>85</v>
      </c>
      <c r="X11" s="2" t="s">
        <v>74</v>
      </c>
      <c r="Y11" s="2" t="s">
        <v>348</v>
      </c>
      <c r="Z11" s="2" t="s">
        <v>89</v>
      </c>
      <c r="AA11" s="2" t="s">
        <v>126</v>
      </c>
      <c r="AB11" s="2" t="s">
        <v>91</v>
      </c>
      <c r="AC11" s="2" t="s">
        <v>352</v>
      </c>
      <c r="AD11" s="2" t="s">
        <v>353</v>
      </c>
      <c r="AE11" s="2" t="s">
        <v>264</v>
      </c>
      <c r="AF11" s="2" t="s">
        <v>74</v>
      </c>
      <c r="AG11" s="2" t="s">
        <v>74</v>
      </c>
      <c r="AH11" s="2" t="s">
        <v>96</v>
      </c>
      <c r="AI11" s="2" t="s">
        <v>233</v>
      </c>
      <c r="AJ11" s="2" t="s">
        <v>74</v>
      </c>
      <c r="AK11" s="2" t="s">
        <v>74</v>
      </c>
      <c r="AL11" s="2" t="s">
        <v>74</v>
      </c>
      <c r="AM11" s="2" t="s">
        <v>74</v>
      </c>
      <c r="AN11" s="2" t="s">
        <v>358</v>
      </c>
      <c r="AO11" s="2" t="s">
        <v>359</v>
      </c>
      <c r="AP11" s="2" t="s">
        <v>362</v>
      </c>
      <c r="AQ11" s="2" t="s">
        <v>365</v>
      </c>
      <c r="AR11" s="2" t="s">
        <v>83</v>
      </c>
      <c r="AS11" s="2" t="s">
        <v>107</v>
      </c>
      <c r="AT11" s="2" t="s">
        <v>107</v>
      </c>
      <c r="AU11" s="24" t="s">
        <v>367</v>
      </c>
      <c r="AV11" s="2"/>
      <c r="AW11" s="2" t="s">
        <v>107</v>
      </c>
      <c r="AX11" s="2" t="s">
        <v>368</v>
      </c>
      <c r="AY11" s="2" t="s">
        <v>370</v>
      </c>
      <c r="AZ11" s="2" t="s">
        <v>233</v>
      </c>
      <c r="BA11" s="2" t="s">
        <v>371</v>
      </c>
      <c r="BB11" s="2" t="s">
        <v>107</v>
      </c>
      <c r="BC11" s="2" t="s">
        <v>314</v>
      </c>
      <c r="BD11" s="2" t="s">
        <v>108</v>
      </c>
      <c r="BE11" s="2" t="s">
        <v>107</v>
      </c>
      <c r="BF11" s="2" t="s">
        <v>233</v>
      </c>
      <c r="BG11" s="2"/>
      <c r="BH11" s="2" t="s">
        <v>372</v>
      </c>
      <c r="BI11" s="2" t="s">
        <v>233</v>
      </c>
      <c r="BJ11" s="2"/>
      <c r="BK11" s="2" t="s">
        <v>74</v>
      </c>
      <c r="BL11" s="2" t="s">
        <v>373</v>
      </c>
      <c r="BM11" s="24" t="s">
        <v>1143</v>
      </c>
    </row>
    <row r="12" spans="1:65" ht="15" customHeight="1">
      <c r="A12" s="22">
        <v>43658.48931636574</v>
      </c>
      <c r="B12" s="2" t="s">
        <v>323</v>
      </c>
      <c r="C12" s="2" t="s">
        <v>324</v>
      </c>
      <c r="D12" s="25" t="s">
        <v>379</v>
      </c>
      <c r="E12" s="2" t="s">
        <v>83</v>
      </c>
      <c r="F12" s="25" t="s">
        <v>389</v>
      </c>
      <c r="G12" s="2" t="s">
        <v>395</v>
      </c>
      <c r="H12" s="2" t="s">
        <v>397</v>
      </c>
      <c r="I12" s="2" t="s">
        <v>152</v>
      </c>
      <c r="J12" s="2" t="s">
        <v>340</v>
      </c>
      <c r="K12" s="2" t="s">
        <v>401</v>
      </c>
      <c r="L12" s="25" t="s">
        <v>389</v>
      </c>
      <c r="M12" s="2" t="s">
        <v>118</v>
      </c>
      <c r="N12" s="23">
        <v>2003</v>
      </c>
      <c r="O12" s="2" t="s">
        <v>82</v>
      </c>
      <c r="P12" s="2" t="s">
        <v>95</v>
      </c>
      <c r="Q12" s="2" t="s">
        <v>282</v>
      </c>
      <c r="R12" s="2" t="s">
        <v>84</v>
      </c>
      <c r="S12" s="2" t="s">
        <v>85</v>
      </c>
      <c r="T12" s="2" t="s">
        <v>95</v>
      </c>
      <c r="U12" s="2" t="s">
        <v>404</v>
      </c>
      <c r="V12" s="2" t="s">
        <v>190</v>
      </c>
      <c r="W12" s="2" t="s">
        <v>85</v>
      </c>
      <c r="X12" s="2" t="s">
        <v>74</v>
      </c>
      <c r="Y12" s="2" t="s">
        <v>405</v>
      </c>
      <c r="Z12" s="2" t="s">
        <v>89</v>
      </c>
      <c r="AA12" s="2" t="s">
        <v>406</v>
      </c>
      <c r="AB12" s="2" t="s">
        <v>409</v>
      </c>
      <c r="AC12" s="2" t="s">
        <v>305</v>
      </c>
      <c r="AD12" s="2" t="s">
        <v>284</v>
      </c>
      <c r="AE12" s="2" t="s">
        <v>163</v>
      </c>
      <c r="AF12" s="2" t="s">
        <v>74</v>
      </c>
      <c r="AG12" s="2" t="s">
        <v>74</v>
      </c>
      <c r="AH12" s="2" t="s">
        <v>284</v>
      </c>
      <c r="AI12" s="2" t="s">
        <v>74</v>
      </c>
      <c r="AJ12" s="2" t="s">
        <v>233</v>
      </c>
      <c r="AK12" s="2" t="s">
        <v>83</v>
      </c>
      <c r="AL12" s="2" t="s">
        <v>74</v>
      </c>
      <c r="AM12" s="2" t="s">
        <v>74</v>
      </c>
      <c r="AN12" s="2" t="s">
        <v>412</v>
      </c>
      <c r="AO12" s="2" t="s">
        <v>130</v>
      </c>
      <c r="AP12" s="2" t="s">
        <v>229</v>
      </c>
      <c r="AQ12" s="2" t="s">
        <v>415</v>
      </c>
      <c r="AR12" s="2" t="s">
        <v>74</v>
      </c>
      <c r="AS12" s="2" t="s">
        <v>107</v>
      </c>
      <c r="AT12" s="2" t="s">
        <v>107</v>
      </c>
      <c r="AU12" s="2" t="s">
        <v>107</v>
      </c>
      <c r="AV12" s="2"/>
      <c r="AW12" s="2" t="s">
        <v>107</v>
      </c>
      <c r="AX12" s="2" t="s">
        <v>312</v>
      </c>
      <c r="AY12" s="2" t="s">
        <v>339</v>
      </c>
      <c r="AZ12" s="2" t="s">
        <v>233</v>
      </c>
      <c r="BA12" s="2" t="s">
        <v>371</v>
      </c>
      <c r="BB12" s="2" t="s">
        <v>107</v>
      </c>
      <c r="BC12" s="2" t="s">
        <v>314</v>
      </c>
      <c r="BD12" s="2" t="s">
        <v>108</v>
      </c>
      <c r="BE12" s="2" t="s">
        <v>233</v>
      </c>
      <c r="BF12" s="2" t="s">
        <v>233</v>
      </c>
      <c r="BG12" s="2"/>
      <c r="BH12" s="2" t="s">
        <v>429</v>
      </c>
      <c r="BI12" s="2" t="s">
        <v>233</v>
      </c>
      <c r="BJ12" s="2"/>
      <c r="BK12" s="2" t="s">
        <v>74</v>
      </c>
      <c r="BL12" s="24" t="s">
        <v>430</v>
      </c>
      <c r="BM12" s="24"/>
    </row>
    <row r="13" spans="1:65" ht="15" customHeight="1">
      <c r="A13" s="22">
        <v>43658.577312881942</v>
      </c>
      <c r="B13" s="2" t="s">
        <v>347</v>
      </c>
      <c r="C13" s="2" t="s">
        <v>349</v>
      </c>
      <c r="D13" s="2" t="s">
        <v>350</v>
      </c>
      <c r="E13" s="2" t="s">
        <v>83</v>
      </c>
      <c r="F13" s="25" t="s">
        <v>351</v>
      </c>
      <c r="G13" s="2" t="s">
        <v>354</v>
      </c>
      <c r="H13" s="2" t="s">
        <v>355</v>
      </c>
      <c r="I13" s="2" t="s">
        <v>328</v>
      </c>
      <c r="J13" s="2" t="s">
        <v>356</v>
      </c>
      <c r="K13" s="2" t="s">
        <v>200</v>
      </c>
      <c r="L13" s="2" t="s">
        <v>357</v>
      </c>
      <c r="M13" s="2" t="s">
        <v>81</v>
      </c>
      <c r="N13" s="23">
        <v>2017</v>
      </c>
      <c r="O13" s="2" t="s">
        <v>82</v>
      </c>
      <c r="P13" s="2" t="s">
        <v>74</v>
      </c>
      <c r="Q13" s="2" t="s">
        <v>223</v>
      </c>
      <c r="R13" s="2" t="s">
        <v>360</v>
      </c>
      <c r="S13" s="2" t="s">
        <v>361</v>
      </c>
      <c r="T13" s="2" t="s">
        <v>74</v>
      </c>
      <c r="U13" s="2" t="s">
        <v>363</v>
      </c>
      <c r="V13" s="2" t="s">
        <v>364</v>
      </c>
      <c r="W13" s="2" t="s">
        <v>366</v>
      </c>
      <c r="X13" s="2" t="s">
        <v>107</v>
      </c>
      <c r="Y13" s="2"/>
      <c r="Z13" s="2" t="s">
        <v>205</v>
      </c>
      <c r="AA13" s="2" t="s">
        <v>90</v>
      </c>
      <c r="AB13" s="2" t="s">
        <v>107</v>
      </c>
      <c r="AC13" s="2" t="s">
        <v>92</v>
      </c>
      <c r="AD13" s="2" t="s">
        <v>284</v>
      </c>
      <c r="AE13" s="2" t="s">
        <v>107</v>
      </c>
      <c r="AF13" s="2" t="s">
        <v>74</v>
      </c>
      <c r="AG13" s="2" t="s">
        <v>74</v>
      </c>
      <c r="AH13" s="2" t="s">
        <v>96</v>
      </c>
      <c r="AI13" s="2" t="s">
        <v>74</v>
      </c>
      <c r="AJ13" s="2" t="s">
        <v>107</v>
      </c>
      <c r="AK13" s="2" t="s">
        <v>107</v>
      </c>
      <c r="AL13" s="2" t="s">
        <v>107</v>
      </c>
      <c r="AM13" s="2" t="s">
        <v>74</v>
      </c>
      <c r="AN13" s="2" t="s">
        <v>97</v>
      </c>
      <c r="AO13" s="2" t="s">
        <v>107</v>
      </c>
      <c r="AP13" s="2" t="s">
        <v>229</v>
      </c>
      <c r="AQ13" s="2" t="s">
        <v>369</v>
      </c>
      <c r="AR13" s="2" t="s">
        <v>74</v>
      </c>
      <c r="AS13" s="2" t="s">
        <v>107</v>
      </c>
      <c r="AT13" s="2" t="s">
        <v>107</v>
      </c>
      <c r="AU13" s="2" t="s">
        <v>107</v>
      </c>
      <c r="AV13" s="2"/>
      <c r="AW13" s="2" t="s">
        <v>107</v>
      </c>
      <c r="AX13" s="2" t="s">
        <v>107</v>
      </c>
      <c r="AY13" s="2" t="s">
        <v>107</v>
      </c>
      <c r="AZ13" s="2" t="s">
        <v>107</v>
      </c>
      <c r="BA13" s="2"/>
      <c r="BB13" s="2" t="s">
        <v>107</v>
      </c>
      <c r="BC13" s="2" t="s">
        <v>108</v>
      </c>
      <c r="BD13" s="2" t="s">
        <v>108</v>
      </c>
      <c r="BE13" s="2" t="s">
        <v>107</v>
      </c>
      <c r="BF13" s="2" t="s">
        <v>107</v>
      </c>
      <c r="BG13" s="2"/>
      <c r="BH13" s="2" t="s">
        <v>143</v>
      </c>
      <c r="BI13" s="2" t="s">
        <v>107</v>
      </c>
      <c r="BJ13" s="2"/>
      <c r="BK13" s="2" t="s">
        <v>74</v>
      </c>
      <c r="BL13" s="2"/>
      <c r="BM13" s="2"/>
    </row>
    <row r="14" spans="1:65" ht="15" customHeight="1">
      <c r="A14" s="22">
        <v>43661.790158194446</v>
      </c>
      <c r="B14" s="2" t="s">
        <v>374</v>
      </c>
      <c r="C14" s="2" t="s">
        <v>375</v>
      </c>
      <c r="D14" s="2" t="s">
        <v>376</v>
      </c>
      <c r="E14" s="2" t="s">
        <v>74</v>
      </c>
      <c r="F14" s="25" t="s">
        <v>377</v>
      </c>
      <c r="G14" s="2" t="s">
        <v>374</v>
      </c>
      <c r="H14" s="2" t="s">
        <v>380</v>
      </c>
      <c r="I14" s="2" t="s">
        <v>152</v>
      </c>
      <c r="J14" s="2" t="s">
        <v>381</v>
      </c>
      <c r="K14" s="2" t="s">
        <v>382</v>
      </c>
      <c r="L14" s="2" t="s">
        <v>383</v>
      </c>
      <c r="M14" s="2" t="s">
        <v>384</v>
      </c>
      <c r="N14" s="23">
        <v>2016</v>
      </c>
      <c r="O14" s="2" t="s">
        <v>82</v>
      </c>
      <c r="P14" s="2" t="s">
        <v>83</v>
      </c>
      <c r="Q14" s="2"/>
      <c r="R14" s="2" t="s">
        <v>84</v>
      </c>
      <c r="S14" s="2" t="s">
        <v>385</v>
      </c>
      <c r="T14" s="2" t="s">
        <v>74</v>
      </c>
      <c r="U14" s="2" t="s">
        <v>386</v>
      </c>
      <c r="V14" s="2" t="s">
        <v>387</v>
      </c>
      <c r="W14" s="2" t="s">
        <v>85</v>
      </c>
      <c r="X14" s="2" t="s">
        <v>74</v>
      </c>
      <c r="Y14" s="2" t="s">
        <v>388</v>
      </c>
      <c r="Z14" s="2" t="s">
        <v>205</v>
      </c>
      <c r="AA14" s="2" t="s">
        <v>126</v>
      </c>
      <c r="AB14" s="2" t="s">
        <v>390</v>
      </c>
      <c r="AC14" s="2" t="s">
        <v>391</v>
      </c>
      <c r="AD14" s="2" t="s">
        <v>93</v>
      </c>
      <c r="AE14" s="2" t="s">
        <v>163</v>
      </c>
      <c r="AF14" s="2" t="s">
        <v>74</v>
      </c>
      <c r="AG14" s="2" t="s">
        <v>74</v>
      </c>
      <c r="AH14" s="2" t="s">
        <v>164</v>
      </c>
      <c r="AI14" s="2" t="s">
        <v>208</v>
      </c>
      <c r="AJ14" s="2" t="s">
        <v>74</v>
      </c>
      <c r="AK14" s="2" t="s">
        <v>74</v>
      </c>
      <c r="AL14" s="2" t="s">
        <v>74</v>
      </c>
      <c r="AM14" s="2" t="s">
        <v>74</v>
      </c>
      <c r="AN14" s="2" t="s">
        <v>97</v>
      </c>
      <c r="AO14" s="2" t="s">
        <v>392</v>
      </c>
      <c r="AP14" s="2" t="s">
        <v>393</v>
      </c>
      <c r="AQ14" s="2" t="s">
        <v>166</v>
      </c>
      <c r="AR14" s="2" t="s">
        <v>83</v>
      </c>
      <c r="AS14" s="2" t="s">
        <v>101</v>
      </c>
      <c r="AT14" s="2" t="s">
        <v>394</v>
      </c>
      <c r="AU14" s="2" t="s">
        <v>83</v>
      </c>
      <c r="AV14" s="2"/>
      <c r="AW14" s="2" t="s">
        <v>396</v>
      </c>
      <c r="AX14" s="2" t="s">
        <v>398</v>
      </c>
      <c r="AY14" s="2" t="s">
        <v>399</v>
      </c>
      <c r="AZ14" s="2" t="s">
        <v>136</v>
      </c>
      <c r="BA14" s="2" t="s">
        <v>400</v>
      </c>
      <c r="BB14" s="23">
        <v>0</v>
      </c>
      <c r="BC14" s="2" t="s">
        <v>234</v>
      </c>
      <c r="BD14" s="2" t="s">
        <v>171</v>
      </c>
      <c r="BE14" s="2" t="s">
        <v>74</v>
      </c>
      <c r="BF14" s="2" t="s">
        <v>141</v>
      </c>
      <c r="BG14" s="25" t="s">
        <v>402</v>
      </c>
      <c r="BH14" s="2" t="s">
        <v>213</v>
      </c>
      <c r="BI14" s="2" t="s">
        <v>282</v>
      </c>
      <c r="BJ14" s="2"/>
      <c r="BK14" s="2" t="s">
        <v>74</v>
      </c>
      <c r="BL14" s="24" t="s">
        <v>403</v>
      </c>
      <c r="BM14" s="24"/>
    </row>
    <row r="15" spans="1:65" ht="15" customHeight="1">
      <c r="A15" s="22">
        <v>43662.531133703698</v>
      </c>
      <c r="B15" s="2" t="s">
        <v>433</v>
      </c>
      <c r="C15" s="2" t="s">
        <v>434</v>
      </c>
      <c r="D15" s="2" t="s">
        <v>435</v>
      </c>
      <c r="E15" s="2" t="s">
        <v>74</v>
      </c>
      <c r="F15" s="25" t="s">
        <v>439</v>
      </c>
      <c r="G15" s="2" t="s">
        <v>442</v>
      </c>
      <c r="H15" s="2" t="s">
        <v>1207</v>
      </c>
      <c r="I15" s="2" t="s">
        <v>77</v>
      </c>
      <c r="J15" s="2" t="s">
        <v>199</v>
      </c>
      <c r="K15" s="2" t="s">
        <v>444</v>
      </c>
      <c r="L15" s="2" t="s">
        <v>445</v>
      </c>
      <c r="M15" s="2" t="s">
        <v>118</v>
      </c>
      <c r="N15" s="23">
        <v>2018</v>
      </c>
      <c r="O15" s="2" t="s">
        <v>82</v>
      </c>
      <c r="P15" s="2" t="s">
        <v>83</v>
      </c>
      <c r="Q15" s="2"/>
      <c r="R15" s="2" t="s">
        <v>84</v>
      </c>
      <c r="S15" s="2" t="s">
        <v>258</v>
      </c>
      <c r="T15" s="2" t="s">
        <v>95</v>
      </c>
      <c r="U15" s="2" t="s">
        <v>450</v>
      </c>
      <c r="V15" s="2" t="s">
        <v>451</v>
      </c>
      <c r="W15" s="2" t="s">
        <v>261</v>
      </c>
      <c r="X15" s="2" t="s">
        <v>107</v>
      </c>
      <c r="Y15" s="2"/>
      <c r="Z15" s="2" t="s">
        <v>125</v>
      </c>
      <c r="AA15" s="2" t="s">
        <v>126</v>
      </c>
      <c r="AB15" s="2" t="s">
        <v>457</v>
      </c>
      <c r="AC15" s="2" t="s">
        <v>92</v>
      </c>
      <c r="AD15" s="2" t="s">
        <v>93</v>
      </c>
      <c r="AE15" s="2" t="s">
        <v>163</v>
      </c>
      <c r="AF15" s="2" t="s">
        <v>74</v>
      </c>
      <c r="AG15" s="2" t="s">
        <v>74</v>
      </c>
      <c r="AH15" s="2" t="s">
        <v>461</v>
      </c>
      <c r="AI15" s="2" t="s">
        <v>74</v>
      </c>
      <c r="AJ15" s="2" t="s">
        <v>74</v>
      </c>
      <c r="AK15" s="2" t="s">
        <v>74</v>
      </c>
      <c r="AL15" s="2" t="s">
        <v>74</v>
      </c>
      <c r="AM15" s="2" t="s">
        <v>74</v>
      </c>
      <c r="AN15" s="2" t="s">
        <v>97</v>
      </c>
      <c r="AO15" s="2" t="s">
        <v>464</v>
      </c>
      <c r="AP15" s="2" t="s">
        <v>285</v>
      </c>
      <c r="AQ15" s="2" t="s">
        <v>466</v>
      </c>
      <c r="AR15" s="2" t="s">
        <v>74</v>
      </c>
      <c r="AS15" s="2" t="s">
        <v>467</v>
      </c>
      <c r="AT15" s="2" t="s">
        <v>468</v>
      </c>
      <c r="AU15" s="2" t="s">
        <v>83</v>
      </c>
      <c r="AV15" s="2"/>
      <c r="AW15" s="2" t="s">
        <v>233</v>
      </c>
      <c r="AX15" s="2" t="s">
        <v>287</v>
      </c>
      <c r="AY15" s="2" t="s">
        <v>288</v>
      </c>
      <c r="AZ15" s="24" t="s">
        <v>469</v>
      </c>
      <c r="BA15" s="2"/>
      <c r="BB15" s="23">
        <v>0</v>
      </c>
      <c r="BC15" s="2" t="s">
        <v>171</v>
      </c>
      <c r="BD15" s="2" t="s">
        <v>108</v>
      </c>
      <c r="BE15" s="2" t="s">
        <v>74</v>
      </c>
      <c r="BF15" s="2" t="s">
        <v>141</v>
      </c>
      <c r="BG15" s="25" t="s">
        <v>472</v>
      </c>
      <c r="BH15" s="2" t="s">
        <v>478</v>
      </c>
      <c r="BI15" s="2" t="s">
        <v>233</v>
      </c>
      <c r="BJ15" s="2"/>
      <c r="BK15" s="2" t="s">
        <v>74</v>
      </c>
      <c r="BL15" s="2"/>
      <c r="BM15" s="2"/>
    </row>
    <row r="16" spans="1:65" ht="15" customHeight="1">
      <c r="A16" s="22">
        <v>43663.342417615742</v>
      </c>
      <c r="B16" s="2" t="s">
        <v>407</v>
      </c>
      <c r="C16" s="2" t="s">
        <v>408</v>
      </c>
      <c r="D16" s="2" t="s">
        <v>410</v>
      </c>
      <c r="E16" s="2" t="s">
        <v>74</v>
      </c>
      <c r="F16" s="25" t="s">
        <v>411</v>
      </c>
      <c r="G16" s="2" t="s">
        <v>407</v>
      </c>
      <c r="H16" s="2" t="s">
        <v>413</v>
      </c>
      <c r="I16" s="2" t="s">
        <v>328</v>
      </c>
      <c r="J16" s="2" t="s">
        <v>414</v>
      </c>
      <c r="K16" s="2" t="s">
        <v>416</v>
      </c>
      <c r="L16" s="2" t="s">
        <v>417</v>
      </c>
      <c r="M16" s="2" t="s">
        <v>418</v>
      </c>
      <c r="N16" s="23">
        <v>2019</v>
      </c>
      <c r="O16" s="2" t="s">
        <v>82</v>
      </c>
      <c r="P16" s="2" t="s">
        <v>74</v>
      </c>
      <c r="Q16" s="2" t="s">
        <v>419</v>
      </c>
      <c r="R16" s="2" t="s">
        <v>420</v>
      </c>
      <c r="S16" s="2" t="s">
        <v>85</v>
      </c>
      <c r="T16" s="2" t="s">
        <v>74</v>
      </c>
      <c r="U16" s="2" t="s">
        <v>421</v>
      </c>
      <c r="V16" s="2" t="s">
        <v>422</v>
      </c>
      <c r="W16" s="2" t="s">
        <v>85</v>
      </c>
      <c r="X16" s="2" t="s">
        <v>107</v>
      </c>
      <c r="Y16" s="2"/>
      <c r="Z16" s="2" t="s">
        <v>89</v>
      </c>
      <c r="AA16" s="2" t="s">
        <v>423</v>
      </c>
      <c r="AB16" s="2" t="s">
        <v>424</v>
      </c>
      <c r="AC16" s="2" t="s">
        <v>425</v>
      </c>
      <c r="AD16" s="2" t="s">
        <v>284</v>
      </c>
      <c r="AE16" s="2" t="s">
        <v>163</v>
      </c>
      <c r="AF16" s="2" t="s">
        <v>74</v>
      </c>
      <c r="AG16" s="2" t="s">
        <v>74</v>
      </c>
      <c r="AH16" s="2" t="s">
        <v>426</v>
      </c>
      <c r="AI16" s="2" t="s">
        <v>233</v>
      </c>
      <c r="AJ16" s="2" t="s">
        <v>233</v>
      </c>
      <c r="AK16" s="2" t="s">
        <v>233</v>
      </c>
      <c r="AL16" s="2" t="s">
        <v>74</v>
      </c>
      <c r="AM16" s="2" t="s">
        <v>74</v>
      </c>
      <c r="AN16" s="2" t="s">
        <v>97</v>
      </c>
      <c r="AO16" s="2" t="s">
        <v>233</v>
      </c>
      <c r="AP16" s="2" t="s">
        <v>427</v>
      </c>
      <c r="AQ16" s="2" t="s">
        <v>336</v>
      </c>
      <c r="AR16" s="2" t="s">
        <v>74</v>
      </c>
      <c r="AS16" s="2" t="s">
        <v>101</v>
      </c>
      <c r="AT16" s="2" t="s">
        <v>102</v>
      </c>
      <c r="AU16" s="24" t="s">
        <v>428</v>
      </c>
      <c r="AV16" s="2"/>
      <c r="AW16" s="2" t="s">
        <v>107</v>
      </c>
      <c r="AX16" s="2" t="s">
        <v>233</v>
      </c>
      <c r="AY16" s="2" t="s">
        <v>233</v>
      </c>
      <c r="AZ16" s="2" t="s">
        <v>233</v>
      </c>
      <c r="BA16" s="2"/>
      <c r="BB16" s="2" t="s">
        <v>233</v>
      </c>
      <c r="BC16" s="2" t="s">
        <v>172</v>
      </c>
      <c r="BD16" s="2" t="s">
        <v>108</v>
      </c>
      <c r="BE16" s="2" t="s">
        <v>74</v>
      </c>
      <c r="BF16" s="23">
        <v>0</v>
      </c>
      <c r="BG16" s="2"/>
      <c r="BH16" s="2" t="s">
        <v>233</v>
      </c>
      <c r="BI16" s="2" t="s">
        <v>233</v>
      </c>
      <c r="BJ16" s="2"/>
      <c r="BK16" s="2" t="s">
        <v>74</v>
      </c>
      <c r="BL16" s="24" t="s">
        <v>431</v>
      </c>
      <c r="BM16" s="24"/>
    </row>
    <row r="17" spans="1:65" ht="15" customHeight="1">
      <c r="A17" s="22">
        <v>43665.420723923613</v>
      </c>
      <c r="B17" s="2" t="s">
        <v>437</v>
      </c>
      <c r="C17" s="2" t="s">
        <v>438</v>
      </c>
      <c r="D17" s="2" t="s">
        <v>440</v>
      </c>
      <c r="E17" s="2" t="s">
        <v>74</v>
      </c>
      <c r="F17" s="25" t="s">
        <v>441</v>
      </c>
      <c r="G17" s="2" t="s">
        <v>437</v>
      </c>
      <c r="H17" s="2" t="s">
        <v>1243</v>
      </c>
      <c r="I17" s="2" t="s">
        <v>152</v>
      </c>
      <c r="J17" s="2" t="s">
        <v>447</v>
      </c>
      <c r="K17" s="2" t="s">
        <v>448</v>
      </c>
      <c r="L17" s="2" t="s">
        <v>449</v>
      </c>
      <c r="M17" s="2" t="s">
        <v>81</v>
      </c>
      <c r="N17" s="23">
        <v>2014</v>
      </c>
      <c r="O17" s="23">
        <v>2018</v>
      </c>
      <c r="P17" s="2" t="s">
        <v>74</v>
      </c>
      <c r="Q17" s="2" t="s">
        <v>119</v>
      </c>
      <c r="R17" s="2" t="s">
        <v>452</v>
      </c>
      <c r="S17" s="2" t="s">
        <v>453</v>
      </c>
      <c r="T17" s="2" t="s">
        <v>74</v>
      </c>
      <c r="U17" s="2" t="s">
        <v>454</v>
      </c>
      <c r="V17" s="2" t="s">
        <v>455</v>
      </c>
      <c r="W17" s="2" t="s">
        <v>456</v>
      </c>
      <c r="X17" s="2" t="s">
        <v>107</v>
      </c>
      <c r="Y17" s="2"/>
      <c r="Z17" s="2" t="s">
        <v>205</v>
      </c>
      <c r="AA17" s="2" t="s">
        <v>90</v>
      </c>
      <c r="AB17" s="2" t="s">
        <v>458</v>
      </c>
      <c r="AC17" s="2" t="s">
        <v>284</v>
      </c>
      <c r="AD17" s="2" t="s">
        <v>284</v>
      </c>
      <c r="AE17" s="2" t="s">
        <v>459</v>
      </c>
      <c r="AF17" s="2" t="s">
        <v>74</v>
      </c>
      <c r="AG17" s="2" t="s">
        <v>74</v>
      </c>
      <c r="AH17" s="2" t="s">
        <v>460</v>
      </c>
      <c r="AI17" s="2" t="s">
        <v>74</v>
      </c>
      <c r="AJ17" s="2" t="s">
        <v>74</v>
      </c>
      <c r="AK17" s="2" t="s">
        <v>74</v>
      </c>
      <c r="AL17" s="2" t="s">
        <v>74</v>
      </c>
      <c r="AM17" s="2" t="s">
        <v>74</v>
      </c>
      <c r="AN17" s="2" t="s">
        <v>97</v>
      </c>
      <c r="AO17" s="2" t="s">
        <v>130</v>
      </c>
      <c r="AP17" s="2" t="s">
        <v>99</v>
      </c>
      <c r="AQ17" s="2" t="s">
        <v>166</v>
      </c>
      <c r="AR17" s="2" t="s">
        <v>74</v>
      </c>
      <c r="AS17" s="2" t="s">
        <v>101</v>
      </c>
      <c r="AT17" s="2" t="s">
        <v>107</v>
      </c>
      <c r="AU17" s="2" t="s">
        <v>83</v>
      </c>
      <c r="AV17" s="2"/>
      <c r="AW17" s="2" t="s">
        <v>107</v>
      </c>
      <c r="AX17" s="2" t="s">
        <v>368</v>
      </c>
      <c r="AY17" s="2" t="s">
        <v>313</v>
      </c>
      <c r="AZ17" s="2" t="s">
        <v>136</v>
      </c>
      <c r="BA17" s="2" t="s">
        <v>462</v>
      </c>
      <c r="BB17" s="2" t="s">
        <v>463</v>
      </c>
      <c r="BC17" s="2" t="s">
        <v>139</v>
      </c>
      <c r="BD17" s="2" t="s">
        <v>234</v>
      </c>
      <c r="BE17" s="2" t="s">
        <v>83</v>
      </c>
      <c r="BF17" s="2" t="s">
        <v>141</v>
      </c>
      <c r="BG17" s="25" t="s">
        <v>465</v>
      </c>
      <c r="BH17" s="2" t="s">
        <v>470</v>
      </c>
      <c r="BI17" s="2" t="s">
        <v>471</v>
      </c>
      <c r="BJ17" s="2"/>
      <c r="BK17" s="2" t="s">
        <v>74</v>
      </c>
      <c r="BL17" s="2"/>
      <c r="BM17" s="2"/>
    </row>
    <row r="18" spans="1:65" ht="15" customHeight="1">
      <c r="A18" s="22">
        <v>43669.648892766199</v>
      </c>
      <c r="B18" s="2" t="s">
        <v>480</v>
      </c>
      <c r="C18" s="2" t="s">
        <v>482</v>
      </c>
      <c r="D18" s="2" t="s">
        <v>484</v>
      </c>
      <c r="E18" s="2" t="s">
        <v>74</v>
      </c>
      <c r="F18" s="25" t="s">
        <v>486</v>
      </c>
      <c r="G18" s="2" t="s">
        <v>480</v>
      </c>
      <c r="H18" s="2" t="s">
        <v>489</v>
      </c>
      <c r="I18" s="2" t="s">
        <v>77</v>
      </c>
      <c r="J18" s="2" t="s">
        <v>199</v>
      </c>
      <c r="K18" s="2" t="s">
        <v>492</v>
      </c>
      <c r="L18" s="2" t="s">
        <v>494</v>
      </c>
      <c r="M18" s="2" t="s">
        <v>81</v>
      </c>
      <c r="N18" s="23">
        <v>2018</v>
      </c>
      <c r="O18" s="2" t="s">
        <v>82</v>
      </c>
      <c r="P18" s="2" t="s">
        <v>74</v>
      </c>
      <c r="Q18" s="2" t="s">
        <v>119</v>
      </c>
      <c r="R18" s="2" t="s">
        <v>496</v>
      </c>
      <c r="S18" s="2" t="s">
        <v>120</v>
      </c>
      <c r="T18" s="2" t="s">
        <v>158</v>
      </c>
      <c r="U18" s="2" t="s">
        <v>497</v>
      </c>
      <c r="V18" s="2" t="s">
        <v>190</v>
      </c>
      <c r="W18" s="2" t="s">
        <v>499</v>
      </c>
      <c r="X18" s="2" t="s">
        <v>107</v>
      </c>
      <c r="Y18" s="2"/>
      <c r="Z18" s="2" t="s">
        <v>89</v>
      </c>
      <c r="AA18" s="2" t="s">
        <v>126</v>
      </c>
      <c r="AB18" s="2" t="s">
        <v>501</v>
      </c>
      <c r="AC18" s="2" t="s">
        <v>162</v>
      </c>
      <c r="AD18" s="2" t="s">
        <v>284</v>
      </c>
      <c r="AE18" s="2" t="s">
        <v>107</v>
      </c>
      <c r="AF18" s="2" t="s">
        <v>95</v>
      </c>
      <c r="AG18" s="2" t="s">
        <v>74</v>
      </c>
      <c r="AH18" s="2" t="s">
        <v>164</v>
      </c>
      <c r="AI18" s="2" t="s">
        <v>74</v>
      </c>
      <c r="AJ18" s="2" t="s">
        <v>74</v>
      </c>
      <c r="AK18" s="2" t="s">
        <v>74</v>
      </c>
      <c r="AL18" s="2" t="s">
        <v>74</v>
      </c>
      <c r="AM18" s="2" t="s">
        <v>74</v>
      </c>
      <c r="AN18" s="2" t="s">
        <v>97</v>
      </c>
      <c r="AO18" s="2" t="s">
        <v>130</v>
      </c>
      <c r="AP18" s="2" t="s">
        <v>229</v>
      </c>
      <c r="AQ18" s="2" t="s">
        <v>100</v>
      </c>
      <c r="AR18" s="2" t="s">
        <v>74</v>
      </c>
      <c r="AS18" s="2" t="s">
        <v>101</v>
      </c>
      <c r="AT18" s="2" t="s">
        <v>102</v>
      </c>
      <c r="AU18" s="24" t="s">
        <v>506</v>
      </c>
      <c r="AV18" s="2"/>
      <c r="AW18" s="2" t="s">
        <v>507</v>
      </c>
      <c r="AX18" s="2" t="s">
        <v>233</v>
      </c>
      <c r="AY18" s="2" t="s">
        <v>233</v>
      </c>
      <c r="AZ18" s="2" t="s">
        <v>233</v>
      </c>
      <c r="BA18" s="2"/>
      <c r="BB18" s="2" t="s">
        <v>233</v>
      </c>
      <c r="BC18" s="2" t="s">
        <v>108</v>
      </c>
      <c r="BD18" s="2" t="s">
        <v>172</v>
      </c>
      <c r="BE18" s="2" t="s">
        <v>83</v>
      </c>
      <c r="BF18" s="2" t="s">
        <v>233</v>
      </c>
      <c r="BG18" s="2"/>
      <c r="BH18" s="2" t="s">
        <v>509</v>
      </c>
      <c r="BI18" s="2" t="s">
        <v>509</v>
      </c>
      <c r="BJ18" s="2"/>
      <c r="BK18" s="2" t="s">
        <v>74</v>
      </c>
      <c r="BL18" s="24" t="s">
        <v>514</v>
      </c>
      <c r="BM18" s="24"/>
    </row>
    <row r="19" spans="1:65" ht="15" customHeight="1">
      <c r="A19" s="22">
        <v>43670.669537847221</v>
      </c>
      <c r="B19" s="2" t="s">
        <v>525</v>
      </c>
      <c r="C19" s="2" t="s">
        <v>526</v>
      </c>
      <c r="D19" s="25" t="s">
        <v>527</v>
      </c>
      <c r="E19" s="2" t="s">
        <v>83</v>
      </c>
      <c r="F19" s="25" t="s">
        <v>531</v>
      </c>
      <c r="G19" s="2" t="s">
        <v>533</v>
      </c>
      <c r="H19" s="2" t="s">
        <v>534</v>
      </c>
      <c r="I19" s="2" t="s">
        <v>152</v>
      </c>
      <c r="J19" s="2" t="s">
        <v>199</v>
      </c>
      <c r="K19" s="2" t="s">
        <v>535</v>
      </c>
      <c r="L19" s="2" t="s">
        <v>536</v>
      </c>
      <c r="M19" s="2" t="s">
        <v>81</v>
      </c>
      <c r="N19" s="23">
        <v>2013</v>
      </c>
      <c r="O19" s="2" t="s">
        <v>82</v>
      </c>
      <c r="P19" s="2" t="s">
        <v>74</v>
      </c>
      <c r="Q19" s="2" t="s">
        <v>256</v>
      </c>
      <c r="R19" s="2" t="s">
        <v>84</v>
      </c>
      <c r="S19" s="2" t="s">
        <v>120</v>
      </c>
      <c r="T19" s="2" t="s">
        <v>74</v>
      </c>
      <c r="U19" s="2" t="s">
        <v>540</v>
      </c>
      <c r="V19" s="2" t="s">
        <v>260</v>
      </c>
      <c r="W19" s="2" t="s">
        <v>499</v>
      </c>
      <c r="X19" s="2" t="s">
        <v>74</v>
      </c>
      <c r="Y19" s="2" t="s">
        <v>543</v>
      </c>
      <c r="Z19" s="2" t="s">
        <v>205</v>
      </c>
      <c r="AA19" s="2" t="s">
        <v>126</v>
      </c>
      <c r="AB19" s="2" t="s">
        <v>544</v>
      </c>
      <c r="AC19" s="2" t="s">
        <v>162</v>
      </c>
      <c r="AD19" s="2" t="s">
        <v>93</v>
      </c>
      <c r="AE19" s="2" t="s">
        <v>163</v>
      </c>
      <c r="AF19" s="2" t="s">
        <v>74</v>
      </c>
      <c r="AG19" s="2" t="s">
        <v>74</v>
      </c>
      <c r="AH19" s="2" t="s">
        <v>96</v>
      </c>
      <c r="AI19" s="2" t="s">
        <v>74</v>
      </c>
      <c r="AJ19" s="2" t="s">
        <v>74</v>
      </c>
      <c r="AK19" s="2" t="s">
        <v>74</v>
      </c>
      <c r="AL19" s="2" t="s">
        <v>74</v>
      </c>
      <c r="AM19" s="2" t="s">
        <v>74</v>
      </c>
      <c r="AN19" s="2" t="s">
        <v>97</v>
      </c>
      <c r="AO19" s="2" t="s">
        <v>130</v>
      </c>
      <c r="AP19" s="2" t="s">
        <v>229</v>
      </c>
      <c r="AQ19" s="2" t="s">
        <v>107</v>
      </c>
      <c r="AR19" s="2" t="s">
        <v>74</v>
      </c>
      <c r="AS19" s="2" t="s">
        <v>549</v>
      </c>
      <c r="AT19" s="2" t="s">
        <v>107</v>
      </c>
      <c r="AU19" s="2" t="s">
        <v>107</v>
      </c>
      <c r="AV19" s="2"/>
      <c r="AW19" s="2" t="s">
        <v>107</v>
      </c>
      <c r="AX19" s="2" t="s">
        <v>522</v>
      </c>
      <c r="AY19" s="2" t="s">
        <v>339</v>
      </c>
      <c r="AZ19" s="2" t="s">
        <v>168</v>
      </c>
      <c r="BA19" s="2"/>
      <c r="BB19" s="2" t="s">
        <v>107</v>
      </c>
      <c r="BC19" s="2" t="s">
        <v>234</v>
      </c>
      <c r="BD19" s="2" t="s">
        <v>235</v>
      </c>
      <c r="BE19" s="2" t="s">
        <v>83</v>
      </c>
      <c r="BF19" s="2" t="s">
        <v>141</v>
      </c>
      <c r="BG19" s="2"/>
      <c r="BH19" s="2" t="s">
        <v>213</v>
      </c>
      <c r="BI19" s="2" t="s">
        <v>551</v>
      </c>
      <c r="BJ19" s="2"/>
      <c r="BK19" s="2" t="s">
        <v>83</v>
      </c>
      <c r="BL19" s="2"/>
      <c r="BM19" s="2"/>
    </row>
    <row r="20" spans="1:65" ht="15" customHeight="1">
      <c r="A20" s="22">
        <v>43670.77155380787</v>
      </c>
      <c r="B20" s="2" t="s">
        <v>553</v>
      </c>
      <c r="C20" s="2" t="s">
        <v>554</v>
      </c>
      <c r="D20" s="2" t="s">
        <v>555</v>
      </c>
      <c r="E20" s="2" t="s">
        <v>74</v>
      </c>
      <c r="F20" s="25" t="s">
        <v>556</v>
      </c>
      <c r="G20" s="2" t="s">
        <v>557</v>
      </c>
      <c r="H20" s="2" t="s">
        <v>558</v>
      </c>
      <c r="I20" s="2" t="s">
        <v>77</v>
      </c>
      <c r="J20" s="2" t="s">
        <v>199</v>
      </c>
      <c r="K20" s="2" t="s">
        <v>559</v>
      </c>
      <c r="L20" s="2" t="s">
        <v>560</v>
      </c>
      <c r="M20" s="2" t="s">
        <v>118</v>
      </c>
      <c r="N20" s="23">
        <v>2013</v>
      </c>
      <c r="O20" s="23">
        <v>2019</v>
      </c>
      <c r="P20" s="2" t="s">
        <v>74</v>
      </c>
      <c r="Q20" s="2" t="s">
        <v>561</v>
      </c>
      <c r="R20" s="2" t="s">
        <v>496</v>
      </c>
      <c r="S20" s="2" t="s">
        <v>562</v>
      </c>
      <c r="T20" s="2" t="s">
        <v>74</v>
      </c>
      <c r="U20" s="2" t="s">
        <v>563</v>
      </c>
      <c r="V20" s="2" t="s">
        <v>564</v>
      </c>
      <c r="W20" s="2" t="s">
        <v>88</v>
      </c>
      <c r="X20" s="2" t="s">
        <v>74</v>
      </c>
      <c r="Y20" s="2" t="s">
        <v>565</v>
      </c>
      <c r="Z20" s="2" t="s">
        <v>89</v>
      </c>
      <c r="AA20" s="2" t="s">
        <v>126</v>
      </c>
      <c r="AB20" s="2" t="s">
        <v>566</v>
      </c>
      <c r="AC20" s="2" t="s">
        <v>567</v>
      </c>
      <c r="AD20" s="2" t="s">
        <v>284</v>
      </c>
      <c r="AE20" s="2" t="s">
        <v>163</v>
      </c>
      <c r="AF20" s="2" t="s">
        <v>74</v>
      </c>
      <c r="AG20" s="2" t="s">
        <v>74</v>
      </c>
      <c r="AH20" s="2" t="s">
        <v>96</v>
      </c>
      <c r="AI20" s="2" t="s">
        <v>74</v>
      </c>
      <c r="AJ20" s="2" t="s">
        <v>74</v>
      </c>
      <c r="AK20" s="2" t="s">
        <v>74</v>
      </c>
      <c r="AL20" s="2" t="s">
        <v>74</v>
      </c>
      <c r="AM20" s="2" t="s">
        <v>74</v>
      </c>
      <c r="AN20" s="2" t="s">
        <v>97</v>
      </c>
      <c r="AO20" s="2" t="s">
        <v>568</v>
      </c>
      <c r="AP20" s="2" t="s">
        <v>569</v>
      </c>
      <c r="AQ20" s="2" t="s">
        <v>100</v>
      </c>
      <c r="AR20" s="2" t="s">
        <v>74</v>
      </c>
      <c r="AS20" s="2" t="s">
        <v>101</v>
      </c>
      <c r="AT20" s="2" t="s">
        <v>570</v>
      </c>
      <c r="AU20" s="2" t="s">
        <v>107</v>
      </c>
      <c r="AV20" s="2"/>
      <c r="AW20" s="2" t="s">
        <v>107</v>
      </c>
      <c r="AX20" s="2" t="s">
        <v>167</v>
      </c>
      <c r="AY20" s="2" t="s">
        <v>168</v>
      </c>
      <c r="AZ20" s="2" t="s">
        <v>168</v>
      </c>
      <c r="BA20" s="2"/>
      <c r="BB20" s="2" t="s">
        <v>571</v>
      </c>
      <c r="BC20" s="2" t="s">
        <v>172</v>
      </c>
      <c r="BD20" s="2" t="s">
        <v>108</v>
      </c>
      <c r="BE20" s="2" t="s">
        <v>74</v>
      </c>
      <c r="BF20" s="2" t="s">
        <v>107</v>
      </c>
      <c r="BG20" s="2"/>
      <c r="BH20" s="2" t="s">
        <v>572</v>
      </c>
      <c r="BI20" s="2" t="s">
        <v>282</v>
      </c>
      <c r="BJ20" s="2"/>
      <c r="BK20" s="2" t="s">
        <v>74</v>
      </c>
      <c r="BL20" s="2"/>
      <c r="BM20" s="2"/>
    </row>
    <row r="21" spans="1:65" ht="12.5">
      <c r="A21" s="22">
        <v>43740.387021979172</v>
      </c>
      <c r="B21" s="2" t="s">
        <v>474</v>
      </c>
      <c r="C21" s="2" t="s">
        <v>475</v>
      </c>
      <c r="D21" s="2" t="s">
        <v>476</v>
      </c>
      <c r="E21" s="2" t="s">
        <v>83</v>
      </c>
      <c r="F21" s="25" t="s">
        <v>477</v>
      </c>
      <c r="G21" s="25" t="s">
        <v>479</v>
      </c>
      <c r="H21" s="2" t="s">
        <v>481</v>
      </c>
      <c r="I21" s="2" t="s">
        <v>152</v>
      </c>
      <c r="J21" s="2" t="s">
        <v>483</v>
      </c>
      <c r="K21" s="2" t="s">
        <v>485</v>
      </c>
      <c r="L21" s="25" t="s">
        <v>487</v>
      </c>
      <c r="M21" s="2" t="s">
        <v>488</v>
      </c>
      <c r="N21" s="23">
        <v>2007</v>
      </c>
      <c r="O21" s="2" t="s">
        <v>82</v>
      </c>
      <c r="P21" s="2" t="s">
        <v>83</v>
      </c>
      <c r="Q21" s="2"/>
      <c r="R21" s="2" t="s">
        <v>84</v>
      </c>
      <c r="S21" s="2" t="s">
        <v>120</v>
      </c>
      <c r="T21" s="2" t="s">
        <v>74</v>
      </c>
      <c r="U21" s="2" t="s">
        <v>490</v>
      </c>
      <c r="V21" s="2" t="s">
        <v>491</v>
      </c>
      <c r="W21" s="2" t="s">
        <v>85</v>
      </c>
      <c r="X21" s="2" t="s">
        <v>83</v>
      </c>
      <c r="Y21" s="2"/>
      <c r="Z21" s="2" t="s">
        <v>89</v>
      </c>
      <c r="AA21" s="2" t="s">
        <v>107</v>
      </c>
      <c r="AB21" s="2" t="s">
        <v>493</v>
      </c>
      <c r="AC21" s="2" t="s">
        <v>284</v>
      </c>
      <c r="AD21" s="2" t="s">
        <v>284</v>
      </c>
      <c r="AE21" s="2" t="s">
        <v>163</v>
      </c>
      <c r="AF21" s="2" t="s">
        <v>95</v>
      </c>
      <c r="AG21" s="2" t="s">
        <v>83</v>
      </c>
      <c r="AH21" s="2" t="s">
        <v>284</v>
      </c>
      <c r="AI21" s="2" t="s">
        <v>74</v>
      </c>
      <c r="AJ21" s="2" t="s">
        <v>83</v>
      </c>
      <c r="AK21" s="2" t="s">
        <v>233</v>
      </c>
      <c r="AL21" s="2" t="s">
        <v>83</v>
      </c>
      <c r="AM21" s="2" t="s">
        <v>74</v>
      </c>
      <c r="AN21" s="2" t="s">
        <v>358</v>
      </c>
      <c r="AO21" s="2" t="s">
        <v>495</v>
      </c>
      <c r="AP21" s="2" t="s">
        <v>229</v>
      </c>
      <c r="AQ21" s="2" t="s">
        <v>100</v>
      </c>
      <c r="AR21" s="2" t="s">
        <v>74</v>
      </c>
      <c r="AS21" s="2" t="s">
        <v>107</v>
      </c>
      <c r="AT21" s="2" t="s">
        <v>107</v>
      </c>
      <c r="AU21" s="2" t="s">
        <v>83</v>
      </c>
      <c r="AV21" s="2"/>
      <c r="AW21" s="2" t="s">
        <v>107</v>
      </c>
      <c r="AX21" s="2" t="s">
        <v>107</v>
      </c>
      <c r="AY21" s="2" t="s">
        <v>168</v>
      </c>
      <c r="AZ21" s="2" t="s">
        <v>136</v>
      </c>
      <c r="BA21" s="2" t="s">
        <v>498</v>
      </c>
      <c r="BB21" s="2" t="s">
        <v>107</v>
      </c>
      <c r="BC21" s="2" t="s">
        <v>139</v>
      </c>
      <c r="BD21" s="2" t="s">
        <v>139</v>
      </c>
      <c r="BE21" s="2" t="s">
        <v>83</v>
      </c>
      <c r="BF21" s="23">
        <v>0</v>
      </c>
      <c r="BG21" s="2"/>
      <c r="BH21" s="2" t="s">
        <v>233</v>
      </c>
      <c r="BI21" s="2" t="s">
        <v>233</v>
      </c>
      <c r="BJ21" s="2"/>
      <c r="BK21" s="2" t="s">
        <v>74</v>
      </c>
      <c r="BL21" s="24" t="s">
        <v>500</v>
      </c>
      <c r="BM21" s="24"/>
    </row>
    <row r="22" spans="1:65" ht="12.5">
      <c r="A22" s="22">
        <v>43671.58613275463</v>
      </c>
      <c r="B22" s="2" t="s">
        <v>503</v>
      </c>
      <c r="C22" s="2" t="s">
        <v>503</v>
      </c>
      <c r="D22" s="2" t="s">
        <v>504</v>
      </c>
      <c r="E22" s="2" t="s">
        <v>74</v>
      </c>
      <c r="F22" s="25" t="s">
        <v>505</v>
      </c>
      <c r="G22" s="2" t="s">
        <v>503</v>
      </c>
      <c r="H22" s="2" t="s">
        <v>508</v>
      </c>
      <c r="I22" s="2" t="s">
        <v>152</v>
      </c>
      <c r="J22" s="2" t="s">
        <v>510</v>
      </c>
      <c r="K22" s="2" t="s">
        <v>511</v>
      </c>
      <c r="L22" s="2" t="s">
        <v>512</v>
      </c>
      <c r="M22" s="2" t="s">
        <v>513</v>
      </c>
      <c r="N22" s="23">
        <v>2013</v>
      </c>
      <c r="O22" s="2" t="s">
        <v>82</v>
      </c>
      <c r="P22" s="2" t="s">
        <v>95</v>
      </c>
      <c r="Q22" s="2" t="s">
        <v>515</v>
      </c>
      <c r="R22" s="2" t="s">
        <v>84</v>
      </c>
      <c r="S22" s="2" t="s">
        <v>120</v>
      </c>
      <c r="T22" s="2" t="s">
        <v>95</v>
      </c>
      <c r="U22" s="2" t="s">
        <v>516</v>
      </c>
      <c r="V22" s="2" t="s">
        <v>245</v>
      </c>
      <c r="W22" s="2" t="s">
        <v>499</v>
      </c>
      <c r="X22" s="2" t="s">
        <v>74</v>
      </c>
      <c r="Y22" s="2" t="s">
        <v>517</v>
      </c>
      <c r="Z22" s="2" t="s">
        <v>518</v>
      </c>
      <c r="AA22" s="2" t="s">
        <v>90</v>
      </c>
      <c r="AB22" s="2" t="s">
        <v>263</v>
      </c>
      <c r="AC22" s="2" t="s">
        <v>92</v>
      </c>
      <c r="AD22" s="2" t="s">
        <v>284</v>
      </c>
      <c r="AE22" s="2" t="s">
        <v>94</v>
      </c>
      <c r="AF22" s="2" t="s">
        <v>95</v>
      </c>
      <c r="AG22" s="2" t="s">
        <v>74</v>
      </c>
      <c r="AH22" s="2" t="s">
        <v>284</v>
      </c>
      <c r="AI22" s="2" t="s">
        <v>208</v>
      </c>
      <c r="AJ22" s="2" t="s">
        <v>74</v>
      </c>
      <c r="AK22" s="2" t="s">
        <v>83</v>
      </c>
      <c r="AL22" s="2" t="s">
        <v>74</v>
      </c>
      <c r="AM22" s="2" t="s">
        <v>74</v>
      </c>
      <c r="AN22" s="2" t="s">
        <v>97</v>
      </c>
      <c r="AO22" s="2" t="s">
        <v>130</v>
      </c>
      <c r="AP22" s="2" t="s">
        <v>520</v>
      </c>
      <c r="AQ22" s="2" t="s">
        <v>521</v>
      </c>
      <c r="AR22" s="2" t="s">
        <v>83</v>
      </c>
      <c r="AS22" s="2" t="s">
        <v>101</v>
      </c>
      <c r="AT22" s="2" t="s">
        <v>107</v>
      </c>
      <c r="AU22" s="2" t="s">
        <v>83</v>
      </c>
      <c r="AV22" s="2"/>
      <c r="AW22" s="2" t="s">
        <v>233</v>
      </c>
      <c r="AX22" s="2" t="s">
        <v>522</v>
      </c>
      <c r="AY22" s="2" t="s">
        <v>168</v>
      </c>
      <c r="AZ22" s="2" t="s">
        <v>168</v>
      </c>
      <c r="BA22" s="2" t="s">
        <v>523</v>
      </c>
      <c r="BB22" s="2" t="s">
        <v>233</v>
      </c>
      <c r="BC22" s="2" t="s">
        <v>139</v>
      </c>
      <c r="BD22" s="2" t="s">
        <v>233</v>
      </c>
      <c r="BE22" s="2" t="s">
        <v>233</v>
      </c>
      <c r="BF22" s="23">
        <v>0</v>
      </c>
      <c r="BG22" s="2"/>
      <c r="BH22" s="2" t="s">
        <v>233</v>
      </c>
      <c r="BI22" s="2" t="s">
        <v>233</v>
      </c>
      <c r="BJ22" s="2"/>
      <c r="BK22" s="2" t="s">
        <v>74</v>
      </c>
      <c r="BL22" s="2"/>
      <c r="BM22" s="2"/>
    </row>
    <row r="23" spans="1:65" ht="12.5">
      <c r="A23" s="22">
        <v>43672.534604212968</v>
      </c>
      <c r="B23" s="2" t="s">
        <v>528</v>
      </c>
      <c r="C23" s="2" t="s">
        <v>529</v>
      </c>
      <c r="D23" s="2" t="s">
        <v>530</v>
      </c>
      <c r="E23" s="2" t="s">
        <v>74</v>
      </c>
      <c r="F23" s="25" t="s">
        <v>532</v>
      </c>
      <c r="G23" s="2" t="s">
        <v>537</v>
      </c>
      <c r="H23" s="2" t="s">
        <v>538</v>
      </c>
      <c r="I23" s="2" t="s">
        <v>114</v>
      </c>
      <c r="J23" s="2" t="s">
        <v>539</v>
      </c>
      <c r="K23" s="2" t="s">
        <v>541</v>
      </c>
      <c r="L23" s="2" t="s">
        <v>542</v>
      </c>
      <c r="M23" s="2" t="s">
        <v>418</v>
      </c>
      <c r="N23" s="23">
        <v>2019</v>
      </c>
      <c r="O23" s="2" t="s">
        <v>82</v>
      </c>
      <c r="P23" s="2" t="s">
        <v>74</v>
      </c>
      <c r="Q23" s="2" t="s">
        <v>119</v>
      </c>
      <c r="R23" s="2" t="s">
        <v>300</v>
      </c>
      <c r="S23" s="2" t="s">
        <v>120</v>
      </c>
      <c r="T23" s="2" t="s">
        <v>74</v>
      </c>
      <c r="U23" s="2" t="s">
        <v>545</v>
      </c>
      <c r="V23" s="2" t="s">
        <v>190</v>
      </c>
      <c r="W23" s="2" t="s">
        <v>85</v>
      </c>
      <c r="X23" s="2" t="s">
        <v>74</v>
      </c>
      <c r="Y23" s="2" t="s">
        <v>546</v>
      </c>
      <c r="Z23" s="2" t="s">
        <v>89</v>
      </c>
      <c r="AA23" s="2" t="s">
        <v>90</v>
      </c>
      <c r="AB23" s="2" t="s">
        <v>547</v>
      </c>
      <c r="AC23" s="2" t="s">
        <v>548</v>
      </c>
      <c r="AD23" s="2" t="s">
        <v>284</v>
      </c>
      <c r="AE23" s="2" t="s">
        <v>94</v>
      </c>
      <c r="AF23" s="2" t="s">
        <v>74</v>
      </c>
      <c r="AG23" s="2" t="s">
        <v>74</v>
      </c>
      <c r="AH23" s="2" t="s">
        <v>550</v>
      </c>
      <c r="AI23" s="2" t="s">
        <v>74</v>
      </c>
      <c r="AJ23" s="2" t="s">
        <v>74</v>
      </c>
      <c r="AK23" s="2" t="s">
        <v>74</v>
      </c>
      <c r="AL23" s="2" t="s">
        <v>74</v>
      </c>
      <c r="AM23" s="2" t="s">
        <v>95</v>
      </c>
      <c r="AN23" s="2" t="s">
        <v>97</v>
      </c>
      <c r="AO23" s="2" t="s">
        <v>589</v>
      </c>
      <c r="AP23" s="2" t="s">
        <v>590</v>
      </c>
      <c r="AQ23" s="2" t="s">
        <v>336</v>
      </c>
      <c r="AR23" s="2" t="s">
        <v>74</v>
      </c>
      <c r="AS23" s="2" t="s">
        <v>591</v>
      </c>
      <c r="AT23" s="2" t="s">
        <v>102</v>
      </c>
      <c r="AU23" s="24" t="s">
        <v>592</v>
      </c>
      <c r="AV23" s="2"/>
      <c r="AW23" s="2" t="s">
        <v>103</v>
      </c>
      <c r="AX23" s="2" t="s">
        <v>312</v>
      </c>
      <c r="AY23" s="2" t="s">
        <v>288</v>
      </c>
      <c r="AZ23" s="2" t="s">
        <v>593</v>
      </c>
      <c r="BA23" s="2" t="s">
        <v>594</v>
      </c>
      <c r="BB23" s="2" t="s">
        <v>107</v>
      </c>
      <c r="BC23" s="2" t="s">
        <v>108</v>
      </c>
      <c r="BD23" s="2" t="s">
        <v>108</v>
      </c>
      <c r="BE23" s="2" t="s">
        <v>233</v>
      </c>
      <c r="BF23" s="23">
        <v>0</v>
      </c>
      <c r="BG23" s="2"/>
      <c r="BH23" s="2" t="s">
        <v>233</v>
      </c>
      <c r="BI23" s="2" t="s">
        <v>233</v>
      </c>
      <c r="BJ23" s="2"/>
      <c r="BK23" s="2" t="s">
        <v>74</v>
      </c>
      <c r="BL23" s="2"/>
      <c r="BM23" s="2"/>
    </row>
    <row r="24" spans="1:65" ht="12.5">
      <c r="A24" s="22">
        <v>43672.581142627314</v>
      </c>
      <c r="B24" s="2" t="s">
        <v>600</v>
      </c>
      <c r="C24" s="2" t="s">
        <v>601</v>
      </c>
      <c r="D24" s="2" t="s">
        <v>602</v>
      </c>
      <c r="E24" s="2" t="s">
        <v>83</v>
      </c>
      <c r="F24" s="25" t="s">
        <v>603</v>
      </c>
      <c r="G24" s="2" t="s">
        <v>605</v>
      </c>
      <c r="H24" s="2" t="s">
        <v>606</v>
      </c>
      <c r="I24" s="2" t="s">
        <v>77</v>
      </c>
      <c r="J24" s="2" t="s">
        <v>607</v>
      </c>
      <c r="K24" s="2" t="s">
        <v>608</v>
      </c>
      <c r="L24" s="2" t="s">
        <v>609</v>
      </c>
      <c r="M24" s="2" t="s">
        <v>610</v>
      </c>
      <c r="N24" s="23">
        <v>2017</v>
      </c>
      <c r="O24" s="2" t="s">
        <v>82</v>
      </c>
      <c r="P24" s="2" t="s">
        <v>74</v>
      </c>
      <c r="Q24" s="2" t="s">
        <v>611</v>
      </c>
      <c r="R24" s="2" t="s">
        <v>612</v>
      </c>
      <c r="S24" s="2" t="s">
        <v>613</v>
      </c>
      <c r="T24" s="2" t="s">
        <v>74</v>
      </c>
      <c r="U24" s="2" t="s">
        <v>614</v>
      </c>
      <c r="V24" s="2" t="s">
        <v>122</v>
      </c>
      <c r="W24" s="2" t="s">
        <v>161</v>
      </c>
      <c r="X24" s="2" t="s">
        <v>74</v>
      </c>
      <c r="Y24" s="2" t="s">
        <v>617</v>
      </c>
      <c r="Z24" s="2" t="s">
        <v>205</v>
      </c>
      <c r="AA24" s="2" t="s">
        <v>90</v>
      </c>
      <c r="AB24" s="2" t="s">
        <v>618</v>
      </c>
      <c r="AC24" s="2" t="s">
        <v>548</v>
      </c>
      <c r="AD24" s="2" t="s">
        <v>93</v>
      </c>
      <c r="AE24" s="2" t="s">
        <v>94</v>
      </c>
      <c r="AF24" s="2" t="s">
        <v>74</v>
      </c>
      <c r="AG24" s="2" t="s">
        <v>74</v>
      </c>
      <c r="AH24" s="2" t="s">
        <v>265</v>
      </c>
      <c r="AI24" s="2" t="s">
        <v>74</v>
      </c>
      <c r="AJ24" s="2" t="s">
        <v>74</v>
      </c>
      <c r="AK24" s="2" t="s">
        <v>233</v>
      </c>
      <c r="AL24" s="2" t="s">
        <v>74</v>
      </c>
      <c r="AM24" s="2" t="s">
        <v>74</v>
      </c>
      <c r="AN24" s="2" t="s">
        <v>97</v>
      </c>
      <c r="AO24" s="2" t="s">
        <v>130</v>
      </c>
      <c r="AP24" s="2" t="s">
        <v>620</v>
      </c>
      <c r="AQ24" s="2" t="s">
        <v>233</v>
      </c>
      <c r="AR24" s="2" t="s">
        <v>107</v>
      </c>
      <c r="AS24" s="2" t="s">
        <v>621</v>
      </c>
      <c r="AT24" s="2" t="s">
        <v>107</v>
      </c>
      <c r="AU24" s="2" t="s">
        <v>233</v>
      </c>
      <c r="AV24" s="2"/>
      <c r="AW24" s="2" t="s">
        <v>233</v>
      </c>
      <c r="AX24" s="2" t="s">
        <v>104</v>
      </c>
      <c r="AY24" s="2" t="s">
        <v>105</v>
      </c>
      <c r="AZ24" s="2" t="s">
        <v>233</v>
      </c>
      <c r="BA24" s="2"/>
      <c r="BB24" s="2" t="s">
        <v>233</v>
      </c>
      <c r="BC24" s="2" t="s">
        <v>233</v>
      </c>
      <c r="BD24" s="2" t="s">
        <v>233</v>
      </c>
      <c r="BE24" s="2" t="s">
        <v>233</v>
      </c>
      <c r="BF24" s="2" t="s">
        <v>233</v>
      </c>
      <c r="BG24" s="2"/>
      <c r="BH24" s="2" t="s">
        <v>624</v>
      </c>
      <c r="BI24" s="2" t="s">
        <v>233</v>
      </c>
      <c r="BJ24" s="2"/>
      <c r="BK24" s="2" t="s">
        <v>74</v>
      </c>
      <c r="BL24" s="24" t="s">
        <v>625</v>
      </c>
      <c r="BM24" s="24"/>
    </row>
    <row r="25" spans="1:65" ht="12.5">
      <c r="A25" s="22">
        <v>43672.709051481477</v>
      </c>
      <c r="B25" s="2" t="s">
        <v>626</v>
      </c>
      <c r="C25" s="2" t="s">
        <v>627</v>
      </c>
      <c r="D25" s="2" t="s">
        <v>628</v>
      </c>
      <c r="E25" s="2" t="s">
        <v>74</v>
      </c>
      <c r="F25" s="25" t="s">
        <v>629</v>
      </c>
      <c r="G25" s="2" t="s">
        <v>633</v>
      </c>
      <c r="H25" s="2" t="s">
        <v>634</v>
      </c>
      <c r="I25" s="2" t="s">
        <v>77</v>
      </c>
      <c r="J25" s="2" t="s">
        <v>635</v>
      </c>
      <c r="K25" s="2" t="s">
        <v>636</v>
      </c>
      <c r="L25" s="2" t="s">
        <v>637</v>
      </c>
      <c r="M25" s="2" t="s">
        <v>118</v>
      </c>
      <c r="N25" s="23">
        <v>2016</v>
      </c>
      <c r="O25" s="2" t="s">
        <v>82</v>
      </c>
      <c r="P25" s="2" t="s">
        <v>74</v>
      </c>
      <c r="Q25" s="2" t="s">
        <v>515</v>
      </c>
      <c r="R25" s="2" t="s">
        <v>639</v>
      </c>
      <c r="S25" s="2" t="s">
        <v>85</v>
      </c>
      <c r="T25" s="2" t="s">
        <v>74</v>
      </c>
      <c r="U25" s="2" t="s">
        <v>640</v>
      </c>
      <c r="V25" s="2" t="s">
        <v>260</v>
      </c>
      <c r="W25" s="2" t="s">
        <v>641</v>
      </c>
      <c r="X25" s="2" t="s">
        <v>107</v>
      </c>
      <c r="Y25" s="2"/>
      <c r="Z25" s="2" t="s">
        <v>125</v>
      </c>
      <c r="AA25" s="2" t="s">
        <v>126</v>
      </c>
      <c r="AB25" s="2" t="s">
        <v>642</v>
      </c>
      <c r="AC25" s="2" t="s">
        <v>162</v>
      </c>
      <c r="AD25" s="2" t="s">
        <v>284</v>
      </c>
      <c r="AE25" s="2" t="s">
        <v>264</v>
      </c>
      <c r="AF25" s="2" t="s">
        <v>74</v>
      </c>
      <c r="AG25" s="2" t="s">
        <v>74</v>
      </c>
      <c r="AH25" s="2" t="s">
        <v>643</v>
      </c>
      <c r="AI25" s="2" t="s">
        <v>74</v>
      </c>
      <c r="AJ25" s="2" t="s">
        <v>74</v>
      </c>
      <c r="AK25" s="2" t="s">
        <v>74</v>
      </c>
      <c r="AL25" s="2" t="s">
        <v>74</v>
      </c>
      <c r="AM25" s="2" t="s">
        <v>74</v>
      </c>
      <c r="AN25" s="2" t="s">
        <v>97</v>
      </c>
      <c r="AO25" s="2" t="s">
        <v>92</v>
      </c>
      <c r="AP25" s="2" t="s">
        <v>644</v>
      </c>
      <c r="AQ25" s="2" t="s">
        <v>365</v>
      </c>
      <c r="AR25" s="2" t="s">
        <v>74</v>
      </c>
      <c r="AS25" s="2" t="s">
        <v>101</v>
      </c>
      <c r="AT25" s="2" t="s">
        <v>107</v>
      </c>
      <c r="AU25" s="2" t="s">
        <v>107</v>
      </c>
      <c r="AV25" s="2"/>
      <c r="AW25" s="2" t="s">
        <v>107</v>
      </c>
      <c r="AX25" s="2" t="s">
        <v>167</v>
      </c>
      <c r="AY25" s="2" t="s">
        <v>105</v>
      </c>
      <c r="AZ25" s="2" t="s">
        <v>233</v>
      </c>
      <c r="BA25" s="2"/>
      <c r="BB25" s="2" t="s">
        <v>233</v>
      </c>
      <c r="BC25" s="2" t="s">
        <v>140</v>
      </c>
      <c r="BD25" s="2" t="s">
        <v>140</v>
      </c>
      <c r="BE25" s="2" t="s">
        <v>74</v>
      </c>
      <c r="BF25" s="2" t="s">
        <v>316</v>
      </c>
      <c r="BG25" s="25" t="s">
        <v>645</v>
      </c>
      <c r="BH25" s="2" t="s">
        <v>213</v>
      </c>
      <c r="BI25" s="2" t="s">
        <v>652</v>
      </c>
      <c r="BJ25" s="2"/>
      <c r="BK25" s="2" t="s">
        <v>74</v>
      </c>
      <c r="BL25" s="2"/>
      <c r="BM25" s="2"/>
    </row>
    <row r="26" spans="1:65" ht="12.5">
      <c r="A26" s="22">
        <v>43672.743725138891</v>
      </c>
      <c r="B26" s="2" t="s">
        <v>659</v>
      </c>
      <c r="C26" s="2" t="s">
        <v>660</v>
      </c>
      <c r="D26" s="2" t="s">
        <v>661</v>
      </c>
      <c r="E26" s="2" t="s">
        <v>74</v>
      </c>
      <c r="F26" s="2" t="s">
        <v>284</v>
      </c>
      <c r="G26" s="2" t="s">
        <v>659</v>
      </c>
      <c r="H26" s="2" t="s">
        <v>663</v>
      </c>
      <c r="I26" s="2" t="s">
        <v>665</v>
      </c>
      <c r="J26" s="2" t="s">
        <v>666</v>
      </c>
      <c r="K26" s="2" t="s">
        <v>608</v>
      </c>
      <c r="L26" s="2" t="s">
        <v>667</v>
      </c>
      <c r="M26" s="2" t="s">
        <v>81</v>
      </c>
      <c r="N26" s="23">
        <v>2019</v>
      </c>
      <c r="O26" s="2" t="s">
        <v>82</v>
      </c>
      <c r="P26" s="2" t="s">
        <v>83</v>
      </c>
      <c r="Q26" s="2"/>
      <c r="R26" s="2" t="s">
        <v>670</v>
      </c>
      <c r="S26" s="2" t="s">
        <v>385</v>
      </c>
      <c r="T26" s="2" t="s">
        <v>74</v>
      </c>
      <c r="U26" s="2" t="s">
        <v>674</v>
      </c>
      <c r="V26" s="2" t="s">
        <v>676</v>
      </c>
      <c r="W26" s="2" t="s">
        <v>123</v>
      </c>
      <c r="X26" s="2" t="s">
        <v>107</v>
      </c>
      <c r="Y26" s="2"/>
      <c r="Z26" s="2" t="s">
        <v>125</v>
      </c>
      <c r="AA26" s="2" t="s">
        <v>679</v>
      </c>
      <c r="AB26" s="2" t="s">
        <v>681</v>
      </c>
      <c r="AC26" s="2" t="s">
        <v>681</v>
      </c>
      <c r="AD26" s="2" t="s">
        <v>107</v>
      </c>
      <c r="AE26" s="2" t="s">
        <v>107</v>
      </c>
      <c r="AF26" s="2" t="s">
        <v>83</v>
      </c>
      <c r="AG26" s="2" t="s">
        <v>107</v>
      </c>
      <c r="AH26" s="2" t="s">
        <v>107</v>
      </c>
      <c r="AI26" s="2" t="s">
        <v>233</v>
      </c>
      <c r="AJ26" s="2" t="s">
        <v>107</v>
      </c>
      <c r="AK26" s="2" t="s">
        <v>107</v>
      </c>
      <c r="AL26" s="2" t="s">
        <v>107</v>
      </c>
      <c r="AM26" s="2" t="s">
        <v>107</v>
      </c>
      <c r="AN26" s="2" t="s">
        <v>107</v>
      </c>
      <c r="AO26" s="2" t="s">
        <v>107</v>
      </c>
      <c r="AP26" s="2" t="s">
        <v>308</v>
      </c>
      <c r="AQ26" s="2" t="s">
        <v>683</v>
      </c>
      <c r="AR26" s="2" t="s">
        <v>74</v>
      </c>
      <c r="AS26" s="2" t="s">
        <v>107</v>
      </c>
      <c r="AT26" s="2" t="s">
        <v>107</v>
      </c>
      <c r="AU26" s="2" t="s">
        <v>107</v>
      </c>
      <c r="AV26" s="2"/>
      <c r="AW26" s="2" t="s">
        <v>107</v>
      </c>
      <c r="AX26" s="2" t="s">
        <v>107</v>
      </c>
      <c r="AY26" s="2" t="s">
        <v>107</v>
      </c>
      <c r="AZ26" s="2" t="s">
        <v>107</v>
      </c>
      <c r="BA26" s="2"/>
      <c r="BB26" s="2" t="s">
        <v>107</v>
      </c>
      <c r="BC26" s="2" t="s">
        <v>108</v>
      </c>
      <c r="BD26" s="2" t="s">
        <v>108</v>
      </c>
      <c r="BE26" s="2" t="s">
        <v>107</v>
      </c>
      <c r="BF26" s="2" t="s">
        <v>107</v>
      </c>
      <c r="BG26" s="2"/>
      <c r="BH26" s="2" t="s">
        <v>107</v>
      </c>
      <c r="BI26" s="2" t="s">
        <v>107</v>
      </c>
      <c r="BJ26" s="2"/>
      <c r="BK26" s="2" t="s">
        <v>74</v>
      </c>
      <c r="BL26" s="24" t="s">
        <v>686</v>
      </c>
      <c r="BM26" s="24"/>
    </row>
    <row r="27" spans="1:65" ht="12.5">
      <c r="A27" s="22">
        <v>43673.651002372688</v>
      </c>
      <c r="B27" s="2" t="s">
        <v>595</v>
      </c>
      <c r="C27" s="2" t="s">
        <v>596</v>
      </c>
      <c r="D27" s="2" t="s">
        <v>698</v>
      </c>
      <c r="E27" s="2" t="s">
        <v>83</v>
      </c>
      <c r="F27" s="25" t="s">
        <v>700</v>
      </c>
      <c r="G27" s="2" t="s">
        <v>708</v>
      </c>
      <c r="H27" s="2" t="s">
        <v>709</v>
      </c>
      <c r="I27" s="2" t="s">
        <v>152</v>
      </c>
      <c r="J27" s="2" t="s">
        <v>78</v>
      </c>
      <c r="K27" s="2" t="s">
        <v>79</v>
      </c>
      <c r="L27" s="2" t="s">
        <v>710</v>
      </c>
      <c r="M27" s="2" t="s">
        <v>118</v>
      </c>
      <c r="N27" s="2" t="s">
        <v>107</v>
      </c>
      <c r="O27" s="2" t="s">
        <v>82</v>
      </c>
      <c r="P27" s="2" t="s">
        <v>83</v>
      </c>
      <c r="Q27" s="2"/>
      <c r="R27" s="2" t="s">
        <v>84</v>
      </c>
      <c r="S27" s="2" t="s">
        <v>712</v>
      </c>
      <c r="T27" s="2" t="s">
        <v>74</v>
      </c>
      <c r="U27" s="2" t="s">
        <v>715</v>
      </c>
      <c r="V27" s="2" t="s">
        <v>260</v>
      </c>
      <c r="W27" s="2" t="s">
        <v>366</v>
      </c>
      <c r="X27" s="2" t="s">
        <v>107</v>
      </c>
      <c r="Y27" s="2"/>
      <c r="Z27" s="2" t="s">
        <v>303</v>
      </c>
      <c r="AA27" s="2" t="s">
        <v>126</v>
      </c>
      <c r="AB27" s="2" t="s">
        <v>409</v>
      </c>
      <c r="AC27" s="2" t="s">
        <v>207</v>
      </c>
      <c r="AD27" s="2" t="s">
        <v>93</v>
      </c>
      <c r="AE27" s="2" t="s">
        <v>94</v>
      </c>
      <c r="AF27" s="2" t="s">
        <v>83</v>
      </c>
      <c r="AG27" s="2" t="s">
        <v>83</v>
      </c>
      <c r="AH27" s="2" t="s">
        <v>107</v>
      </c>
      <c r="AI27" s="2" t="s">
        <v>74</v>
      </c>
      <c r="AJ27" s="2" t="s">
        <v>74</v>
      </c>
      <c r="AK27" s="2" t="s">
        <v>107</v>
      </c>
      <c r="AL27" s="2" t="s">
        <v>107</v>
      </c>
      <c r="AM27" s="2" t="s">
        <v>107</v>
      </c>
      <c r="AN27" s="2" t="s">
        <v>233</v>
      </c>
      <c r="AO27" s="2" t="s">
        <v>130</v>
      </c>
      <c r="AP27" s="2" t="s">
        <v>725</v>
      </c>
      <c r="AQ27" s="2" t="s">
        <v>631</v>
      </c>
      <c r="AR27" s="2" t="s">
        <v>107</v>
      </c>
      <c r="AS27" s="2" t="s">
        <v>107</v>
      </c>
      <c r="AT27" s="2" t="s">
        <v>107</v>
      </c>
      <c r="AU27" s="2" t="s">
        <v>74</v>
      </c>
      <c r="AV27" s="2" t="s">
        <v>728</v>
      </c>
      <c r="AW27" s="2" t="s">
        <v>233</v>
      </c>
      <c r="AX27" s="2" t="s">
        <v>522</v>
      </c>
      <c r="AY27" s="2" t="s">
        <v>370</v>
      </c>
      <c r="AZ27" s="2" t="s">
        <v>269</v>
      </c>
      <c r="BA27" s="2" t="s">
        <v>732</v>
      </c>
      <c r="BB27" s="2" t="s">
        <v>233</v>
      </c>
      <c r="BC27" s="2" t="s">
        <v>139</v>
      </c>
      <c r="BD27" s="2" t="s">
        <v>171</v>
      </c>
      <c r="BE27" s="2" t="s">
        <v>83</v>
      </c>
      <c r="BF27" s="2" t="s">
        <v>107</v>
      </c>
      <c r="BG27" s="2"/>
      <c r="BH27" s="2" t="s">
        <v>107</v>
      </c>
      <c r="BI27" s="2" t="s">
        <v>107</v>
      </c>
      <c r="BJ27" s="2"/>
      <c r="BK27" s="2" t="s">
        <v>74</v>
      </c>
      <c r="BL27" s="2"/>
      <c r="BM27" s="24" t="s">
        <v>1386</v>
      </c>
    </row>
    <row r="28" spans="1:65" ht="12.5">
      <c r="A28" s="22">
        <v>43675.406173912037</v>
      </c>
      <c r="B28" s="2" t="s">
        <v>573</v>
      </c>
      <c r="C28" s="2" t="s">
        <v>574</v>
      </c>
      <c r="D28" s="2" t="s">
        <v>575</v>
      </c>
      <c r="E28" s="2" t="s">
        <v>74</v>
      </c>
      <c r="F28" s="25" t="s">
        <v>576</v>
      </c>
      <c r="G28" s="2" t="s">
        <v>573</v>
      </c>
      <c r="H28" s="2" t="s">
        <v>577</v>
      </c>
      <c r="I28" s="2" t="s">
        <v>152</v>
      </c>
      <c r="J28" s="2" t="s">
        <v>578</v>
      </c>
      <c r="K28" s="2" t="s">
        <v>579</v>
      </c>
      <c r="L28" s="2" t="s">
        <v>580</v>
      </c>
      <c r="M28" s="2" t="s">
        <v>418</v>
      </c>
      <c r="N28" s="23">
        <v>2014</v>
      </c>
      <c r="O28" s="2" t="s">
        <v>82</v>
      </c>
      <c r="P28" s="2" t="s">
        <v>74</v>
      </c>
      <c r="Q28" s="2" t="s">
        <v>256</v>
      </c>
      <c r="R28" s="2" t="s">
        <v>581</v>
      </c>
      <c r="S28" s="2" t="s">
        <v>85</v>
      </c>
      <c r="T28" s="2" t="s">
        <v>158</v>
      </c>
      <c r="U28" s="2" t="s">
        <v>582</v>
      </c>
      <c r="V28" s="2" t="s">
        <v>491</v>
      </c>
      <c r="W28" s="2" t="s">
        <v>85</v>
      </c>
      <c r="X28" s="2" t="s">
        <v>74</v>
      </c>
      <c r="Y28" s="2" t="s">
        <v>583</v>
      </c>
      <c r="Z28" s="2" t="s">
        <v>89</v>
      </c>
      <c r="AA28" s="2" t="s">
        <v>126</v>
      </c>
      <c r="AB28" s="2" t="s">
        <v>544</v>
      </c>
      <c r="AC28" s="2" t="s">
        <v>92</v>
      </c>
      <c r="AD28" s="2" t="s">
        <v>584</v>
      </c>
      <c r="AE28" s="2" t="s">
        <v>585</v>
      </c>
      <c r="AF28" s="2" t="s">
        <v>95</v>
      </c>
      <c r="AG28" s="2" t="s">
        <v>83</v>
      </c>
      <c r="AH28" s="2" t="s">
        <v>284</v>
      </c>
      <c r="AI28" s="2" t="s">
        <v>74</v>
      </c>
      <c r="AJ28" s="2" t="s">
        <v>95</v>
      </c>
      <c r="AK28" s="2" t="s">
        <v>83</v>
      </c>
      <c r="AL28" s="2" t="s">
        <v>74</v>
      </c>
      <c r="AM28" s="2" t="s">
        <v>74</v>
      </c>
      <c r="AN28" s="2" t="s">
        <v>97</v>
      </c>
      <c r="AO28" s="2" t="s">
        <v>130</v>
      </c>
      <c r="AP28" s="2" t="s">
        <v>229</v>
      </c>
      <c r="AQ28" s="2" t="s">
        <v>365</v>
      </c>
      <c r="AR28" s="2" t="s">
        <v>74</v>
      </c>
      <c r="AS28" s="2" t="s">
        <v>586</v>
      </c>
      <c r="AT28" s="2" t="s">
        <v>102</v>
      </c>
      <c r="AU28" s="2" t="s">
        <v>233</v>
      </c>
      <c r="AV28" s="2"/>
      <c r="AW28" s="2" t="s">
        <v>103</v>
      </c>
      <c r="AX28" s="2" t="s">
        <v>233</v>
      </c>
      <c r="AY28" s="2" t="s">
        <v>233</v>
      </c>
      <c r="AZ28" s="2" t="s">
        <v>233</v>
      </c>
      <c r="BA28" s="2"/>
      <c r="BB28" s="2" t="s">
        <v>212</v>
      </c>
      <c r="BC28" s="2" t="s">
        <v>341</v>
      </c>
      <c r="BD28" s="2" t="s">
        <v>140</v>
      </c>
      <c r="BE28" s="2" t="s">
        <v>83</v>
      </c>
      <c r="BF28" s="23">
        <v>0</v>
      </c>
      <c r="BG28" s="2"/>
      <c r="BH28" s="2" t="s">
        <v>233</v>
      </c>
      <c r="BI28" s="2" t="s">
        <v>587</v>
      </c>
      <c r="BJ28" s="2"/>
      <c r="BK28" s="2" t="s">
        <v>74</v>
      </c>
      <c r="BL28" s="2"/>
      <c r="BM28" s="2"/>
    </row>
    <row r="29" spans="1:65" ht="12.5">
      <c r="A29" s="22">
        <v>43675.445233761573</v>
      </c>
      <c r="B29" s="2" t="s">
        <v>595</v>
      </c>
      <c r="C29" s="2" t="s">
        <v>596</v>
      </c>
      <c r="D29" s="2" t="s">
        <v>597</v>
      </c>
      <c r="E29" s="2" t="s">
        <v>83</v>
      </c>
      <c r="F29" s="25" t="s">
        <v>598</v>
      </c>
      <c r="G29" s="25" t="s">
        <v>604</v>
      </c>
      <c r="H29" s="2" t="s">
        <v>615</v>
      </c>
      <c r="I29" s="2" t="s">
        <v>616</v>
      </c>
      <c r="J29" s="2" t="s">
        <v>78</v>
      </c>
      <c r="K29" s="2" t="s">
        <v>79</v>
      </c>
      <c r="L29" s="2" t="s">
        <v>619</v>
      </c>
      <c r="M29" s="2" t="s">
        <v>118</v>
      </c>
      <c r="N29" s="23">
        <v>2017</v>
      </c>
      <c r="O29" s="2" t="s">
        <v>82</v>
      </c>
      <c r="P29" s="2" t="s">
        <v>83</v>
      </c>
      <c r="Q29" s="2"/>
      <c r="R29" s="2" t="s">
        <v>84</v>
      </c>
      <c r="S29" s="2" t="s">
        <v>622</v>
      </c>
      <c r="T29" s="2" t="s">
        <v>158</v>
      </c>
      <c r="U29" s="2" t="s">
        <v>623</v>
      </c>
      <c r="V29" s="2" t="s">
        <v>451</v>
      </c>
      <c r="W29" s="2" t="s">
        <v>123</v>
      </c>
      <c r="X29" s="2" t="s">
        <v>107</v>
      </c>
      <c r="Y29" s="2"/>
      <c r="Z29" s="2" t="s">
        <v>89</v>
      </c>
      <c r="AA29" s="2" t="s">
        <v>126</v>
      </c>
      <c r="AB29" s="2" t="s">
        <v>32</v>
      </c>
      <c r="AC29" s="2" t="s">
        <v>92</v>
      </c>
      <c r="AD29" s="2" t="s">
        <v>93</v>
      </c>
      <c r="AE29" s="2" t="s">
        <v>94</v>
      </c>
      <c r="AF29" s="2" t="s">
        <v>83</v>
      </c>
      <c r="AG29" s="2" t="s">
        <v>83</v>
      </c>
      <c r="AH29" s="2" t="s">
        <v>284</v>
      </c>
      <c r="AI29" s="2" t="s">
        <v>74</v>
      </c>
      <c r="AJ29" s="2" t="s">
        <v>107</v>
      </c>
      <c r="AK29" s="2" t="s">
        <v>107</v>
      </c>
      <c r="AL29" s="2" t="s">
        <v>107</v>
      </c>
      <c r="AM29" s="2" t="s">
        <v>95</v>
      </c>
      <c r="AN29" s="2" t="s">
        <v>630</v>
      </c>
      <c r="AO29" s="2" t="s">
        <v>233</v>
      </c>
      <c r="AP29" s="2" t="s">
        <v>285</v>
      </c>
      <c r="AQ29" s="2" t="s">
        <v>631</v>
      </c>
      <c r="AR29" s="2" t="s">
        <v>107</v>
      </c>
      <c r="AS29" s="2" t="s">
        <v>107</v>
      </c>
      <c r="AT29" s="2" t="s">
        <v>107</v>
      </c>
      <c r="AU29" s="2" t="s">
        <v>74</v>
      </c>
      <c r="AV29" s="2" t="s">
        <v>632</v>
      </c>
      <c r="AW29" s="2" t="s">
        <v>233</v>
      </c>
      <c r="AX29" s="2" t="s">
        <v>167</v>
      </c>
      <c r="AY29" s="2" t="s">
        <v>370</v>
      </c>
      <c r="AZ29" s="2" t="s">
        <v>168</v>
      </c>
      <c r="BA29" s="2" t="s">
        <v>638</v>
      </c>
      <c r="BB29" s="23">
        <v>0</v>
      </c>
      <c r="BC29" s="2" t="s">
        <v>108</v>
      </c>
      <c r="BD29" s="2" t="s">
        <v>171</v>
      </c>
      <c r="BE29" s="2" t="s">
        <v>83</v>
      </c>
      <c r="BF29" s="2" t="s">
        <v>107</v>
      </c>
      <c r="BG29" s="2"/>
      <c r="BH29" s="2" t="s">
        <v>107</v>
      </c>
      <c r="BI29" s="2" t="s">
        <v>107</v>
      </c>
      <c r="BJ29" s="2"/>
      <c r="BK29" s="2" t="s">
        <v>74</v>
      </c>
      <c r="BL29" s="2"/>
      <c r="BM29" s="24" t="s">
        <v>1399</v>
      </c>
    </row>
    <row r="30" spans="1:65" ht="12.5">
      <c r="A30" s="22">
        <v>43675.445855925922</v>
      </c>
      <c r="B30" s="2" t="s">
        <v>740</v>
      </c>
      <c r="C30" s="2" t="s">
        <v>741</v>
      </c>
      <c r="D30" s="2" t="s">
        <v>742</v>
      </c>
      <c r="E30" s="2" t="s">
        <v>74</v>
      </c>
      <c r="F30" s="25" t="s">
        <v>743</v>
      </c>
      <c r="G30" s="2" t="s">
        <v>745</v>
      </c>
      <c r="H30" s="2" t="s">
        <v>746</v>
      </c>
      <c r="I30" s="2" t="s">
        <v>152</v>
      </c>
      <c r="J30" s="2" t="s">
        <v>697</v>
      </c>
      <c r="K30" s="2" t="s">
        <v>748</v>
      </c>
      <c r="L30" s="2" t="s">
        <v>749</v>
      </c>
      <c r="M30" s="2" t="s">
        <v>298</v>
      </c>
      <c r="N30" s="23">
        <v>2017</v>
      </c>
      <c r="O30" s="2" t="s">
        <v>82</v>
      </c>
      <c r="P30" s="2" t="s">
        <v>74</v>
      </c>
      <c r="Q30" s="2" t="s">
        <v>256</v>
      </c>
      <c r="R30" s="2" t="s">
        <v>84</v>
      </c>
      <c r="S30" s="2" t="s">
        <v>85</v>
      </c>
      <c r="T30" s="2" t="s">
        <v>74</v>
      </c>
      <c r="U30" s="2" t="s">
        <v>752</v>
      </c>
      <c r="V30" s="2" t="s">
        <v>190</v>
      </c>
      <c r="W30" s="2" t="s">
        <v>123</v>
      </c>
      <c r="X30" s="2" t="s">
        <v>83</v>
      </c>
      <c r="Y30" s="2"/>
      <c r="Z30" s="2" t="s">
        <v>125</v>
      </c>
      <c r="AA30" s="2" t="s">
        <v>90</v>
      </c>
      <c r="AB30" s="2" t="s">
        <v>756</v>
      </c>
      <c r="AC30" s="2" t="s">
        <v>162</v>
      </c>
      <c r="AD30" s="2" t="s">
        <v>284</v>
      </c>
      <c r="AE30" s="2" t="s">
        <v>94</v>
      </c>
      <c r="AF30" s="2" t="s">
        <v>74</v>
      </c>
      <c r="AG30" s="2" t="s">
        <v>74</v>
      </c>
      <c r="AH30" s="2" t="s">
        <v>164</v>
      </c>
      <c r="AI30" s="2" t="s">
        <v>74</v>
      </c>
      <c r="AJ30" s="2" t="s">
        <v>233</v>
      </c>
      <c r="AK30" s="2" t="s">
        <v>74</v>
      </c>
      <c r="AL30" s="2" t="s">
        <v>74</v>
      </c>
      <c r="AM30" s="2" t="s">
        <v>74</v>
      </c>
      <c r="AN30" s="2" t="s">
        <v>97</v>
      </c>
      <c r="AO30" s="2" t="s">
        <v>130</v>
      </c>
      <c r="AP30" s="2" t="s">
        <v>308</v>
      </c>
      <c r="AQ30" s="2" t="s">
        <v>631</v>
      </c>
      <c r="AR30" s="2" t="s">
        <v>74</v>
      </c>
      <c r="AS30" s="2" t="s">
        <v>759</v>
      </c>
      <c r="AT30" s="2" t="s">
        <v>760</v>
      </c>
      <c r="AU30" s="2" t="s">
        <v>83</v>
      </c>
      <c r="AV30" s="2"/>
      <c r="AW30" s="2" t="s">
        <v>233</v>
      </c>
      <c r="AX30" s="2" t="s">
        <v>761</v>
      </c>
      <c r="AY30" s="2" t="s">
        <v>339</v>
      </c>
      <c r="AZ30" s="2" t="s">
        <v>233</v>
      </c>
      <c r="BA30" s="2"/>
      <c r="BB30" s="2" t="s">
        <v>107</v>
      </c>
      <c r="BC30" s="2" t="s">
        <v>172</v>
      </c>
      <c r="BD30" s="2" t="s">
        <v>139</v>
      </c>
      <c r="BE30" s="2" t="s">
        <v>233</v>
      </c>
      <c r="BF30" s="23">
        <v>0</v>
      </c>
      <c r="BG30" s="2"/>
      <c r="BH30" s="2" t="s">
        <v>233</v>
      </c>
      <c r="BI30" s="2" t="s">
        <v>233</v>
      </c>
      <c r="BJ30" s="2"/>
      <c r="BK30" s="2" t="s">
        <v>74</v>
      </c>
      <c r="BL30" s="24" t="s">
        <v>764</v>
      </c>
      <c r="BM30" s="24"/>
    </row>
    <row r="31" spans="1:65" ht="12.5">
      <c r="A31" s="22">
        <v>43675.465374849533</v>
      </c>
      <c r="B31" s="2" t="s">
        <v>595</v>
      </c>
      <c r="C31" s="2" t="s">
        <v>596</v>
      </c>
      <c r="D31" s="2" t="s">
        <v>772</v>
      </c>
      <c r="E31" s="2" t="s">
        <v>83</v>
      </c>
      <c r="F31" s="25" t="s">
        <v>774</v>
      </c>
      <c r="G31" s="2" t="s">
        <v>778</v>
      </c>
      <c r="H31" s="2" t="s">
        <v>781</v>
      </c>
      <c r="I31" s="2" t="s">
        <v>77</v>
      </c>
      <c r="J31" s="2" t="s">
        <v>78</v>
      </c>
      <c r="K31" s="2" t="s">
        <v>79</v>
      </c>
      <c r="L31" s="2" t="s">
        <v>784</v>
      </c>
      <c r="M31" s="2" t="s">
        <v>418</v>
      </c>
      <c r="N31" s="23">
        <v>2015</v>
      </c>
      <c r="O31" s="2" t="s">
        <v>107</v>
      </c>
      <c r="P31" s="2" t="s">
        <v>74</v>
      </c>
      <c r="Q31" s="2" t="s">
        <v>788</v>
      </c>
      <c r="R31" s="2" t="s">
        <v>790</v>
      </c>
      <c r="S31" s="2" t="s">
        <v>85</v>
      </c>
      <c r="T31" s="2" t="s">
        <v>74</v>
      </c>
      <c r="U31" s="2" t="s">
        <v>791</v>
      </c>
      <c r="V31" s="2" t="s">
        <v>792</v>
      </c>
      <c r="W31" s="2" t="s">
        <v>123</v>
      </c>
      <c r="X31" s="2" t="s">
        <v>74</v>
      </c>
      <c r="Y31" s="2" t="s">
        <v>794</v>
      </c>
      <c r="Z31" s="2" t="s">
        <v>89</v>
      </c>
      <c r="AA31" s="2" t="s">
        <v>126</v>
      </c>
      <c r="AB31" s="2" t="s">
        <v>797</v>
      </c>
      <c r="AC31" s="2" t="s">
        <v>92</v>
      </c>
      <c r="AD31" s="2" t="s">
        <v>93</v>
      </c>
      <c r="AE31" s="2" t="s">
        <v>264</v>
      </c>
      <c r="AF31" s="2" t="s">
        <v>74</v>
      </c>
      <c r="AG31" s="2" t="s">
        <v>74</v>
      </c>
      <c r="AH31" s="2" t="s">
        <v>96</v>
      </c>
      <c r="AI31" s="2" t="s">
        <v>107</v>
      </c>
      <c r="AJ31" s="2" t="s">
        <v>107</v>
      </c>
      <c r="AK31" s="2" t="s">
        <v>74</v>
      </c>
      <c r="AL31" s="2" t="s">
        <v>74</v>
      </c>
      <c r="AM31" s="2" t="s">
        <v>74</v>
      </c>
      <c r="AN31" s="2" t="s">
        <v>97</v>
      </c>
      <c r="AO31" s="2" t="s">
        <v>130</v>
      </c>
      <c r="AP31" s="2" t="s">
        <v>802</v>
      </c>
      <c r="AQ31" s="2" t="s">
        <v>631</v>
      </c>
      <c r="AR31" s="2" t="s">
        <v>74</v>
      </c>
      <c r="AS31" s="2" t="s">
        <v>107</v>
      </c>
      <c r="AT31" s="2" t="s">
        <v>107</v>
      </c>
      <c r="AU31" s="2" t="s">
        <v>107</v>
      </c>
      <c r="AV31" s="2"/>
      <c r="AW31" s="2" t="s">
        <v>233</v>
      </c>
      <c r="AX31" s="2" t="s">
        <v>805</v>
      </c>
      <c r="AY31" s="2" t="s">
        <v>105</v>
      </c>
      <c r="AZ31" s="2" t="s">
        <v>593</v>
      </c>
      <c r="BA31" s="2" t="s">
        <v>808</v>
      </c>
      <c r="BB31" s="2" t="s">
        <v>233</v>
      </c>
      <c r="BC31" s="2" t="s">
        <v>139</v>
      </c>
      <c r="BD31" s="2" t="s">
        <v>108</v>
      </c>
      <c r="BE31" s="2" t="s">
        <v>74</v>
      </c>
      <c r="BF31" s="2" t="s">
        <v>107</v>
      </c>
      <c r="BG31" s="2"/>
      <c r="BH31" s="2" t="s">
        <v>107</v>
      </c>
      <c r="BI31" s="2" t="s">
        <v>107</v>
      </c>
      <c r="BJ31" s="2"/>
      <c r="BK31" s="2" t="s">
        <v>74</v>
      </c>
      <c r="BL31" s="2"/>
      <c r="BM31" s="24" t="s">
        <v>1416</v>
      </c>
    </row>
    <row r="32" spans="1:65" ht="12.5">
      <c r="A32" s="22">
        <v>43678.44958724537</v>
      </c>
      <c r="B32" s="2" t="s">
        <v>818</v>
      </c>
      <c r="C32" s="2" t="s">
        <v>820</v>
      </c>
      <c r="D32" s="2" t="s">
        <v>821</v>
      </c>
      <c r="E32" s="2" t="s">
        <v>74</v>
      </c>
      <c r="F32" s="25" t="s">
        <v>822</v>
      </c>
      <c r="G32" s="2" t="s">
        <v>818</v>
      </c>
      <c r="H32" s="2" t="s">
        <v>1423</v>
      </c>
      <c r="I32" s="2" t="s">
        <v>152</v>
      </c>
      <c r="J32" s="2" t="s">
        <v>578</v>
      </c>
      <c r="K32" s="2" t="s">
        <v>825</v>
      </c>
      <c r="L32" s="2" t="s">
        <v>826</v>
      </c>
      <c r="M32" s="2" t="s">
        <v>298</v>
      </c>
      <c r="N32" s="23">
        <v>2017</v>
      </c>
      <c r="O32" s="2" t="s">
        <v>82</v>
      </c>
      <c r="P32" s="2" t="s">
        <v>95</v>
      </c>
      <c r="Q32" s="2" t="s">
        <v>256</v>
      </c>
      <c r="R32" s="2" t="s">
        <v>827</v>
      </c>
      <c r="S32" s="2" t="s">
        <v>734</v>
      </c>
      <c r="T32" s="2" t="s">
        <v>74</v>
      </c>
      <c r="U32" s="2" t="s">
        <v>828</v>
      </c>
      <c r="V32" s="2" t="s">
        <v>829</v>
      </c>
      <c r="W32" s="2" t="s">
        <v>366</v>
      </c>
      <c r="X32" s="2" t="s">
        <v>74</v>
      </c>
      <c r="Y32" s="2" t="s">
        <v>830</v>
      </c>
      <c r="Z32" s="2" t="s">
        <v>303</v>
      </c>
      <c r="AA32" s="2" t="s">
        <v>126</v>
      </c>
      <c r="AB32" s="2" t="s">
        <v>831</v>
      </c>
      <c r="AC32" s="2" t="s">
        <v>92</v>
      </c>
      <c r="AD32" s="2" t="s">
        <v>284</v>
      </c>
      <c r="AE32" s="2" t="s">
        <v>163</v>
      </c>
      <c r="AF32" s="2" t="s">
        <v>74</v>
      </c>
      <c r="AG32" s="2" t="s">
        <v>74</v>
      </c>
      <c r="AH32" s="2" t="s">
        <v>96</v>
      </c>
      <c r="AI32" s="2" t="s">
        <v>74</v>
      </c>
      <c r="AJ32" s="2" t="s">
        <v>83</v>
      </c>
      <c r="AK32" s="2" t="s">
        <v>74</v>
      </c>
      <c r="AL32" s="2" t="s">
        <v>74</v>
      </c>
      <c r="AM32" s="2" t="s">
        <v>74</v>
      </c>
      <c r="AN32" s="2" t="s">
        <v>97</v>
      </c>
      <c r="AO32" s="2" t="s">
        <v>233</v>
      </c>
      <c r="AP32" s="2" t="s">
        <v>99</v>
      </c>
      <c r="AQ32" s="2" t="s">
        <v>166</v>
      </c>
      <c r="AR32" s="2" t="s">
        <v>74</v>
      </c>
      <c r="AS32" s="2" t="s">
        <v>832</v>
      </c>
      <c r="AT32" s="2" t="s">
        <v>107</v>
      </c>
      <c r="AU32" s="2" t="s">
        <v>83</v>
      </c>
      <c r="AV32" s="2"/>
      <c r="AW32" s="2" t="s">
        <v>233</v>
      </c>
      <c r="AX32" s="2" t="s">
        <v>833</v>
      </c>
      <c r="AY32" s="2" t="s">
        <v>288</v>
      </c>
      <c r="AZ32" s="2" t="s">
        <v>313</v>
      </c>
      <c r="BA32" s="2"/>
      <c r="BB32" s="2" t="s">
        <v>107</v>
      </c>
      <c r="BC32" s="2" t="s">
        <v>108</v>
      </c>
      <c r="BD32" s="2" t="s">
        <v>108</v>
      </c>
      <c r="BE32" s="2" t="s">
        <v>83</v>
      </c>
      <c r="BF32" s="2" t="s">
        <v>107</v>
      </c>
      <c r="BG32" s="2"/>
      <c r="BH32" s="2" t="s">
        <v>233</v>
      </c>
      <c r="BI32" s="2" t="s">
        <v>233</v>
      </c>
      <c r="BJ32" s="2"/>
      <c r="BK32" s="2" t="s">
        <v>74</v>
      </c>
      <c r="BL32" s="2"/>
      <c r="BM32" s="2"/>
    </row>
    <row r="33" spans="1:65" ht="12.5">
      <c r="A33" s="22">
        <v>43679.49545642361</v>
      </c>
      <c r="B33" s="2" t="s">
        <v>834</v>
      </c>
      <c r="C33" s="2" t="s">
        <v>835</v>
      </c>
      <c r="D33" s="25" t="s">
        <v>836</v>
      </c>
      <c r="E33" s="2" t="s">
        <v>83</v>
      </c>
      <c r="F33" s="25" t="s">
        <v>844</v>
      </c>
      <c r="G33" s="2" t="s">
        <v>834</v>
      </c>
      <c r="H33" s="2" t="s">
        <v>847</v>
      </c>
      <c r="I33" s="2" t="s">
        <v>152</v>
      </c>
      <c r="J33" s="2" t="s">
        <v>510</v>
      </c>
      <c r="K33" s="2" t="s">
        <v>511</v>
      </c>
      <c r="L33" s="2" t="s">
        <v>851</v>
      </c>
      <c r="M33" s="2" t="s">
        <v>81</v>
      </c>
      <c r="N33" s="23">
        <v>2018</v>
      </c>
      <c r="O33" s="2" t="s">
        <v>82</v>
      </c>
      <c r="P33" s="2" t="s">
        <v>74</v>
      </c>
      <c r="Q33" s="2" t="s">
        <v>282</v>
      </c>
      <c r="R33" s="2" t="s">
        <v>84</v>
      </c>
      <c r="S33" s="2" t="s">
        <v>85</v>
      </c>
      <c r="T33" s="2" t="s">
        <v>74</v>
      </c>
      <c r="U33" s="2" t="s">
        <v>854</v>
      </c>
      <c r="V33" s="2" t="s">
        <v>190</v>
      </c>
      <c r="W33" s="2" t="s">
        <v>85</v>
      </c>
      <c r="X33" s="24" t="s">
        <v>855</v>
      </c>
      <c r="Y33" s="2"/>
      <c r="Z33" s="2" t="s">
        <v>303</v>
      </c>
      <c r="AA33" s="2" t="s">
        <v>126</v>
      </c>
      <c r="AB33" s="2" t="s">
        <v>856</v>
      </c>
      <c r="AC33" s="2" t="s">
        <v>128</v>
      </c>
      <c r="AD33" s="2" t="s">
        <v>93</v>
      </c>
      <c r="AE33" s="2" t="s">
        <v>94</v>
      </c>
      <c r="AF33" s="2" t="s">
        <v>95</v>
      </c>
      <c r="AG33" s="2" t="s">
        <v>107</v>
      </c>
      <c r="AH33" s="2" t="s">
        <v>284</v>
      </c>
      <c r="AI33" s="2" t="s">
        <v>208</v>
      </c>
      <c r="AJ33" s="2" t="s">
        <v>95</v>
      </c>
      <c r="AK33" s="2" t="s">
        <v>74</v>
      </c>
      <c r="AL33" s="2" t="s">
        <v>74</v>
      </c>
      <c r="AM33" s="2" t="s">
        <v>74</v>
      </c>
      <c r="AN33" s="2" t="s">
        <v>97</v>
      </c>
      <c r="AO33" s="2" t="s">
        <v>130</v>
      </c>
      <c r="AP33" s="2" t="s">
        <v>725</v>
      </c>
      <c r="AQ33" s="2" t="s">
        <v>365</v>
      </c>
      <c r="AR33" s="2" t="s">
        <v>74</v>
      </c>
      <c r="AS33" s="2" t="s">
        <v>107</v>
      </c>
      <c r="AT33" s="2" t="s">
        <v>102</v>
      </c>
      <c r="AU33" s="2" t="s">
        <v>107</v>
      </c>
      <c r="AV33" s="2"/>
      <c r="AW33" s="2" t="s">
        <v>107</v>
      </c>
      <c r="AX33" s="2" t="s">
        <v>805</v>
      </c>
      <c r="AY33" s="2" t="s">
        <v>288</v>
      </c>
      <c r="AZ33" s="24" t="s">
        <v>861</v>
      </c>
      <c r="BA33" s="2"/>
      <c r="BB33" s="2" t="s">
        <v>107</v>
      </c>
      <c r="BC33" s="2" t="s">
        <v>172</v>
      </c>
      <c r="BD33" s="2" t="s">
        <v>108</v>
      </c>
      <c r="BE33" s="2" t="s">
        <v>107</v>
      </c>
      <c r="BF33" s="2" t="s">
        <v>233</v>
      </c>
      <c r="BG33" s="2"/>
      <c r="BH33" s="2" t="s">
        <v>233</v>
      </c>
      <c r="BI33" s="2" t="s">
        <v>233</v>
      </c>
      <c r="BJ33" s="2"/>
      <c r="BK33" s="2" t="s">
        <v>74</v>
      </c>
      <c r="BL33" s="24" t="s">
        <v>862</v>
      </c>
      <c r="BM33" s="24"/>
    </row>
    <row r="34" spans="1:65" ht="12.5">
      <c r="A34" s="22">
        <v>43683.523778888892</v>
      </c>
      <c r="B34" s="2" t="s">
        <v>865</v>
      </c>
      <c r="C34" s="2" t="s">
        <v>866</v>
      </c>
      <c r="D34" s="2" t="s">
        <v>869</v>
      </c>
      <c r="E34" s="2" t="s">
        <v>74</v>
      </c>
      <c r="F34" s="25" t="s">
        <v>873</v>
      </c>
      <c r="G34" s="2" t="s">
        <v>865</v>
      </c>
      <c r="H34" s="2" t="s">
        <v>881</v>
      </c>
      <c r="I34" s="2" t="s">
        <v>152</v>
      </c>
      <c r="J34" s="2" t="s">
        <v>578</v>
      </c>
      <c r="K34" s="2" t="s">
        <v>825</v>
      </c>
      <c r="L34" s="2" t="s">
        <v>883</v>
      </c>
      <c r="M34" s="2" t="s">
        <v>298</v>
      </c>
      <c r="N34" s="23">
        <v>2019</v>
      </c>
      <c r="O34" s="2" t="s">
        <v>82</v>
      </c>
      <c r="P34" s="2" t="s">
        <v>74</v>
      </c>
      <c r="Q34" s="2" t="s">
        <v>884</v>
      </c>
      <c r="R34" s="2" t="s">
        <v>885</v>
      </c>
      <c r="S34" s="2" t="s">
        <v>886</v>
      </c>
      <c r="T34" s="2" t="s">
        <v>74</v>
      </c>
      <c r="U34" s="2" t="s">
        <v>888</v>
      </c>
      <c r="V34" s="2" t="s">
        <v>889</v>
      </c>
      <c r="W34" s="2" t="s">
        <v>261</v>
      </c>
      <c r="X34" s="2" t="s">
        <v>74</v>
      </c>
      <c r="Y34" s="2" t="s">
        <v>890</v>
      </c>
      <c r="Z34" s="2" t="s">
        <v>303</v>
      </c>
      <c r="AA34" s="2" t="s">
        <v>126</v>
      </c>
      <c r="AB34" s="2" t="s">
        <v>566</v>
      </c>
      <c r="AC34" s="2" t="s">
        <v>162</v>
      </c>
      <c r="AD34" s="2" t="s">
        <v>93</v>
      </c>
      <c r="AE34" s="2" t="s">
        <v>94</v>
      </c>
      <c r="AF34" s="2" t="s">
        <v>74</v>
      </c>
      <c r="AG34" s="2" t="s">
        <v>74</v>
      </c>
      <c r="AH34" s="2" t="s">
        <v>265</v>
      </c>
      <c r="AI34" s="2" t="s">
        <v>74</v>
      </c>
      <c r="AJ34" s="2" t="s">
        <v>74</v>
      </c>
      <c r="AK34" s="2" t="s">
        <v>74</v>
      </c>
      <c r="AL34" s="2" t="s">
        <v>74</v>
      </c>
      <c r="AM34" s="2" t="s">
        <v>74</v>
      </c>
      <c r="AN34" s="2" t="s">
        <v>97</v>
      </c>
      <c r="AO34" s="2" t="s">
        <v>892</v>
      </c>
      <c r="AP34" s="2" t="s">
        <v>893</v>
      </c>
      <c r="AQ34" s="2" t="s">
        <v>894</v>
      </c>
      <c r="AR34" s="2" t="s">
        <v>74</v>
      </c>
      <c r="AS34" s="2" t="s">
        <v>101</v>
      </c>
      <c r="AT34" s="2" t="s">
        <v>394</v>
      </c>
      <c r="AU34" s="2" t="s">
        <v>107</v>
      </c>
      <c r="AV34" s="2"/>
      <c r="AW34" s="2" t="s">
        <v>233</v>
      </c>
      <c r="AX34" s="2" t="s">
        <v>268</v>
      </c>
      <c r="AY34" s="2" t="s">
        <v>168</v>
      </c>
      <c r="AZ34" s="2" t="s">
        <v>895</v>
      </c>
      <c r="BA34" s="2"/>
      <c r="BB34" s="2" t="s">
        <v>233</v>
      </c>
      <c r="BC34" s="2" t="s">
        <v>233</v>
      </c>
      <c r="BD34" s="2" t="s">
        <v>233</v>
      </c>
      <c r="BE34" s="2" t="s">
        <v>233</v>
      </c>
      <c r="BF34" s="2" t="s">
        <v>233</v>
      </c>
      <c r="BG34" s="2"/>
      <c r="BH34" s="2" t="s">
        <v>233</v>
      </c>
      <c r="BI34" s="2" t="s">
        <v>233</v>
      </c>
      <c r="BJ34" s="2"/>
      <c r="BK34" s="2" t="s">
        <v>74</v>
      </c>
      <c r="BL34" s="24" t="s">
        <v>897</v>
      </c>
      <c r="BM34" s="24"/>
    </row>
    <row r="35" spans="1:65" ht="12.5">
      <c r="A35" s="22">
        <v>43683.630885497681</v>
      </c>
      <c r="B35" s="2" t="s">
        <v>902</v>
      </c>
      <c r="C35" s="2" t="s">
        <v>903</v>
      </c>
      <c r="D35" s="2" t="s">
        <v>905</v>
      </c>
      <c r="E35" s="2" t="s">
        <v>83</v>
      </c>
      <c r="F35" s="25" t="s">
        <v>906</v>
      </c>
      <c r="G35" s="2" t="s">
        <v>902</v>
      </c>
      <c r="H35" s="2" t="s">
        <v>908</v>
      </c>
      <c r="I35" s="2" t="s">
        <v>152</v>
      </c>
      <c r="J35" s="2" t="s">
        <v>690</v>
      </c>
      <c r="K35" s="2" t="s">
        <v>608</v>
      </c>
      <c r="L35" s="2" t="s">
        <v>909</v>
      </c>
      <c r="M35" s="2" t="s">
        <v>298</v>
      </c>
      <c r="N35" s="23">
        <v>2008</v>
      </c>
      <c r="O35" s="2" t="s">
        <v>82</v>
      </c>
      <c r="P35" s="2" t="s">
        <v>74</v>
      </c>
      <c r="Q35" s="2" t="s">
        <v>256</v>
      </c>
      <c r="R35" s="2" t="s">
        <v>910</v>
      </c>
      <c r="S35" s="2" t="s">
        <v>85</v>
      </c>
      <c r="T35" s="2" t="s">
        <v>74</v>
      </c>
      <c r="U35" s="2" t="s">
        <v>911</v>
      </c>
      <c r="V35" s="2" t="s">
        <v>792</v>
      </c>
      <c r="W35" s="2" t="s">
        <v>85</v>
      </c>
      <c r="X35" s="2" t="s">
        <v>83</v>
      </c>
      <c r="Y35" s="2"/>
      <c r="Z35" s="2" t="s">
        <v>89</v>
      </c>
      <c r="AA35" s="2" t="s">
        <v>90</v>
      </c>
      <c r="AB35" s="2" t="s">
        <v>913</v>
      </c>
      <c r="AC35" s="2" t="s">
        <v>305</v>
      </c>
      <c r="AD35" s="2" t="s">
        <v>284</v>
      </c>
      <c r="AE35" s="2" t="s">
        <v>94</v>
      </c>
      <c r="AF35" s="2" t="s">
        <v>74</v>
      </c>
      <c r="AG35" s="2" t="s">
        <v>83</v>
      </c>
      <c r="AH35" s="2" t="s">
        <v>96</v>
      </c>
      <c r="AI35" s="2" t="s">
        <v>74</v>
      </c>
      <c r="AJ35" s="2" t="s">
        <v>95</v>
      </c>
      <c r="AK35" s="2" t="s">
        <v>74</v>
      </c>
      <c r="AL35" s="2" t="s">
        <v>74</v>
      </c>
      <c r="AM35" s="2" t="s">
        <v>74</v>
      </c>
      <c r="AN35" s="2" t="s">
        <v>97</v>
      </c>
      <c r="AO35" s="2" t="s">
        <v>233</v>
      </c>
      <c r="AP35" s="2" t="s">
        <v>917</v>
      </c>
      <c r="AQ35" s="2" t="s">
        <v>918</v>
      </c>
      <c r="AR35" s="2" t="s">
        <v>74</v>
      </c>
      <c r="AS35" s="2" t="s">
        <v>919</v>
      </c>
      <c r="AT35" s="2" t="s">
        <v>920</v>
      </c>
      <c r="AU35" s="24" t="s">
        <v>1446</v>
      </c>
      <c r="AV35" s="2"/>
      <c r="AW35" s="2" t="s">
        <v>103</v>
      </c>
      <c r="AX35" s="2" t="s">
        <v>922</v>
      </c>
      <c r="AY35" s="2" t="s">
        <v>288</v>
      </c>
      <c r="AZ35" s="2" t="s">
        <v>469</v>
      </c>
      <c r="BA35" s="2" t="s">
        <v>1448</v>
      </c>
      <c r="BB35" s="2" t="s">
        <v>107</v>
      </c>
      <c r="BC35" s="2" t="s">
        <v>140</v>
      </c>
      <c r="BD35" s="2" t="s">
        <v>235</v>
      </c>
      <c r="BE35" s="2" t="s">
        <v>83</v>
      </c>
      <c r="BF35" s="2" t="s">
        <v>107</v>
      </c>
      <c r="BG35" s="2"/>
      <c r="BH35" s="2" t="s">
        <v>925</v>
      </c>
      <c r="BI35" s="2" t="s">
        <v>173</v>
      </c>
      <c r="BJ35" s="2"/>
      <c r="BK35" s="2" t="s">
        <v>74</v>
      </c>
      <c r="BL35" s="24" t="s">
        <v>926</v>
      </c>
      <c r="BM35" s="24"/>
    </row>
    <row r="36" spans="1:65" ht="12.5">
      <c r="A36" s="22">
        <v>43685.465395833337</v>
      </c>
      <c r="B36" s="2" t="s">
        <v>928</v>
      </c>
      <c r="C36" s="2" t="s">
        <v>929</v>
      </c>
      <c r="D36" s="2" t="s">
        <v>930</v>
      </c>
      <c r="E36" s="2" t="s">
        <v>74</v>
      </c>
      <c r="F36" s="25" t="s">
        <v>932</v>
      </c>
      <c r="G36" s="2" t="s">
        <v>928</v>
      </c>
      <c r="H36" s="2" t="s">
        <v>935</v>
      </c>
      <c r="I36" s="2" t="s">
        <v>616</v>
      </c>
      <c r="J36" s="2" t="s">
        <v>278</v>
      </c>
      <c r="K36" s="2" t="s">
        <v>1457</v>
      </c>
      <c r="L36" s="2" t="s">
        <v>937</v>
      </c>
      <c r="M36" s="2" t="s">
        <v>418</v>
      </c>
      <c r="N36" s="23">
        <v>2018</v>
      </c>
      <c r="O36" s="2" t="s">
        <v>107</v>
      </c>
      <c r="P36" s="2" t="s">
        <v>74</v>
      </c>
      <c r="Q36" s="2" t="s">
        <v>256</v>
      </c>
      <c r="R36" s="2" t="s">
        <v>84</v>
      </c>
      <c r="S36" s="2" t="s">
        <v>258</v>
      </c>
      <c r="T36" s="2" t="s">
        <v>74</v>
      </c>
      <c r="U36" s="2" t="s">
        <v>940</v>
      </c>
      <c r="V36" s="2" t="s">
        <v>87</v>
      </c>
      <c r="W36" s="2" t="s">
        <v>123</v>
      </c>
      <c r="X36" s="2" t="s">
        <v>74</v>
      </c>
      <c r="Y36" s="2" t="s">
        <v>941</v>
      </c>
      <c r="Z36" s="2" t="s">
        <v>107</v>
      </c>
      <c r="AA36" s="2" t="s">
        <v>90</v>
      </c>
      <c r="AB36" s="2" t="s">
        <v>942</v>
      </c>
      <c r="AC36" s="2" t="s">
        <v>284</v>
      </c>
      <c r="AD36" s="2" t="s">
        <v>93</v>
      </c>
      <c r="AE36" s="2" t="s">
        <v>264</v>
      </c>
      <c r="AF36" s="2" t="s">
        <v>233</v>
      </c>
      <c r="AG36" s="2" t="s">
        <v>74</v>
      </c>
      <c r="AH36" s="2" t="s">
        <v>943</v>
      </c>
      <c r="AI36" s="2" t="s">
        <v>83</v>
      </c>
      <c r="AJ36" s="2" t="s">
        <v>95</v>
      </c>
      <c r="AK36" s="2" t="s">
        <v>83</v>
      </c>
      <c r="AL36" s="2" t="s">
        <v>74</v>
      </c>
      <c r="AM36" s="2" t="s">
        <v>74</v>
      </c>
      <c r="AN36" s="2" t="s">
        <v>97</v>
      </c>
      <c r="AO36" s="2" t="s">
        <v>233</v>
      </c>
      <c r="AP36" s="2" t="s">
        <v>945</v>
      </c>
      <c r="AQ36" s="2" t="s">
        <v>631</v>
      </c>
      <c r="AR36" s="2" t="s">
        <v>83</v>
      </c>
      <c r="AS36" s="2" t="s">
        <v>101</v>
      </c>
      <c r="AT36" s="2" t="s">
        <v>107</v>
      </c>
      <c r="AU36" s="2" t="s">
        <v>107</v>
      </c>
      <c r="AV36" s="2"/>
      <c r="AW36" s="2" t="s">
        <v>233</v>
      </c>
      <c r="AX36" s="2" t="s">
        <v>167</v>
      </c>
      <c r="AY36" s="2" t="s">
        <v>288</v>
      </c>
      <c r="AZ36" s="2" t="s">
        <v>861</v>
      </c>
      <c r="BA36" s="2" t="s">
        <v>946</v>
      </c>
      <c r="BB36" s="2" t="s">
        <v>233</v>
      </c>
      <c r="BC36" s="2" t="s">
        <v>171</v>
      </c>
      <c r="BD36" s="2" t="s">
        <v>171</v>
      </c>
      <c r="BE36" s="2" t="s">
        <v>233</v>
      </c>
      <c r="BF36" s="2" t="s">
        <v>141</v>
      </c>
      <c r="BG36" s="25" t="s">
        <v>947</v>
      </c>
      <c r="BH36" s="2" t="s">
        <v>271</v>
      </c>
      <c r="BI36" s="2" t="s">
        <v>471</v>
      </c>
      <c r="BJ36" s="2"/>
      <c r="BK36" s="2" t="s">
        <v>74</v>
      </c>
      <c r="BL36" s="24" t="s">
        <v>949</v>
      </c>
      <c r="BM36" s="24"/>
    </row>
    <row r="37" spans="1:65" ht="12.5">
      <c r="A37" s="22">
        <v>43686.178142418983</v>
      </c>
      <c r="B37" s="2" t="s">
        <v>951</v>
      </c>
      <c r="C37" s="2" t="s">
        <v>952</v>
      </c>
      <c r="D37" s="2" t="s">
        <v>953</v>
      </c>
      <c r="E37" s="2" t="s">
        <v>74</v>
      </c>
      <c r="F37" s="25" t="s">
        <v>954</v>
      </c>
      <c r="G37" s="2" t="s">
        <v>960</v>
      </c>
      <c r="H37" s="2" t="s">
        <v>961</v>
      </c>
      <c r="I37" s="2" t="s">
        <v>152</v>
      </c>
      <c r="J37" s="2" t="s">
        <v>685</v>
      </c>
      <c r="K37" s="2" t="s">
        <v>915</v>
      </c>
      <c r="L37" s="2" t="s">
        <v>962</v>
      </c>
      <c r="M37" s="2" t="s">
        <v>963</v>
      </c>
      <c r="N37" s="23">
        <v>2009</v>
      </c>
      <c r="O37" s="23">
        <v>2015</v>
      </c>
      <c r="P37" s="2" t="s">
        <v>83</v>
      </c>
      <c r="Q37" s="2"/>
      <c r="R37" s="2" t="s">
        <v>966</v>
      </c>
      <c r="S37" s="2" t="s">
        <v>258</v>
      </c>
      <c r="T37" s="2" t="s">
        <v>74</v>
      </c>
      <c r="U37" s="2" t="s">
        <v>623</v>
      </c>
      <c r="V37" s="2" t="s">
        <v>190</v>
      </c>
      <c r="W37" s="2" t="s">
        <v>261</v>
      </c>
      <c r="X37" s="2" t="s">
        <v>107</v>
      </c>
      <c r="Y37" s="2"/>
      <c r="Z37" s="2" t="s">
        <v>205</v>
      </c>
      <c r="AA37" s="2" t="s">
        <v>126</v>
      </c>
      <c r="AB37" s="2" t="s">
        <v>931</v>
      </c>
      <c r="AC37" s="2" t="s">
        <v>92</v>
      </c>
      <c r="AD37" s="2" t="s">
        <v>93</v>
      </c>
      <c r="AE37" s="2" t="s">
        <v>94</v>
      </c>
      <c r="AF37" s="2" t="s">
        <v>95</v>
      </c>
      <c r="AG37" s="2" t="s">
        <v>74</v>
      </c>
      <c r="AH37" s="2" t="s">
        <v>284</v>
      </c>
      <c r="AI37" s="2" t="s">
        <v>74</v>
      </c>
      <c r="AJ37" s="2" t="s">
        <v>95</v>
      </c>
      <c r="AK37" s="2" t="s">
        <v>74</v>
      </c>
      <c r="AL37" s="2" t="s">
        <v>74</v>
      </c>
      <c r="AM37" s="2" t="s">
        <v>74</v>
      </c>
      <c r="AN37" s="2" t="s">
        <v>358</v>
      </c>
      <c r="AO37" s="2" t="s">
        <v>233</v>
      </c>
      <c r="AP37" s="2" t="s">
        <v>975</v>
      </c>
      <c r="AQ37" s="2" t="s">
        <v>976</v>
      </c>
      <c r="AR37" s="2" t="s">
        <v>83</v>
      </c>
      <c r="AS37" s="2" t="s">
        <v>977</v>
      </c>
      <c r="AT37" s="2" t="s">
        <v>107</v>
      </c>
      <c r="AU37" s="2" t="s">
        <v>83</v>
      </c>
      <c r="AV37" s="2"/>
      <c r="AW37" s="2" t="s">
        <v>233</v>
      </c>
      <c r="AX37" s="2" t="s">
        <v>312</v>
      </c>
      <c r="AY37" s="2" t="s">
        <v>691</v>
      </c>
      <c r="AZ37" s="2" t="s">
        <v>313</v>
      </c>
      <c r="BA37" s="2" t="s">
        <v>978</v>
      </c>
      <c r="BB37" s="2" t="s">
        <v>233</v>
      </c>
      <c r="BC37" s="2" t="s">
        <v>140</v>
      </c>
      <c r="BD37" s="2" t="s">
        <v>140</v>
      </c>
      <c r="BE37" s="2" t="s">
        <v>83</v>
      </c>
      <c r="BF37" s="2" t="s">
        <v>141</v>
      </c>
      <c r="BG37" s="25" t="s">
        <v>979</v>
      </c>
      <c r="BH37" s="2" t="s">
        <v>983</v>
      </c>
      <c r="BI37" s="24" t="s">
        <v>984</v>
      </c>
      <c r="BJ37" s="2"/>
      <c r="BK37" s="2" t="s">
        <v>74</v>
      </c>
      <c r="BL37" s="24" t="s">
        <v>985</v>
      </c>
      <c r="BM37" s="24"/>
    </row>
    <row r="38" spans="1:65" ht="12.5">
      <c r="A38" s="22">
        <v>43688.312136469904</v>
      </c>
      <c r="B38" s="2" t="s">
        <v>647</v>
      </c>
      <c r="C38" s="2" t="s">
        <v>648</v>
      </c>
      <c r="D38" s="2" t="s">
        <v>990</v>
      </c>
      <c r="E38" s="2" t="s">
        <v>83</v>
      </c>
      <c r="F38" s="25" t="s">
        <v>991</v>
      </c>
      <c r="G38" s="2" t="s">
        <v>993</v>
      </c>
      <c r="H38" s="2" t="s">
        <v>994</v>
      </c>
      <c r="I38" s="2" t="s">
        <v>152</v>
      </c>
      <c r="J38" s="2" t="s">
        <v>653</v>
      </c>
      <c r="K38" s="2" t="s">
        <v>654</v>
      </c>
      <c r="L38" s="2" t="s">
        <v>995</v>
      </c>
      <c r="M38" s="2" t="s">
        <v>118</v>
      </c>
      <c r="N38" s="23">
        <v>2011</v>
      </c>
      <c r="O38" s="2" t="s">
        <v>82</v>
      </c>
      <c r="P38" s="2" t="s">
        <v>74</v>
      </c>
      <c r="Q38" s="2" t="s">
        <v>720</v>
      </c>
      <c r="R38" s="2" t="s">
        <v>84</v>
      </c>
      <c r="S38" s="2" t="s">
        <v>85</v>
      </c>
      <c r="T38" s="2" t="s">
        <v>74</v>
      </c>
      <c r="U38" s="2" t="s">
        <v>386</v>
      </c>
      <c r="V38" s="2" t="s">
        <v>190</v>
      </c>
      <c r="W38" s="2" t="s">
        <v>85</v>
      </c>
      <c r="X38" s="2" t="s">
        <v>83</v>
      </c>
      <c r="Y38" s="2"/>
      <c r="Z38" s="2" t="s">
        <v>125</v>
      </c>
      <c r="AA38" s="2" t="s">
        <v>107</v>
      </c>
      <c r="AB38" s="2" t="s">
        <v>999</v>
      </c>
      <c r="AC38" s="2" t="s">
        <v>107</v>
      </c>
      <c r="AD38" s="2" t="s">
        <v>93</v>
      </c>
      <c r="AE38" s="2" t="s">
        <v>94</v>
      </c>
      <c r="AF38" s="2" t="s">
        <v>95</v>
      </c>
      <c r="AG38" s="2" t="s">
        <v>74</v>
      </c>
      <c r="AH38" s="2" t="s">
        <v>284</v>
      </c>
      <c r="AI38" s="2" t="s">
        <v>74</v>
      </c>
      <c r="AJ38" s="2" t="s">
        <v>107</v>
      </c>
      <c r="AK38" s="2" t="s">
        <v>107</v>
      </c>
      <c r="AL38" s="2" t="s">
        <v>107</v>
      </c>
      <c r="AM38" s="2" t="s">
        <v>83</v>
      </c>
      <c r="AN38" s="2" t="s">
        <v>233</v>
      </c>
      <c r="AO38" s="2" t="s">
        <v>130</v>
      </c>
      <c r="AP38" s="2" t="s">
        <v>725</v>
      </c>
      <c r="AQ38" s="2" t="s">
        <v>631</v>
      </c>
      <c r="AR38" s="2" t="s">
        <v>74</v>
      </c>
      <c r="AS38" s="2" t="s">
        <v>101</v>
      </c>
      <c r="AT38" s="2" t="s">
        <v>107</v>
      </c>
      <c r="AU38" s="2" t="s">
        <v>233</v>
      </c>
      <c r="AV38" s="2"/>
      <c r="AW38" s="2" t="s">
        <v>107</v>
      </c>
      <c r="AX38" s="2" t="s">
        <v>167</v>
      </c>
      <c r="AY38" s="2" t="s">
        <v>168</v>
      </c>
      <c r="AZ38" s="2" t="s">
        <v>233</v>
      </c>
      <c r="BA38" s="2"/>
      <c r="BB38" s="2" t="s">
        <v>233</v>
      </c>
      <c r="BC38" s="2" t="s">
        <v>139</v>
      </c>
      <c r="BD38" s="2" t="s">
        <v>234</v>
      </c>
      <c r="BE38" s="2" t="s">
        <v>83</v>
      </c>
      <c r="BF38" s="23">
        <v>0</v>
      </c>
      <c r="BG38" s="2"/>
      <c r="BH38" s="2" t="s">
        <v>233</v>
      </c>
      <c r="BI38" s="2" t="s">
        <v>233</v>
      </c>
      <c r="BJ38" s="2"/>
      <c r="BK38" s="2" t="s">
        <v>74</v>
      </c>
      <c r="BL38" s="2"/>
      <c r="BM38" s="2"/>
    </row>
    <row r="39" spans="1:65" ht="12.5">
      <c r="A39" s="22">
        <v>43688.388664953702</v>
      </c>
      <c r="B39" s="2" t="s">
        <v>1003</v>
      </c>
      <c r="C39" s="2" t="s">
        <v>1004</v>
      </c>
      <c r="D39" s="2" t="s">
        <v>1005</v>
      </c>
      <c r="E39" s="2" t="s">
        <v>74</v>
      </c>
      <c r="F39" s="25" t="s">
        <v>1006</v>
      </c>
      <c r="G39" s="2" t="s">
        <v>1003</v>
      </c>
      <c r="H39" s="2" t="s">
        <v>1009</v>
      </c>
      <c r="I39" s="2" t="s">
        <v>152</v>
      </c>
      <c r="J39" s="2" t="s">
        <v>685</v>
      </c>
      <c r="K39" s="2" t="s">
        <v>915</v>
      </c>
      <c r="L39" s="2" t="s">
        <v>1011</v>
      </c>
      <c r="M39" s="2" t="s">
        <v>1012</v>
      </c>
      <c r="N39" s="23">
        <v>2014</v>
      </c>
      <c r="O39" s="2" t="s">
        <v>82</v>
      </c>
      <c r="P39" s="2" t="s">
        <v>83</v>
      </c>
      <c r="Q39" s="2"/>
      <c r="R39" s="2" t="s">
        <v>84</v>
      </c>
      <c r="S39" s="2" t="s">
        <v>258</v>
      </c>
      <c r="T39" s="2" t="s">
        <v>74</v>
      </c>
      <c r="U39" s="2" t="s">
        <v>224</v>
      </c>
      <c r="V39" s="2" t="s">
        <v>1013</v>
      </c>
      <c r="W39" s="2" t="s">
        <v>499</v>
      </c>
      <c r="X39" s="2" t="s">
        <v>107</v>
      </c>
      <c r="Y39" s="2"/>
      <c r="Z39" s="2" t="s">
        <v>205</v>
      </c>
      <c r="AA39" s="2" t="s">
        <v>126</v>
      </c>
      <c r="AB39" s="2" t="s">
        <v>1015</v>
      </c>
      <c r="AC39" s="2" t="s">
        <v>92</v>
      </c>
      <c r="AD39" s="2" t="s">
        <v>284</v>
      </c>
      <c r="AE39" s="2" t="s">
        <v>163</v>
      </c>
      <c r="AF39" s="2" t="s">
        <v>74</v>
      </c>
      <c r="AG39" s="2" t="s">
        <v>74</v>
      </c>
      <c r="AH39" s="2" t="s">
        <v>284</v>
      </c>
      <c r="AI39" s="2" t="s">
        <v>74</v>
      </c>
      <c r="AJ39" s="2" t="s">
        <v>74</v>
      </c>
      <c r="AK39" s="2" t="s">
        <v>74</v>
      </c>
      <c r="AL39" s="2" t="s">
        <v>74</v>
      </c>
      <c r="AM39" s="2" t="s">
        <v>83</v>
      </c>
      <c r="AN39" s="2" t="s">
        <v>233</v>
      </c>
      <c r="AO39" s="2" t="s">
        <v>92</v>
      </c>
      <c r="AP39" s="2" t="s">
        <v>92</v>
      </c>
      <c r="AQ39" s="2" t="s">
        <v>1017</v>
      </c>
      <c r="AR39" s="2" t="s">
        <v>74</v>
      </c>
      <c r="AS39" s="2" t="s">
        <v>1017</v>
      </c>
      <c r="AT39" s="2" t="s">
        <v>284</v>
      </c>
      <c r="AU39" s="2" t="s">
        <v>83</v>
      </c>
      <c r="AV39" s="2"/>
      <c r="AW39" s="2" t="s">
        <v>233</v>
      </c>
      <c r="AX39" s="2" t="s">
        <v>522</v>
      </c>
      <c r="AY39" s="2" t="s">
        <v>105</v>
      </c>
      <c r="AZ39" s="2" t="s">
        <v>313</v>
      </c>
      <c r="BA39" s="2"/>
      <c r="BB39" s="2" t="s">
        <v>107</v>
      </c>
      <c r="BC39" s="2" t="s">
        <v>139</v>
      </c>
      <c r="BD39" s="2" t="s">
        <v>139</v>
      </c>
      <c r="BE39" s="2" t="s">
        <v>233</v>
      </c>
      <c r="BF39" s="23">
        <v>0</v>
      </c>
      <c r="BG39" s="2"/>
      <c r="BH39" s="2" t="s">
        <v>233</v>
      </c>
      <c r="BI39" s="2" t="s">
        <v>173</v>
      </c>
      <c r="BJ39" s="2"/>
      <c r="BK39" s="2" t="s">
        <v>74</v>
      </c>
      <c r="BL39" s="24" t="s">
        <v>1019</v>
      </c>
      <c r="BM39" s="24"/>
    </row>
    <row r="40" spans="1:65" ht="12.5">
      <c r="A40" s="22">
        <v>43688.770465335649</v>
      </c>
      <c r="B40" s="2" t="s">
        <v>647</v>
      </c>
      <c r="C40" s="2" t="s">
        <v>648</v>
      </c>
      <c r="D40" s="2" t="s">
        <v>649</v>
      </c>
      <c r="E40" s="2" t="s">
        <v>74</v>
      </c>
      <c r="F40" s="25" t="s">
        <v>650</v>
      </c>
      <c r="G40" s="2" t="s">
        <v>647</v>
      </c>
      <c r="H40" s="2" t="s">
        <v>651</v>
      </c>
      <c r="I40" s="2" t="s">
        <v>152</v>
      </c>
      <c r="J40" s="2" t="s">
        <v>653</v>
      </c>
      <c r="K40" s="2" t="s">
        <v>654</v>
      </c>
      <c r="L40" s="2" t="s">
        <v>655</v>
      </c>
      <c r="M40" s="2" t="s">
        <v>418</v>
      </c>
      <c r="N40" s="23">
        <v>2008</v>
      </c>
      <c r="O40" s="2" t="s">
        <v>82</v>
      </c>
      <c r="P40" s="2" t="s">
        <v>74</v>
      </c>
      <c r="Q40" s="2" t="s">
        <v>656</v>
      </c>
      <c r="R40" s="2" t="s">
        <v>658</v>
      </c>
      <c r="S40" s="2" t="s">
        <v>85</v>
      </c>
      <c r="T40" s="2" t="s">
        <v>158</v>
      </c>
      <c r="U40" s="2" t="s">
        <v>662</v>
      </c>
      <c r="V40" s="2" t="s">
        <v>664</v>
      </c>
      <c r="W40" s="2" t="s">
        <v>85</v>
      </c>
      <c r="X40" s="2" t="s">
        <v>74</v>
      </c>
      <c r="Y40" s="2" t="s">
        <v>668</v>
      </c>
      <c r="Z40" s="2" t="s">
        <v>125</v>
      </c>
      <c r="AA40" s="2" t="s">
        <v>669</v>
      </c>
      <c r="AB40" s="2" t="s">
        <v>91</v>
      </c>
      <c r="AC40" s="2" t="s">
        <v>284</v>
      </c>
      <c r="AD40" s="2" t="s">
        <v>671</v>
      </c>
      <c r="AE40" s="2" t="s">
        <v>672</v>
      </c>
      <c r="AF40" s="2" t="s">
        <v>83</v>
      </c>
      <c r="AG40" s="2" t="s">
        <v>74</v>
      </c>
      <c r="AH40" s="2" t="s">
        <v>96</v>
      </c>
      <c r="AI40" s="2" t="s">
        <v>74</v>
      </c>
      <c r="AJ40" s="2" t="s">
        <v>95</v>
      </c>
      <c r="AK40" s="2" t="s">
        <v>74</v>
      </c>
      <c r="AL40" s="2" t="s">
        <v>74</v>
      </c>
      <c r="AM40" s="2" t="s">
        <v>95</v>
      </c>
      <c r="AN40" s="2" t="s">
        <v>97</v>
      </c>
      <c r="AO40" s="2" t="s">
        <v>233</v>
      </c>
      <c r="AP40" s="2" t="s">
        <v>308</v>
      </c>
      <c r="AQ40" s="2" t="s">
        <v>336</v>
      </c>
      <c r="AR40" s="2" t="s">
        <v>74</v>
      </c>
      <c r="AS40" s="2" t="s">
        <v>132</v>
      </c>
      <c r="AT40" s="2" t="s">
        <v>102</v>
      </c>
      <c r="AU40" s="2" t="s">
        <v>83</v>
      </c>
      <c r="AV40" s="2"/>
      <c r="AW40" s="2" t="s">
        <v>103</v>
      </c>
      <c r="AX40" s="2" t="s">
        <v>167</v>
      </c>
      <c r="AY40" s="2" t="s">
        <v>691</v>
      </c>
      <c r="AZ40" s="2" t="s">
        <v>168</v>
      </c>
      <c r="BA40" s="2"/>
      <c r="BB40" s="2" t="s">
        <v>463</v>
      </c>
      <c r="BC40" s="2" t="s">
        <v>139</v>
      </c>
      <c r="BD40" s="2" t="s">
        <v>235</v>
      </c>
      <c r="BE40" s="2" t="s">
        <v>83</v>
      </c>
      <c r="BF40" s="2" t="s">
        <v>270</v>
      </c>
      <c r="BG40" s="2"/>
      <c r="BH40" s="2" t="s">
        <v>237</v>
      </c>
      <c r="BI40" s="2" t="s">
        <v>587</v>
      </c>
      <c r="BJ40" s="2"/>
      <c r="BK40" s="2" t="s">
        <v>74</v>
      </c>
      <c r="BL40" s="2"/>
      <c r="BM40" s="2"/>
    </row>
    <row r="41" spans="1:65" ht="12.5">
      <c r="A41" s="22">
        <v>43689.703489641208</v>
      </c>
      <c r="B41" s="2" t="s">
        <v>704</v>
      </c>
      <c r="C41" s="2" t="s">
        <v>705</v>
      </c>
      <c r="D41" s="2" t="s">
        <v>706</v>
      </c>
      <c r="E41" s="2" t="s">
        <v>74</v>
      </c>
      <c r="F41" s="25" t="s">
        <v>707</v>
      </c>
      <c r="G41" s="2" t="s">
        <v>704</v>
      </c>
      <c r="H41" s="2" t="s">
        <v>711</v>
      </c>
      <c r="I41" s="2" t="s">
        <v>152</v>
      </c>
      <c r="J41" s="2" t="s">
        <v>199</v>
      </c>
      <c r="K41" s="2" t="s">
        <v>200</v>
      </c>
      <c r="L41" s="2" t="s">
        <v>714</v>
      </c>
      <c r="M41" s="2" t="s">
        <v>298</v>
      </c>
      <c r="N41" s="23">
        <v>2016</v>
      </c>
      <c r="O41" s="2" t="s">
        <v>82</v>
      </c>
      <c r="P41" s="2" t="s">
        <v>95</v>
      </c>
      <c r="Q41" s="2" t="s">
        <v>282</v>
      </c>
      <c r="R41" s="2" t="s">
        <v>360</v>
      </c>
      <c r="S41" s="2" t="s">
        <v>716</v>
      </c>
      <c r="T41" s="2" t="s">
        <v>95</v>
      </c>
      <c r="U41" s="2" t="s">
        <v>718</v>
      </c>
      <c r="V41" s="2" t="s">
        <v>676</v>
      </c>
      <c r="W41" s="2" t="s">
        <v>161</v>
      </c>
      <c r="X41" s="2" t="s">
        <v>107</v>
      </c>
      <c r="Y41" s="2"/>
      <c r="Z41" s="2" t="s">
        <v>125</v>
      </c>
      <c r="AA41" s="2" t="s">
        <v>126</v>
      </c>
      <c r="AB41" s="2" t="s">
        <v>721</v>
      </c>
      <c r="AC41" s="2" t="s">
        <v>162</v>
      </c>
      <c r="AD41" s="2" t="s">
        <v>284</v>
      </c>
      <c r="AE41" s="2" t="s">
        <v>163</v>
      </c>
      <c r="AF41" s="2" t="s">
        <v>74</v>
      </c>
      <c r="AG41" s="2" t="s">
        <v>74</v>
      </c>
      <c r="AH41" s="2" t="s">
        <v>265</v>
      </c>
      <c r="AI41" s="2" t="s">
        <v>74</v>
      </c>
      <c r="AJ41" s="2" t="s">
        <v>74</v>
      </c>
      <c r="AK41" s="2" t="s">
        <v>74</v>
      </c>
      <c r="AL41" s="2" t="s">
        <v>74</v>
      </c>
      <c r="AM41" s="2" t="s">
        <v>74</v>
      </c>
      <c r="AN41" s="2" t="s">
        <v>97</v>
      </c>
      <c r="AO41" s="2" t="s">
        <v>233</v>
      </c>
      <c r="AP41" s="2" t="s">
        <v>730</v>
      </c>
      <c r="AQ41" s="2" t="s">
        <v>233</v>
      </c>
      <c r="AR41" s="2" t="s">
        <v>74</v>
      </c>
      <c r="AS41" s="2" t="s">
        <v>101</v>
      </c>
      <c r="AT41" s="2" t="s">
        <v>107</v>
      </c>
      <c r="AU41" s="2" t="s">
        <v>233</v>
      </c>
      <c r="AV41" s="2"/>
      <c r="AW41" s="2" t="s">
        <v>233</v>
      </c>
      <c r="AX41" s="2" t="s">
        <v>233</v>
      </c>
      <c r="AY41" s="2" t="s">
        <v>233</v>
      </c>
      <c r="AZ41" s="2" t="s">
        <v>233</v>
      </c>
      <c r="BA41" s="2"/>
      <c r="BB41" s="2" t="s">
        <v>571</v>
      </c>
      <c r="BC41" s="2" t="s">
        <v>234</v>
      </c>
      <c r="BD41" s="2" t="s">
        <v>108</v>
      </c>
      <c r="BE41" s="2" t="s">
        <v>74</v>
      </c>
      <c r="BF41" s="2" t="s">
        <v>141</v>
      </c>
      <c r="BG41" s="25" t="s">
        <v>736</v>
      </c>
      <c r="BH41" s="2" t="s">
        <v>213</v>
      </c>
      <c r="BI41" s="2" t="s">
        <v>233</v>
      </c>
      <c r="BJ41" s="2"/>
      <c r="BK41" s="2" t="s">
        <v>74</v>
      </c>
      <c r="BL41" s="2"/>
      <c r="BM41" s="2"/>
    </row>
    <row r="42" spans="1:65" ht="12.5">
      <c r="A42" s="22">
        <v>43690.379256099535</v>
      </c>
      <c r="B42" s="2" t="s">
        <v>1024</v>
      </c>
      <c r="C42" s="2" t="s">
        <v>1025</v>
      </c>
      <c r="D42" s="2" t="s">
        <v>1026</v>
      </c>
      <c r="E42" s="2" t="s">
        <v>74</v>
      </c>
      <c r="F42" s="25" t="s">
        <v>1027</v>
      </c>
      <c r="G42" s="2" t="s">
        <v>1024</v>
      </c>
      <c r="H42" s="2" t="s">
        <v>1028</v>
      </c>
      <c r="I42" s="2" t="s">
        <v>152</v>
      </c>
      <c r="J42" s="2" t="s">
        <v>684</v>
      </c>
      <c r="K42" s="2" t="s">
        <v>967</v>
      </c>
      <c r="L42" s="2" t="s">
        <v>1030</v>
      </c>
      <c r="M42" s="2" t="s">
        <v>418</v>
      </c>
      <c r="N42" s="23">
        <v>2014</v>
      </c>
      <c r="O42" s="2" t="s">
        <v>82</v>
      </c>
      <c r="P42" s="2" t="s">
        <v>83</v>
      </c>
      <c r="Q42" s="2"/>
      <c r="R42" s="2" t="s">
        <v>84</v>
      </c>
      <c r="S42" s="2" t="s">
        <v>85</v>
      </c>
      <c r="T42" s="2" t="s">
        <v>74</v>
      </c>
      <c r="U42" s="2" t="s">
        <v>1033</v>
      </c>
      <c r="V42" s="2" t="s">
        <v>190</v>
      </c>
      <c r="W42" s="2" t="s">
        <v>85</v>
      </c>
      <c r="X42" s="2" t="s">
        <v>83</v>
      </c>
      <c r="Y42" s="2"/>
      <c r="Z42" s="2" t="s">
        <v>125</v>
      </c>
      <c r="AA42" s="2" t="s">
        <v>1035</v>
      </c>
      <c r="AB42" s="2" t="s">
        <v>999</v>
      </c>
      <c r="AC42" s="2" t="s">
        <v>284</v>
      </c>
      <c r="AD42" s="2" t="s">
        <v>93</v>
      </c>
      <c r="AE42" s="2" t="s">
        <v>163</v>
      </c>
      <c r="AF42" s="2" t="s">
        <v>83</v>
      </c>
      <c r="AG42" s="2" t="s">
        <v>83</v>
      </c>
      <c r="AH42" s="2" t="s">
        <v>284</v>
      </c>
      <c r="AI42" s="2" t="s">
        <v>83</v>
      </c>
      <c r="AJ42" s="2" t="s">
        <v>83</v>
      </c>
      <c r="AK42" s="2" t="s">
        <v>74</v>
      </c>
      <c r="AL42" s="2" t="s">
        <v>74</v>
      </c>
      <c r="AM42" s="2" t="s">
        <v>74</v>
      </c>
      <c r="AN42" s="2" t="s">
        <v>97</v>
      </c>
      <c r="AO42" s="2" t="s">
        <v>1039</v>
      </c>
      <c r="AP42" s="2" t="s">
        <v>393</v>
      </c>
      <c r="AQ42" s="2" t="s">
        <v>631</v>
      </c>
      <c r="AR42" s="2" t="s">
        <v>83</v>
      </c>
      <c r="AS42" s="2" t="s">
        <v>1040</v>
      </c>
      <c r="AT42" s="2" t="s">
        <v>1041</v>
      </c>
      <c r="AU42" s="2" t="s">
        <v>83</v>
      </c>
      <c r="AV42" s="2"/>
      <c r="AW42" s="2" t="s">
        <v>233</v>
      </c>
      <c r="AX42" s="2" t="s">
        <v>1043</v>
      </c>
      <c r="AY42" s="2" t="s">
        <v>233</v>
      </c>
      <c r="AZ42" s="2" t="s">
        <v>233</v>
      </c>
      <c r="BA42" s="2"/>
      <c r="BB42" s="2" t="s">
        <v>233</v>
      </c>
      <c r="BC42" s="2" t="s">
        <v>171</v>
      </c>
      <c r="BD42" s="2" t="s">
        <v>171</v>
      </c>
      <c r="BE42" s="2" t="s">
        <v>83</v>
      </c>
      <c r="BF42" s="23">
        <v>0</v>
      </c>
      <c r="BG42" s="2"/>
      <c r="BH42" s="2" t="s">
        <v>233</v>
      </c>
      <c r="BI42" s="2" t="s">
        <v>233</v>
      </c>
      <c r="BJ42" s="2"/>
      <c r="BK42" s="2" t="s">
        <v>83</v>
      </c>
      <c r="BL42" s="24" t="s">
        <v>1045</v>
      </c>
      <c r="BM42" s="24"/>
    </row>
    <row r="43" spans="1:65" ht="12.5">
      <c r="A43" s="22">
        <v>43690.53530319444</v>
      </c>
      <c r="B43" s="2" t="s">
        <v>1048</v>
      </c>
      <c r="C43" s="2" t="s">
        <v>1049</v>
      </c>
      <c r="D43" s="2" t="s">
        <v>1050</v>
      </c>
      <c r="E43" s="2" t="s">
        <v>83</v>
      </c>
      <c r="F43" s="25" t="s">
        <v>1052</v>
      </c>
      <c r="G43" s="2" t="s">
        <v>1053</v>
      </c>
      <c r="H43" s="2" t="s">
        <v>1523</v>
      </c>
      <c r="I43" s="2" t="s">
        <v>77</v>
      </c>
      <c r="J43" s="2" t="s">
        <v>684</v>
      </c>
      <c r="K43" s="2" t="s">
        <v>1055</v>
      </c>
      <c r="L43" s="2" t="s">
        <v>1056</v>
      </c>
      <c r="M43" s="2" t="s">
        <v>298</v>
      </c>
      <c r="N43" s="23">
        <v>2017</v>
      </c>
      <c r="O43" s="2" t="s">
        <v>82</v>
      </c>
      <c r="P43" s="2" t="s">
        <v>74</v>
      </c>
      <c r="Q43" s="2" t="s">
        <v>119</v>
      </c>
      <c r="R43" s="2" t="s">
        <v>885</v>
      </c>
      <c r="S43" s="2" t="s">
        <v>1057</v>
      </c>
      <c r="T43" s="2" t="s">
        <v>74</v>
      </c>
      <c r="U43" s="2" t="s">
        <v>1058</v>
      </c>
      <c r="V43" s="2" t="s">
        <v>1060</v>
      </c>
      <c r="W43" s="2" t="s">
        <v>85</v>
      </c>
      <c r="X43" s="2" t="s">
        <v>74</v>
      </c>
      <c r="Y43" s="2" t="s">
        <v>1061</v>
      </c>
      <c r="Z43" s="2" t="s">
        <v>125</v>
      </c>
      <c r="AA43" s="2" t="s">
        <v>90</v>
      </c>
      <c r="AB43" s="2" t="s">
        <v>1063</v>
      </c>
      <c r="AC43" s="2" t="s">
        <v>227</v>
      </c>
      <c r="AD43" s="2" t="s">
        <v>93</v>
      </c>
      <c r="AE43" s="2" t="s">
        <v>163</v>
      </c>
      <c r="AF43" s="2" t="s">
        <v>74</v>
      </c>
      <c r="AG43" s="2" t="s">
        <v>74</v>
      </c>
      <c r="AH43" s="2" t="s">
        <v>1065</v>
      </c>
      <c r="AI43" s="2" t="s">
        <v>74</v>
      </c>
      <c r="AJ43" s="2" t="s">
        <v>74</v>
      </c>
      <c r="AK43" s="2" t="s">
        <v>107</v>
      </c>
      <c r="AL43" s="2" t="s">
        <v>74</v>
      </c>
      <c r="AM43" s="2" t="s">
        <v>74</v>
      </c>
      <c r="AN43" s="2" t="s">
        <v>97</v>
      </c>
      <c r="AO43" s="2" t="s">
        <v>1066</v>
      </c>
      <c r="AP43" s="2" t="s">
        <v>730</v>
      </c>
      <c r="AQ43" s="2" t="s">
        <v>521</v>
      </c>
      <c r="AR43" s="2" t="s">
        <v>83</v>
      </c>
      <c r="AS43" s="2" t="s">
        <v>1067</v>
      </c>
      <c r="AT43" s="2" t="s">
        <v>107</v>
      </c>
      <c r="AU43" s="2" t="s">
        <v>83</v>
      </c>
      <c r="AV43" s="2"/>
      <c r="AW43" s="2" t="s">
        <v>233</v>
      </c>
      <c r="AX43" s="2" t="s">
        <v>268</v>
      </c>
      <c r="AY43" s="2" t="s">
        <v>339</v>
      </c>
      <c r="AZ43" s="2" t="s">
        <v>1068</v>
      </c>
      <c r="BA43" s="2"/>
      <c r="BB43" s="2" t="s">
        <v>233</v>
      </c>
      <c r="BC43" s="2" t="s">
        <v>139</v>
      </c>
      <c r="BD43" s="2" t="s">
        <v>171</v>
      </c>
      <c r="BE43" s="2" t="s">
        <v>233</v>
      </c>
      <c r="BF43" s="2" t="s">
        <v>141</v>
      </c>
      <c r="BG43" s="2"/>
      <c r="BH43" s="2" t="s">
        <v>213</v>
      </c>
      <c r="BI43" s="2" t="s">
        <v>173</v>
      </c>
      <c r="BJ43" s="2"/>
      <c r="BK43" s="2" t="s">
        <v>74</v>
      </c>
      <c r="BL43" s="2"/>
      <c r="BM43" s="2"/>
    </row>
    <row r="44" spans="1:65" ht="12.5">
      <c r="A44" s="22">
        <v>43691.444945706018</v>
      </c>
      <c r="B44" s="2" t="s">
        <v>1069</v>
      </c>
      <c r="C44" s="2" t="s">
        <v>1070</v>
      </c>
      <c r="D44" s="2" t="s">
        <v>1072</v>
      </c>
      <c r="E44" s="2" t="s">
        <v>74</v>
      </c>
      <c r="F44" s="25" t="s">
        <v>1074</v>
      </c>
      <c r="G44" s="2" t="s">
        <v>1069</v>
      </c>
      <c r="H44" s="2" t="s">
        <v>1079</v>
      </c>
      <c r="I44" s="2" t="s">
        <v>152</v>
      </c>
      <c r="J44" s="2" t="s">
        <v>510</v>
      </c>
      <c r="K44" s="2" t="s">
        <v>511</v>
      </c>
      <c r="L44" s="2" t="s">
        <v>1082</v>
      </c>
      <c r="M44" s="2" t="s">
        <v>118</v>
      </c>
      <c r="N44" s="23">
        <v>2010</v>
      </c>
      <c r="O44" s="2" t="s">
        <v>82</v>
      </c>
      <c r="P44" s="2" t="s">
        <v>74</v>
      </c>
      <c r="Q44" s="2" t="s">
        <v>119</v>
      </c>
      <c r="R44" s="2" t="s">
        <v>1085</v>
      </c>
      <c r="S44" s="2" t="s">
        <v>729</v>
      </c>
      <c r="T44" s="2" t="s">
        <v>74</v>
      </c>
      <c r="U44" s="2" t="s">
        <v>1087</v>
      </c>
      <c r="V44" s="2" t="s">
        <v>1088</v>
      </c>
      <c r="W44" s="2" t="s">
        <v>499</v>
      </c>
      <c r="X44" s="2" t="s">
        <v>74</v>
      </c>
      <c r="Y44" s="2" t="s">
        <v>1089</v>
      </c>
      <c r="Z44" s="2" t="s">
        <v>303</v>
      </c>
      <c r="AA44" s="2" t="s">
        <v>90</v>
      </c>
      <c r="AB44" s="2" t="s">
        <v>1092</v>
      </c>
      <c r="AC44" s="2" t="s">
        <v>92</v>
      </c>
      <c r="AD44" s="2" t="s">
        <v>284</v>
      </c>
      <c r="AE44" s="2" t="s">
        <v>94</v>
      </c>
      <c r="AF44" s="2" t="s">
        <v>74</v>
      </c>
      <c r="AG44" s="2" t="s">
        <v>74</v>
      </c>
      <c r="AH44" s="2" t="s">
        <v>284</v>
      </c>
      <c r="AI44" s="2" t="s">
        <v>74</v>
      </c>
      <c r="AJ44" s="2" t="s">
        <v>74</v>
      </c>
      <c r="AK44" s="2" t="s">
        <v>74</v>
      </c>
      <c r="AL44" s="2" t="s">
        <v>74</v>
      </c>
      <c r="AM44" s="2" t="s">
        <v>74</v>
      </c>
      <c r="AN44" s="2" t="s">
        <v>97</v>
      </c>
      <c r="AO44" s="2" t="s">
        <v>233</v>
      </c>
      <c r="AP44" s="2" t="s">
        <v>1095</v>
      </c>
      <c r="AQ44" s="2" t="s">
        <v>1096</v>
      </c>
      <c r="AR44" s="2" t="s">
        <v>83</v>
      </c>
      <c r="AS44" s="2" t="s">
        <v>1097</v>
      </c>
      <c r="AT44" s="2" t="s">
        <v>1098</v>
      </c>
      <c r="AU44" s="2" t="s">
        <v>233</v>
      </c>
      <c r="AV44" s="2"/>
      <c r="AW44" s="2" t="s">
        <v>233</v>
      </c>
      <c r="AX44" s="2" t="s">
        <v>167</v>
      </c>
      <c r="AY44" s="2" t="s">
        <v>168</v>
      </c>
      <c r="AZ44" s="2" t="s">
        <v>168</v>
      </c>
      <c r="BA44" s="2" t="s">
        <v>1099</v>
      </c>
      <c r="BB44" s="2" t="s">
        <v>233</v>
      </c>
      <c r="BC44" s="2" t="s">
        <v>140</v>
      </c>
      <c r="BD44" s="2" t="s">
        <v>139</v>
      </c>
      <c r="BE44" s="2" t="s">
        <v>83</v>
      </c>
      <c r="BF44" s="2" t="s">
        <v>270</v>
      </c>
      <c r="BG44" s="25" t="s">
        <v>1101</v>
      </c>
      <c r="BH44" s="2" t="s">
        <v>925</v>
      </c>
      <c r="BI44" s="2" t="s">
        <v>238</v>
      </c>
      <c r="BJ44" s="2"/>
      <c r="BK44" s="2" t="s">
        <v>74</v>
      </c>
      <c r="BL44" s="2"/>
      <c r="BM44" s="2"/>
    </row>
    <row r="45" spans="1:65" ht="12.5">
      <c r="A45" s="22">
        <v>43692.616051701392</v>
      </c>
      <c r="B45" s="2" t="s">
        <v>751</v>
      </c>
      <c r="C45" s="2" t="s">
        <v>753</v>
      </c>
      <c r="D45" s="2" t="s">
        <v>754</v>
      </c>
      <c r="E45" s="2" t="s">
        <v>74</v>
      </c>
      <c r="F45" s="25" t="s">
        <v>757</v>
      </c>
      <c r="G45" s="2" t="s">
        <v>751</v>
      </c>
      <c r="H45" s="2" t="s">
        <v>762</v>
      </c>
      <c r="I45" s="2" t="s">
        <v>152</v>
      </c>
      <c r="J45" s="2" t="s">
        <v>695</v>
      </c>
      <c r="K45" s="2" t="s">
        <v>765</v>
      </c>
      <c r="L45" s="2" t="s">
        <v>766</v>
      </c>
      <c r="M45" s="2" t="s">
        <v>418</v>
      </c>
      <c r="N45" s="23">
        <v>2008</v>
      </c>
      <c r="O45" s="2" t="s">
        <v>82</v>
      </c>
      <c r="P45" s="2" t="s">
        <v>74</v>
      </c>
      <c r="Q45" s="2" t="s">
        <v>119</v>
      </c>
      <c r="R45" s="2" t="s">
        <v>84</v>
      </c>
      <c r="S45" s="2" t="s">
        <v>85</v>
      </c>
      <c r="T45" s="2" t="s">
        <v>95</v>
      </c>
      <c r="U45" s="2" t="s">
        <v>769</v>
      </c>
      <c r="V45" s="2" t="s">
        <v>451</v>
      </c>
      <c r="W45" s="2" t="s">
        <v>85</v>
      </c>
      <c r="X45" s="2" t="s">
        <v>74</v>
      </c>
      <c r="Y45" s="2" t="s">
        <v>770</v>
      </c>
      <c r="Z45" s="2" t="s">
        <v>89</v>
      </c>
      <c r="AA45" s="2" t="s">
        <v>126</v>
      </c>
      <c r="AB45" s="2" t="s">
        <v>771</v>
      </c>
      <c r="AC45" s="2" t="s">
        <v>773</v>
      </c>
      <c r="AD45" s="2" t="s">
        <v>93</v>
      </c>
      <c r="AE45" s="2" t="s">
        <v>163</v>
      </c>
      <c r="AF45" s="2" t="s">
        <v>95</v>
      </c>
      <c r="AG45" s="2" t="s">
        <v>74</v>
      </c>
      <c r="AH45" s="2" t="s">
        <v>776</v>
      </c>
      <c r="AI45" s="2" t="s">
        <v>74</v>
      </c>
      <c r="AJ45" s="2" t="s">
        <v>74</v>
      </c>
      <c r="AK45" s="2" t="s">
        <v>233</v>
      </c>
      <c r="AL45" s="2" t="s">
        <v>74</v>
      </c>
      <c r="AM45" s="2" t="s">
        <v>95</v>
      </c>
      <c r="AN45" s="2" t="s">
        <v>358</v>
      </c>
      <c r="AO45" s="2" t="s">
        <v>130</v>
      </c>
      <c r="AP45" s="2" t="s">
        <v>725</v>
      </c>
      <c r="AQ45" s="2" t="s">
        <v>777</v>
      </c>
      <c r="AR45" s="2" t="s">
        <v>74</v>
      </c>
      <c r="AS45" s="2" t="s">
        <v>779</v>
      </c>
      <c r="AT45" s="2" t="s">
        <v>780</v>
      </c>
      <c r="AU45" s="24" t="s">
        <v>782</v>
      </c>
      <c r="AV45" s="2"/>
      <c r="AW45" s="2" t="s">
        <v>783</v>
      </c>
      <c r="AX45" s="2" t="s">
        <v>167</v>
      </c>
      <c r="AY45" s="2" t="s">
        <v>135</v>
      </c>
      <c r="AZ45" s="2" t="s">
        <v>786</v>
      </c>
      <c r="BA45" s="2" t="s">
        <v>787</v>
      </c>
      <c r="BB45" s="2" t="s">
        <v>571</v>
      </c>
      <c r="BC45" s="2" t="s">
        <v>314</v>
      </c>
      <c r="BD45" s="2" t="s">
        <v>789</v>
      </c>
      <c r="BE45" s="2" t="s">
        <v>233</v>
      </c>
      <c r="BF45" s="2" t="s">
        <v>107</v>
      </c>
      <c r="BG45" s="2"/>
      <c r="BH45" s="2" t="s">
        <v>143</v>
      </c>
      <c r="BI45" s="2" t="s">
        <v>793</v>
      </c>
      <c r="BJ45" s="2"/>
      <c r="BK45" s="2" t="s">
        <v>74</v>
      </c>
      <c r="BL45" s="2"/>
      <c r="BM45" s="2"/>
    </row>
    <row r="46" spans="1:65" ht="12.5">
      <c r="A46" s="22">
        <v>43692.476377916668</v>
      </c>
      <c r="B46" s="2" t="s">
        <v>751</v>
      </c>
      <c r="C46" s="2" t="s">
        <v>798</v>
      </c>
      <c r="D46" s="2" t="s">
        <v>799</v>
      </c>
      <c r="E46" s="2" t="s">
        <v>83</v>
      </c>
      <c r="F46" s="25" t="s">
        <v>800</v>
      </c>
      <c r="G46" s="2" t="s">
        <v>804</v>
      </c>
      <c r="H46" s="2" t="s">
        <v>807</v>
      </c>
      <c r="I46" s="2" t="s">
        <v>328</v>
      </c>
      <c r="J46" s="2" t="s">
        <v>809</v>
      </c>
      <c r="K46" s="2" t="s">
        <v>608</v>
      </c>
      <c r="L46" s="2" t="s">
        <v>810</v>
      </c>
      <c r="M46" s="2" t="s">
        <v>118</v>
      </c>
      <c r="N46" s="23">
        <v>2019</v>
      </c>
      <c r="O46" s="2" t="s">
        <v>82</v>
      </c>
      <c r="P46" s="2" t="s">
        <v>74</v>
      </c>
      <c r="Q46" s="2" t="s">
        <v>812</v>
      </c>
      <c r="R46" s="2" t="s">
        <v>790</v>
      </c>
      <c r="S46" s="2" t="s">
        <v>813</v>
      </c>
      <c r="T46" s="2" t="s">
        <v>95</v>
      </c>
      <c r="U46" s="2" t="s">
        <v>623</v>
      </c>
      <c r="V46" s="2" t="s">
        <v>815</v>
      </c>
      <c r="W46" s="2" t="s">
        <v>366</v>
      </c>
      <c r="X46" s="2" t="s">
        <v>107</v>
      </c>
      <c r="Y46" s="2"/>
      <c r="Z46" s="2" t="s">
        <v>107</v>
      </c>
      <c r="AA46" s="2" t="s">
        <v>126</v>
      </c>
      <c r="AB46" s="2" t="s">
        <v>817</v>
      </c>
      <c r="AC46" s="2" t="s">
        <v>819</v>
      </c>
      <c r="AD46" s="2" t="s">
        <v>107</v>
      </c>
      <c r="AE46" s="2" t="s">
        <v>107</v>
      </c>
      <c r="AF46" s="2" t="s">
        <v>107</v>
      </c>
      <c r="AG46" s="2" t="s">
        <v>74</v>
      </c>
      <c r="AH46" s="2" t="s">
        <v>823</v>
      </c>
      <c r="AI46" s="2" t="s">
        <v>107</v>
      </c>
      <c r="AJ46" s="2" t="s">
        <v>107</v>
      </c>
      <c r="AK46" s="2" t="s">
        <v>107</v>
      </c>
      <c r="AL46" s="2" t="s">
        <v>107</v>
      </c>
      <c r="AM46" s="2" t="s">
        <v>107</v>
      </c>
      <c r="AN46" s="2" t="s">
        <v>107</v>
      </c>
      <c r="AO46" s="2" t="s">
        <v>107</v>
      </c>
      <c r="AP46" s="2" t="s">
        <v>107</v>
      </c>
      <c r="AQ46" s="2" t="s">
        <v>107</v>
      </c>
      <c r="AR46" s="2" t="s">
        <v>107</v>
      </c>
      <c r="AS46" s="2" t="s">
        <v>107</v>
      </c>
      <c r="AT46" s="2" t="s">
        <v>107</v>
      </c>
      <c r="AU46" s="2" t="s">
        <v>107</v>
      </c>
      <c r="AV46" s="2"/>
      <c r="AW46" s="2" t="s">
        <v>107</v>
      </c>
      <c r="AX46" s="2" t="s">
        <v>107</v>
      </c>
      <c r="AY46" s="2" t="s">
        <v>107</v>
      </c>
      <c r="AZ46" s="2" t="s">
        <v>107</v>
      </c>
      <c r="BA46" s="2"/>
      <c r="BB46" s="2" t="s">
        <v>233</v>
      </c>
      <c r="BC46" s="2" t="s">
        <v>108</v>
      </c>
      <c r="BD46" s="2" t="s">
        <v>108</v>
      </c>
      <c r="BE46" s="2" t="s">
        <v>107</v>
      </c>
      <c r="BF46" s="2" t="s">
        <v>107</v>
      </c>
      <c r="BG46" s="2"/>
      <c r="BH46" s="2" t="s">
        <v>107</v>
      </c>
      <c r="BI46" s="2" t="s">
        <v>107</v>
      </c>
      <c r="BJ46" s="2"/>
      <c r="BK46" s="2" t="s">
        <v>74</v>
      </c>
      <c r="BL46" s="2"/>
      <c r="BM46" s="2"/>
    </row>
    <row r="47" spans="1:65" ht="12.5">
      <c r="A47" s="22">
        <v>43692.504600405096</v>
      </c>
      <c r="B47" s="2" t="s">
        <v>751</v>
      </c>
      <c r="C47" s="2" t="s">
        <v>753</v>
      </c>
      <c r="D47" s="2" t="s">
        <v>1108</v>
      </c>
      <c r="E47" s="2" t="s">
        <v>83</v>
      </c>
      <c r="F47" s="25" t="s">
        <v>1109</v>
      </c>
      <c r="G47" s="2" t="s">
        <v>1113</v>
      </c>
      <c r="H47" s="2" t="s">
        <v>1114</v>
      </c>
      <c r="I47" s="2" t="s">
        <v>152</v>
      </c>
      <c r="J47" s="2" t="s">
        <v>695</v>
      </c>
      <c r="K47" s="2" t="s">
        <v>1115</v>
      </c>
      <c r="L47" s="2" t="s">
        <v>1116</v>
      </c>
      <c r="M47" s="2" t="s">
        <v>1117</v>
      </c>
      <c r="N47" s="23">
        <v>2019</v>
      </c>
      <c r="O47" s="2" t="s">
        <v>82</v>
      </c>
      <c r="P47" s="2" t="s">
        <v>74</v>
      </c>
      <c r="Q47" s="2"/>
      <c r="R47" s="2" t="s">
        <v>84</v>
      </c>
      <c r="S47" s="2" t="s">
        <v>1118</v>
      </c>
      <c r="T47" s="2" t="s">
        <v>74</v>
      </c>
      <c r="U47" s="2" t="s">
        <v>1119</v>
      </c>
      <c r="V47" s="2" t="s">
        <v>260</v>
      </c>
      <c r="W47" s="2" t="s">
        <v>641</v>
      </c>
      <c r="X47" s="2" t="s">
        <v>107</v>
      </c>
      <c r="Y47" s="2"/>
      <c r="Z47" s="2" t="s">
        <v>205</v>
      </c>
      <c r="AA47" s="2" t="s">
        <v>90</v>
      </c>
      <c r="AB47" s="2" t="s">
        <v>931</v>
      </c>
      <c r="AC47" s="2" t="s">
        <v>92</v>
      </c>
      <c r="AD47" s="2" t="s">
        <v>284</v>
      </c>
      <c r="AE47" s="2" t="s">
        <v>107</v>
      </c>
      <c r="AF47" s="2" t="s">
        <v>107</v>
      </c>
      <c r="AG47" s="2" t="s">
        <v>107</v>
      </c>
      <c r="AH47" s="2" t="s">
        <v>107</v>
      </c>
      <c r="AI47" s="2" t="s">
        <v>107</v>
      </c>
      <c r="AJ47" s="2" t="s">
        <v>107</v>
      </c>
      <c r="AK47" s="2" t="s">
        <v>107</v>
      </c>
      <c r="AL47" s="2" t="s">
        <v>107</v>
      </c>
      <c r="AM47" s="2" t="s">
        <v>107</v>
      </c>
      <c r="AN47" s="2" t="s">
        <v>107</v>
      </c>
      <c r="AO47" s="2" t="s">
        <v>107</v>
      </c>
      <c r="AP47" s="2" t="s">
        <v>1120</v>
      </c>
      <c r="AQ47" s="2" t="s">
        <v>107</v>
      </c>
      <c r="AR47" s="2" t="s">
        <v>107</v>
      </c>
      <c r="AS47" s="2" t="s">
        <v>107</v>
      </c>
      <c r="AT47" s="2" t="s">
        <v>107</v>
      </c>
      <c r="AU47" s="2" t="s">
        <v>107</v>
      </c>
      <c r="AV47" s="2"/>
      <c r="AW47" s="2" t="s">
        <v>107</v>
      </c>
      <c r="AX47" s="2" t="s">
        <v>167</v>
      </c>
      <c r="AY47" s="2" t="s">
        <v>107</v>
      </c>
      <c r="AZ47" s="2" t="s">
        <v>107</v>
      </c>
      <c r="BA47" s="2"/>
      <c r="BB47" s="2" t="s">
        <v>233</v>
      </c>
      <c r="BC47" s="2" t="s">
        <v>108</v>
      </c>
      <c r="BD47" s="2" t="s">
        <v>108</v>
      </c>
      <c r="BE47" s="2" t="s">
        <v>107</v>
      </c>
      <c r="BF47" s="2" t="s">
        <v>107</v>
      </c>
      <c r="BG47" s="2"/>
      <c r="BH47" s="2" t="s">
        <v>107</v>
      </c>
      <c r="BI47" s="2" t="s">
        <v>107</v>
      </c>
      <c r="BJ47" s="2"/>
      <c r="BK47" s="2" t="s">
        <v>74</v>
      </c>
      <c r="BL47" s="2"/>
      <c r="BM47" s="2"/>
    </row>
    <row r="48" spans="1:65" ht="12.5">
      <c r="A48" s="22">
        <v>43692.762742592589</v>
      </c>
      <c r="B48" s="2" t="s">
        <v>1121</v>
      </c>
      <c r="C48" s="2" t="s">
        <v>1122</v>
      </c>
      <c r="D48" s="2" t="s">
        <v>1123</v>
      </c>
      <c r="E48" s="2" t="s">
        <v>74</v>
      </c>
      <c r="F48" s="2" t="s">
        <v>1571</v>
      </c>
      <c r="G48" s="2" t="s">
        <v>1125</v>
      </c>
      <c r="H48" s="2" t="s">
        <v>1572</v>
      </c>
      <c r="I48" s="2" t="s">
        <v>77</v>
      </c>
      <c r="J48" s="2" t="s">
        <v>199</v>
      </c>
      <c r="K48" s="2" t="s">
        <v>1127</v>
      </c>
      <c r="L48" s="2" t="s">
        <v>1128</v>
      </c>
      <c r="M48" s="2" t="s">
        <v>81</v>
      </c>
      <c r="N48" s="23">
        <v>2019</v>
      </c>
      <c r="O48" s="2" t="s">
        <v>82</v>
      </c>
      <c r="P48" s="2" t="s">
        <v>95</v>
      </c>
      <c r="Q48" s="2" t="s">
        <v>256</v>
      </c>
      <c r="R48" s="2" t="s">
        <v>1129</v>
      </c>
      <c r="S48" s="2" t="s">
        <v>1130</v>
      </c>
      <c r="T48" s="2" t="s">
        <v>95</v>
      </c>
      <c r="U48" s="2" t="s">
        <v>640</v>
      </c>
      <c r="V48" s="2" t="s">
        <v>364</v>
      </c>
      <c r="W48" s="2" t="s">
        <v>1131</v>
      </c>
      <c r="X48" s="2" t="s">
        <v>74</v>
      </c>
      <c r="Y48" s="2" t="s">
        <v>1579</v>
      </c>
      <c r="Z48" s="2" t="s">
        <v>205</v>
      </c>
      <c r="AA48" s="2" t="s">
        <v>126</v>
      </c>
      <c r="AB48" s="2" t="s">
        <v>1133</v>
      </c>
      <c r="AC48" s="2" t="s">
        <v>162</v>
      </c>
      <c r="AD48" s="2" t="s">
        <v>284</v>
      </c>
      <c r="AE48" s="2" t="s">
        <v>94</v>
      </c>
      <c r="AF48" s="2" t="s">
        <v>74</v>
      </c>
      <c r="AG48" s="2" t="s">
        <v>74</v>
      </c>
      <c r="AH48" s="2" t="s">
        <v>1134</v>
      </c>
      <c r="AI48" s="2" t="s">
        <v>74</v>
      </c>
      <c r="AJ48" s="2" t="s">
        <v>74</v>
      </c>
      <c r="AK48" s="2" t="s">
        <v>74</v>
      </c>
      <c r="AL48" s="2" t="s">
        <v>74</v>
      </c>
      <c r="AM48" s="2" t="s">
        <v>74</v>
      </c>
      <c r="AN48" s="2" t="s">
        <v>358</v>
      </c>
      <c r="AO48" s="2" t="s">
        <v>1135</v>
      </c>
      <c r="AP48" s="2" t="s">
        <v>1136</v>
      </c>
      <c r="AQ48" s="2" t="s">
        <v>166</v>
      </c>
      <c r="AR48" s="2" t="s">
        <v>74</v>
      </c>
      <c r="AS48" s="2" t="s">
        <v>101</v>
      </c>
      <c r="AT48" s="2" t="s">
        <v>107</v>
      </c>
      <c r="AU48" s="2" t="s">
        <v>233</v>
      </c>
      <c r="AV48" s="2"/>
      <c r="AW48" s="2" t="s">
        <v>233</v>
      </c>
      <c r="AX48" s="2" t="s">
        <v>1139</v>
      </c>
      <c r="AY48" s="2" t="s">
        <v>105</v>
      </c>
      <c r="AZ48" s="2" t="s">
        <v>861</v>
      </c>
      <c r="BA48" s="2" t="s">
        <v>1140</v>
      </c>
      <c r="BB48" s="2" t="s">
        <v>107</v>
      </c>
      <c r="BC48" s="2" t="s">
        <v>171</v>
      </c>
      <c r="BD48" s="2" t="s">
        <v>171</v>
      </c>
      <c r="BE48" s="2" t="s">
        <v>74</v>
      </c>
      <c r="BF48" s="2" t="s">
        <v>316</v>
      </c>
      <c r="BG48" s="25" t="s">
        <v>1141</v>
      </c>
      <c r="BH48" s="2" t="s">
        <v>143</v>
      </c>
      <c r="BI48" s="2" t="s">
        <v>471</v>
      </c>
      <c r="BJ48" s="2"/>
      <c r="BK48" s="2" t="s">
        <v>74</v>
      </c>
      <c r="BL48" s="2"/>
      <c r="BM48" s="2"/>
    </row>
    <row r="49" spans="1:65" ht="12.5">
      <c r="A49" s="22">
        <v>43696.3603196412</v>
      </c>
      <c r="B49" s="2" t="s">
        <v>838</v>
      </c>
      <c r="C49" s="2" t="s">
        <v>839</v>
      </c>
      <c r="D49" s="2" t="s">
        <v>840</v>
      </c>
      <c r="E49" s="2" t="s">
        <v>74</v>
      </c>
      <c r="F49" s="2" t="s">
        <v>841</v>
      </c>
      <c r="G49" s="2" t="s">
        <v>842</v>
      </c>
      <c r="H49" s="2" t="s">
        <v>843</v>
      </c>
      <c r="I49" s="2" t="s">
        <v>152</v>
      </c>
      <c r="J49" s="2" t="s">
        <v>688</v>
      </c>
      <c r="K49" s="2" t="s">
        <v>845</v>
      </c>
      <c r="L49" s="2" t="s">
        <v>846</v>
      </c>
      <c r="M49" s="2" t="s">
        <v>81</v>
      </c>
      <c r="N49" s="23">
        <v>2019</v>
      </c>
      <c r="O49" s="2" t="s">
        <v>82</v>
      </c>
      <c r="P49" s="2" t="s">
        <v>74</v>
      </c>
      <c r="Q49" s="2" t="s">
        <v>256</v>
      </c>
      <c r="R49" s="2" t="s">
        <v>848</v>
      </c>
      <c r="S49" s="2" t="s">
        <v>85</v>
      </c>
      <c r="T49" s="2" t="s">
        <v>74</v>
      </c>
      <c r="U49" s="2" t="s">
        <v>849</v>
      </c>
      <c r="V49" s="2" t="s">
        <v>850</v>
      </c>
      <c r="W49" s="2" t="s">
        <v>85</v>
      </c>
      <c r="X49" s="2" t="s">
        <v>74</v>
      </c>
      <c r="Y49" s="2" t="s">
        <v>852</v>
      </c>
      <c r="Z49" s="2" t="s">
        <v>89</v>
      </c>
      <c r="AA49" s="2" t="s">
        <v>90</v>
      </c>
      <c r="AB49" s="2" t="s">
        <v>853</v>
      </c>
      <c r="AC49" s="2" t="s">
        <v>92</v>
      </c>
      <c r="AD49" s="2" t="s">
        <v>284</v>
      </c>
      <c r="AE49" s="2" t="s">
        <v>163</v>
      </c>
      <c r="AF49" s="2" t="s">
        <v>74</v>
      </c>
      <c r="AG49" s="2" t="s">
        <v>74</v>
      </c>
      <c r="AH49" s="2" t="s">
        <v>96</v>
      </c>
      <c r="AI49" s="2" t="s">
        <v>83</v>
      </c>
      <c r="AJ49" s="2" t="s">
        <v>74</v>
      </c>
      <c r="AK49" s="2" t="s">
        <v>74</v>
      </c>
      <c r="AL49" s="2" t="s">
        <v>74</v>
      </c>
      <c r="AM49" s="2" t="s">
        <v>74</v>
      </c>
      <c r="AN49" s="2" t="s">
        <v>97</v>
      </c>
      <c r="AO49" s="2" t="s">
        <v>130</v>
      </c>
      <c r="AP49" s="2" t="s">
        <v>725</v>
      </c>
      <c r="AQ49" s="2" t="s">
        <v>631</v>
      </c>
      <c r="AR49" s="2" t="s">
        <v>83</v>
      </c>
      <c r="AS49" s="2" t="s">
        <v>101</v>
      </c>
      <c r="AT49" s="2" t="s">
        <v>857</v>
      </c>
      <c r="AU49" s="2" t="s">
        <v>858</v>
      </c>
      <c r="AV49" s="2"/>
      <c r="AW49" s="2" t="s">
        <v>233</v>
      </c>
      <c r="AX49" s="2" t="s">
        <v>859</v>
      </c>
      <c r="AY49" s="2" t="s">
        <v>105</v>
      </c>
      <c r="AZ49" s="2" t="s">
        <v>860</v>
      </c>
      <c r="BA49" s="2"/>
      <c r="BB49" s="2" t="s">
        <v>233</v>
      </c>
      <c r="BC49" s="2" t="s">
        <v>233</v>
      </c>
      <c r="BD49" s="2" t="s">
        <v>233</v>
      </c>
      <c r="BE49" s="2" t="s">
        <v>83</v>
      </c>
      <c r="BF49" s="2" t="s">
        <v>233</v>
      </c>
      <c r="BG49" s="2"/>
      <c r="BH49" s="2" t="s">
        <v>233</v>
      </c>
      <c r="BI49" s="2" t="s">
        <v>233</v>
      </c>
      <c r="BJ49" s="2"/>
      <c r="BK49" s="2" t="s">
        <v>74</v>
      </c>
      <c r="BL49" s="2"/>
      <c r="BM49" s="2"/>
    </row>
    <row r="50" spans="1:65" ht="12.5">
      <c r="A50" s="22">
        <v>43696.365995671295</v>
      </c>
      <c r="B50" s="2" t="s">
        <v>838</v>
      </c>
      <c r="C50" s="2" t="s">
        <v>839</v>
      </c>
      <c r="D50" s="2" t="s">
        <v>1149</v>
      </c>
      <c r="E50" s="2" t="s">
        <v>83</v>
      </c>
      <c r="F50" s="2" t="s">
        <v>867</v>
      </c>
      <c r="G50" s="2" t="s">
        <v>868</v>
      </c>
      <c r="H50" s="2" t="s">
        <v>1151</v>
      </c>
      <c r="I50" s="2" t="s">
        <v>152</v>
      </c>
      <c r="J50" s="2" t="s">
        <v>688</v>
      </c>
      <c r="K50" s="2" t="s">
        <v>1152</v>
      </c>
      <c r="L50" s="2" t="s">
        <v>1599</v>
      </c>
      <c r="M50" s="2" t="s">
        <v>298</v>
      </c>
      <c r="N50" s="23">
        <v>2019</v>
      </c>
      <c r="O50" s="2" t="s">
        <v>82</v>
      </c>
      <c r="P50" s="2" t="s">
        <v>74</v>
      </c>
      <c r="Q50" s="2" t="s">
        <v>256</v>
      </c>
      <c r="R50" s="2" t="s">
        <v>875</v>
      </c>
      <c r="S50" s="2" t="s">
        <v>85</v>
      </c>
      <c r="T50" s="2" t="s">
        <v>74</v>
      </c>
      <c r="U50" s="2" t="s">
        <v>1153</v>
      </c>
      <c r="V50" s="2" t="s">
        <v>1154</v>
      </c>
      <c r="W50" s="2" t="s">
        <v>85</v>
      </c>
      <c r="X50" s="2" t="s">
        <v>74</v>
      </c>
      <c r="Y50" s="2" t="s">
        <v>852</v>
      </c>
      <c r="Z50" s="2" t="s">
        <v>89</v>
      </c>
      <c r="AA50" s="2" t="s">
        <v>90</v>
      </c>
      <c r="AB50" s="2" t="s">
        <v>853</v>
      </c>
      <c r="AC50" s="2" t="s">
        <v>284</v>
      </c>
      <c r="AD50" s="2" t="s">
        <v>284</v>
      </c>
      <c r="AE50" s="2" t="s">
        <v>163</v>
      </c>
      <c r="AF50" s="2" t="s">
        <v>74</v>
      </c>
      <c r="AG50" s="2" t="s">
        <v>74</v>
      </c>
      <c r="AH50" s="2" t="s">
        <v>96</v>
      </c>
      <c r="AI50" s="2" t="s">
        <v>74</v>
      </c>
      <c r="AJ50" s="2" t="s">
        <v>74</v>
      </c>
      <c r="AK50" s="2" t="s">
        <v>74</v>
      </c>
      <c r="AL50" s="2" t="s">
        <v>74</v>
      </c>
      <c r="AM50" s="2" t="s">
        <v>74</v>
      </c>
      <c r="AN50" s="2" t="s">
        <v>97</v>
      </c>
      <c r="AO50" s="2" t="s">
        <v>1159</v>
      </c>
      <c r="AP50" s="2" t="s">
        <v>308</v>
      </c>
      <c r="AQ50" s="2" t="s">
        <v>1160</v>
      </c>
      <c r="AR50" s="2" t="s">
        <v>74</v>
      </c>
      <c r="AS50" s="2" t="s">
        <v>101</v>
      </c>
      <c r="AT50" s="2" t="s">
        <v>857</v>
      </c>
      <c r="AU50" s="2" t="s">
        <v>858</v>
      </c>
      <c r="AV50" s="2"/>
      <c r="AW50" s="2" t="s">
        <v>1161</v>
      </c>
      <c r="AX50" s="2" t="s">
        <v>859</v>
      </c>
      <c r="AY50" s="2" t="s">
        <v>105</v>
      </c>
      <c r="AZ50" s="2" t="s">
        <v>860</v>
      </c>
      <c r="BA50" s="2"/>
      <c r="BB50" s="2" t="s">
        <v>233</v>
      </c>
      <c r="BC50" s="2" t="s">
        <v>233</v>
      </c>
      <c r="BD50" s="2" t="s">
        <v>233</v>
      </c>
      <c r="BE50" s="2" t="s">
        <v>107</v>
      </c>
      <c r="BF50" s="2" t="s">
        <v>233</v>
      </c>
      <c r="BG50" s="2"/>
      <c r="BH50" s="2" t="s">
        <v>233</v>
      </c>
      <c r="BI50" s="2" t="s">
        <v>233</v>
      </c>
      <c r="BJ50" s="2"/>
      <c r="BK50" s="2" t="s">
        <v>74</v>
      </c>
      <c r="BL50" s="2"/>
      <c r="BM50" s="2"/>
    </row>
    <row r="51" spans="1:65" ht="12.5">
      <c r="A51" s="22">
        <v>43696.380595266208</v>
      </c>
      <c r="B51" s="2" t="s">
        <v>838</v>
      </c>
      <c r="C51" s="2" t="s">
        <v>839</v>
      </c>
      <c r="D51" s="2" t="s">
        <v>864</v>
      </c>
      <c r="E51" s="2" t="s">
        <v>83</v>
      </c>
      <c r="F51" s="2" t="s">
        <v>867</v>
      </c>
      <c r="G51" s="2" t="s">
        <v>868</v>
      </c>
      <c r="H51" s="2" t="s">
        <v>870</v>
      </c>
      <c r="I51" s="2" t="s">
        <v>77</v>
      </c>
      <c r="J51" s="2" t="s">
        <v>871</v>
      </c>
      <c r="K51" s="2" t="s">
        <v>872</v>
      </c>
      <c r="L51" s="2" t="s">
        <v>1599</v>
      </c>
      <c r="M51" s="2" t="s">
        <v>298</v>
      </c>
      <c r="N51" s="23">
        <v>2016</v>
      </c>
      <c r="O51" s="23">
        <v>2017</v>
      </c>
      <c r="P51" s="2" t="s">
        <v>74</v>
      </c>
      <c r="Q51" s="2" t="s">
        <v>722</v>
      </c>
      <c r="R51" s="2" t="s">
        <v>875</v>
      </c>
      <c r="S51" s="2" t="s">
        <v>85</v>
      </c>
      <c r="T51" s="2" t="s">
        <v>74</v>
      </c>
      <c r="U51" s="2" t="s">
        <v>876</v>
      </c>
      <c r="V51" s="2" t="s">
        <v>190</v>
      </c>
      <c r="W51" s="2" t="s">
        <v>123</v>
      </c>
      <c r="X51" s="2" t="s">
        <v>74</v>
      </c>
      <c r="Y51" s="2" t="s">
        <v>877</v>
      </c>
      <c r="Z51" s="2" t="s">
        <v>303</v>
      </c>
      <c r="AA51" s="2" t="s">
        <v>90</v>
      </c>
      <c r="AB51" s="2" t="s">
        <v>878</v>
      </c>
      <c r="AC51" s="2" t="s">
        <v>284</v>
      </c>
      <c r="AD51" s="2" t="s">
        <v>284</v>
      </c>
      <c r="AE51" s="2" t="s">
        <v>163</v>
      </c>
      <c r="AF51" s="2" t="s">
        <v>74</v>
      </c>
      <c r="AG51" s="2" t="s">
        <v>74</v>
      </c>
      <c r="AH51" s="2" t="s">
        <v>96</v>
      </c>
      <c r="AI51" s="2" t="s">
        <v>74</v>
      </c>
      <c r="AJ51" s="2" t="s">
        <v>74</v>
      </c>
      <c r="AK51" s="2" t="s">
        <v>74</v>
      </c>
      <c r="AL51" s="2" t="s">
        <v>74</v>
      </c>
      <c r="AM51" s="2" t="s">
        <v>74</v>
      </c>
      <c r="AN51" s="2" t="s">
        <v>97</v>
      </c>
      <c r="AO51" s="2" t="s">
        <v>879</v>
      </c>
      <c r="AP51" s="2" t="s">
        <v>308</v>
      </c>
      <c r="AQ51" s="2" t="s">
        <v>880</v>
      </c>
      <c r="AR51" s="2" t="s">
        <v>74</v>
      </c>
      <c r="AS51" s="2" t="s">
        <v>107</v>
      </c>
      <c r="AT51" s="2" t="s">
        <v>857</v>
      </c>
      <c r="AU51" s="2" t="s">
        <v>233</v>
      </c>
      <c r="AV51" s="2"/>
      <c r="AW51" s="2" t="s">
        <v>882</v>
      </c>
      <c r="AX51" s="2" t="s">
        <v>167</v>
      </c>
      <c r="AY51" s="2" t="s">
        <v>339</v>
      </c>
      <c r="AZ51" s="2" t="s">
        <v>233</v>
      </c>
      <c r="BA51" s="2"/>
      <c r="BB51" s="2" t="s">
        <v>170</v>
      </c>
      <c r="BC51" s="2" t="s">
        <v>171</v>
      </c>
      <c r="BD51" s="2" t="s">
        <v>171</v>
      </c>
      <c r="BE51" s="2" t="s">
        <v>83</v>
      </c>
      <c r="BF51" s="2" t="s">
        <v>141</v>
      </c>
      <c r="BG51" s="2"/>
      <c r="BH51" s="2" t="s">
        <v>887</v>
      </c>
      <c r="BI51" s="2" t="s">
        <v>238</v>
      </c>
      <c r="BJ51" s="2"/>
      <c r="BK51" s="2" t="s">
        <v>74</v>
      </c>
      <c r="BL51" s="2"/>
      <c r="BM51" s="2"/>
    </row>
    <row r="52" spans="1:65" ht="12.5">
      <c r="A52" s="22">
        <v>43698.487818692127</v>
      </c>
      <c r="B52" s="2" t="s">
        <v>1165</v>
      </c>
      <c r="C52" s="2" t="s">
        <v>1166</v>
      </c>
      <c r="D52" s="2" t="s">
        <v>1167</v>
      </c>
      <c r="E52" s="2" t="s">
        <v>83</v>
      </c>
      <c r="F52" s="25" t="s">
        <v>1168</v>
      </c>
      <c r="G52" s="2" t="s">
        <v>1170</v>
      </c>
      <c r="H52" s="2" t="s">
        <v>1171</v>
      </c>
      <c r="I52" s="2" t="s">
        <v>152</v>
      </c>
      <c r="J52" s="2" t="s">
        <v>693</v>
      </c>
      <c r="K52" s="2" t="s">
        <v>1172</v>
      </c>
      <c r="L52" s="2" t="s">
        <v>1174</v>
      </c>
      <c r="M52" s="2" t="s">
        <v>118</v>
      </c>
      <c r="N52" s="23">
        <v>2019</v>
      </c>
      <c r="O52" s="2" t="s">
        <v>82</v>
      </c>
      <c r="P52" s="2" t="s">
        <v>74</v>
      </c>
      <c r="Q52" s="2" t="s">
        <v>282</v>
      </c>
      <c r="R52" s="2" t="s">
        <v>1177</v>
      </c>
      <c r="S52" s="2" t="s">
        <v>120</v>
      </c>
      <c r="T52" s="2" t="s">
        <v>95</v>
      </c>
      <c r="U52" s="2" t="s">
        <v>1178</v>
      </c>
      <c r="V52" s="2" t="s">
        <v>1179</v>
      </c>
      <c r="W52" s="2" t="s">
        <v>85</v>
      </c>
      <c r="X52" s="2" t="s">
        <v>74</v>
      </c>
      <c r="Y52" s="2" t="s">
        <v>1180</v>
      </c>
      <c r="Z52" s="2" t="s">
        <v>303</v>
      </c>
      <c r="AA52" s="2" t="s">
        <v>126</v>
      </c>
      <c r="AB52" s="2" t="s">
        <v>1181</v>
      </c>
      <c r="AC52" s="2" t="s">
        <v>162</v>
      </c>
      <c r="AD52" s="2" t="s">
        <v>284</v>
      </c>
      <c r="AE52" s="2" t="s">
        <v>163</v>
      </c>
      <c r="AF52" s="2" t="s">
        <v>74</v>
      </c>
      <c r="AG52" s="2" t="s">
        <v>74</v>
      </c>
      <c r="AH52" s="2" t="s">
        <v>1182</v>
      </c>
      <c r="AI52" s="2" t="s">
        <v>74</v>
      </c>
      <c r="AJ52" s="2" t="s">
        <v>95</v>
      </c>
      <c r="AK52" s="2" t="s">
        <v>74</v>
      </c>
      <c r="AL52" s="2" t="s">
        <v>74</v>
      </c>
      <c r="AM52" s="2" t="s">
        <v>74</v>
      </c>
      <c r="AN52" s="2" t="s">
        <v>358</v>
      </c>
      <c r="AO52" s="2" t="s">
        <v>1183</v>
      </c>
      <c r="AP52" s="2" t="s">
        <v>1184</v>
      </c>
      <c r="AQ52" s="2" t="s">
        <v>1185</v>
      </c>
      <c r="AR52" s="2" t="s">
        <v>74</v>
      </c>
      <c r="AS52" s="2" t="s">
        <v>107</v>
      </c>
      <c r="AT52" s="2" t="s">
        <v>107</v>
      </c>
      <c r="AU52" s="25" t="s">
        <v>1187</v>
      </c>
      <c r="AV52" s="2"/>
      <c r="AW52" s="2" t="s">
        <v>103</v>
      </c>
      <c r="AX52" s="2" t="s">
        <v>522</v>
      </c>
      <c r="AY52" s="2" t="s">
        <v>288</v>
      </c>
      <c r="AZ52" s="2" t="s">
        <v>1190</v>
      </c>
      <c r="BA52" s="2" t="s">
        <v>1191</v>
      </c>
      <c r="BB52" s="2" t="s">
        <v>107</v>
      </c>
      <c r="BC52" s="2" t="s">
        <v>108</v>
      </c>
      <c r="BD52" s="2" t="s">
        <v>108</v>
      </c>
      <c r="BE52" s="2" t="s">
        <v>233</v>
      </c>
      <c r="BF52" s="2" t="s">
        <v>107</v>
      </c>
      <c r="BG52" s="2"/>
      <c r="BH52" s="2" t="s">
        <v>1192</v>
      </c>
      <c r="BI52" s="2" t="s">
        <v>272</v>
      </c>
      <c r="BJ52" s="2"/>
      <c r="BK52" s="2" t="s">
        <v>74</v>
      </c>
      <c r="BL52" s="2"/>
      <c r="BM52" s="2"/>
    </row>
    <row r="53" spans="1:65" ht="12.5">
      <c r="A53" s="22">
        <v>43698.800358356486</v>
      </c>
      <c r="B53" s="2" t="s">
        <v>899</v>
      </c>
      <c r="C53" s="2" t="s">
        <v>900</v>
      </c>
      <c r="D53" s="25" t="s">
        <v>901</v>
      </c>
      <c r="E53" s="2" t="s">
        <v>74</v>
      </c>
      <c r="F53" s="25" t="s">
        <v>907</v>
      </c>
      <c r="G53" s="2" t="s">
        <v>899</v>
      </c>
      <c r="H53" s="2" t="s">
        <v>1640</v>
      </c>
      <c r="I53" s="2" t="s">
        <v>914</v>
      </c>
      <c r="J53" s="2" t="s">
        <v>685</v>
      </c>
      <c r="K53" s="2" t="s">
        <v>915</v>
      </c>
      <c r="L53" s="2" t="s">
        <v>900</v>
      </c>
      <c r="M53" s="2" t="s">
        <v>916</v>
      </c>
      <c r="N53" s="23">
        <v>2016</v>
      </c>
      <c r="O53" s="2" t="s">
        <v>82</v>
      </c>
      <c r="P53" s="2" t="s">
        <v>83</v>
      </c>
      <c r="Q53" s="2" t="s">
        <v>383</v>
      </c>
      <c r="R53" s="2" t="s">
        <v>84</v>
      </c>
      <c r="S53" s="2" t="s">
        <v>924</v>
      </c>
      <c r="T53" s="2" t="s">
        <v>158</v>
      </c>
      <c r="U53" s="2" t="s">
        <v>927</v>
      </c>
      <c r="V53" s="2" t="s">
        <v>676</v>
      </c>
      <c r="W53" s="2" t="s">
        <v>85</v>
      </c>
      <c r="X53" s="2" t="s">
        <v>83</v>
      </c>
      <c r="Y53" s="2" t="s">
        <v>383</v>
      </c>
      <c r="Z53" s="2" t="s">
        <v>89</v>
      </c>
      <c r="AA53" s="2" t="s">
        <v>126</v>
      </c>
      <c r="AB53" s="2" t="s">
        <v>931</v>
      </c>
      <c r="AC53" s="2" t="s">
        <v>548</v>
      </c>
      <c r="AD53" s="2" t="s">
        <v>284</v>
      </c>
      <c r="AE53" s="2" t="s">
        <v>933</v>
      </c>
      <c r="AF53" s="2" t="s">
        <v>95</v>
      </c>
      <c r="AG53" s="2" t="s">
        <v>74</v>
      </c>
      <c r="AH53" s="2" t="s">
        <v>284</v>
      </c>
      <c r="AI53" s="2" t="s">
        <v>74</v>
      </c>
      <c r="AJ53" s="2" t="s">
        <v>95</v>
      </c>
      <c r="AK53" s="2" t="s">
        <v>74</v>
      </c>
      <c r="AL53" s="2" t="s">
        <v>74</v>
      </c>
      <c r="AM53" s="2" t="s">
        <v>74</v>
      </c>
      <c r="AN53" s="2" t="s">
        <v>97</v>
      </c>
      <c r="AO53" s="2" t="s">
        <v>568</v>
      </c>
      <c r="AP53" s="2" t="s">
        <v>934</v>
      </c>
      <c r="AQ53" s="2" t="s">
        <v>166</v>
      </c>
      <c r="AR53" s="2" t="s">
        <v>74</v>
      </c>
      <c r="AS53" s="2" t="s">
        <v>759</v>
      </c>
      <c r="AT53" s="2" t="s">
        <v>938</v>
      </c>
      <c r="AU53" s="29" t="s">
        <v>939</v>
      </c>
      <c r="AV53" s="2"/>
      <c r="AW53" s="2" t="s">
        <v>944</v>
      </c>
      <c r="AX53" s="2" t="s">
        <v>233</v>
      </c>
      <c r="AY53" s="2" t="s">
        <v>233</v>
      </c>
      <c r="AZ53" s="2" t="s">
        <v>233</v>
      </c>
      <c r="BA53" s="2" t="s">
        <v>383</v>
      </c>
      <c r="BB53" s="2" t="s">
        <v>233</v>
      </c>
      <c r="BC53" s="2" t="s">
        <v>341</v>
      </c>
      <c r="BD53" s="2" t="s">
        <v>341</v>
      </c>
      <c r="BE53" s="2" t="s">
        <v>83</v>
      </c>
      <c r="BF53" s="2" t="s">
        <v>141</v>
      </c>
      <c r="BG53" s="25" t="s">
        <v>948</v>
      </c>
      <c r="BH53" s="2" t="s">
        <v>143</v>
      </c>
      <c r="BI53" s="2" t="s">
        <v>282</v>
      </c>
      <c r="BJ53" s="2"/>
      <c r="BK53" s="2" t="s">
        <v>74</v>
      </c>
      <c r="BL53" s="24" t="s">
        <v>950</v>
      </c>
      <c r="BM53" s="24"/>
    </row>
    <row r="54" spans="1:65" ht="12.5">
      <c r="A54" s="22">
        <v>43698.814660358796</v>
      </c>
      <c r="B54" s="2" t="s">
        <v>1196</v>
      </c>
      <c r="C54" s="2" t="s">
        <v>1197</v>
      </c>
      <c r="D54" s="2" t="s">
        <v>1198</v>
      </c>
      <c r="E54" s="2" t="s">
        <v>74</v>
      </c>
      <c r="F54" s="25" t="s">
        <v>1199</v>
      </c>
      <c r="G54" s="2" t="s">
        <v>1196</v>
      </c>
      <c r="H54" s="2" t="s">
        <v>1203</v>
      </c>
      <c r="I54" s="2" t="s">
        <v>152</v>
      </c>
      <c r="J54" s="2" t="s">
        <v>685</v>
      </c>
      <c r="K54" s="2" t="s">
        <v>915</v>
      </c>
      <c r="L54" s="2" t="s">
        <v>1205</v>
      </c>
      <c r="M54" s="2" t="s">
        <v>81</v>
      </c>
      <c r="N54" s="23">
        <v>2012</v>
      </c>
      <c r="O54" s="23">
        <v>2016</v>
      </c>
      <c r="P54" s="2" t="s">
        <v>83</v>
      </c>
      <c r="Q54" s="2" t="s">
        <v>383</v>
      </c>
      <c r="R54" s="2" t="s">
        <v>84</v>
      </c>
      <c r="S54" s="2" t="s">
        <v>258</v>
      </c>
      <c r="T54" s="2" t="s">
        <v>74</v>
      </c>
      <c r="U54" s="2" t="s">
        <v>224</v>
      </c>
      <c r="V54" s="2" t="s">
        <v>190</v>
      </c>
      <c r="W54" s="2" t="s">
        <v>456</v>
      </c>
      <c r="X54" s="2" t="s">
        <v>74</v>
      </c>
      <c r="Y54" s="2" t="s">
        <v>1206</v>
      </c>
      <c r="Z54" s="2" t="s">
        <v>205</v>
      </c>
      <c r="AA54" s="2" t="s">
        <v>90</v>
      </c>
      <c r="AB54" s="2" t="s">
        <v>409</v>
      </c>
      <c r="AC54" s="2" t="s">
        <v>92</v>
      </c>
      <c r="AD54" s="2" t="s">
        <v>93</v>
      </c>
      <c r="AE54" s="2" t="s">
        <v>163</v>
      </c>
      <c r="AF54" s="2" t="s">
        <v>74</v>
      </c>
      <c r="AG54" s="2" t="s">
        <v>74</v>
      </c>
      <c r="AH54" s="2" t="s">
        <v>284</v>
      </c>
      <c r="AI54" s="2" t="s">
        <v>74</v>
      </c>
      <c r="AJ54" s="2" t="s">
        <v>95</v>
      </c>
      <c r="AK54" s="2" t="s">
        <v>83</v>
      </c>
      <c r="AL54" s="2" t="s">
        <v>83</v>
      </c>
      <c r="AM54" s="2" t="s">
        <v>74</v>
      </c>
      <c r="AN54" s="2" t="s">
        <v>97</v>
      </c>
      <c r="AO54" s="2" t="s">
        <v>233</v>
      </c>
      <c r="AP54" s="2" t="s">
        <v>393</v>
      </c>
      <c r="AQ54" s="2" t="s">
        <v>631</v>
      </c>
      <c r="AR54" s="2" t="s">
        <v>83</v>
      </c>
      <c r="AS54" s="2" t="s">
        <v>101</v>
      </c>
      <c r="AT54" s="2" t="s">
        <v>107</v>
      </c>
      <c r="AU54" s="2" t="s">
        <v>83</v>
      </c>
      <c r="AV54" s="2"/>
      <c r="AW54" s="2" t="s">
        <v>233</v>
      </c>
      <c r="AX54" s="2" t="s">
        <v>167</v>
      </c>
      <c r="AY54" s="2" t="s">
        <v>313</v>
      </c>
      <c r="AZ54" s="2" t="s">
        <v>136</v>
      </c>
      <c r="BA54" s="2" t="s">
        <v>1208</v>
      </c>
      <c r="BB54" s="2" t="s">
        <v>233</v>
      </c>
      <c r="BC54" s="2" t="s">
        <v>139</v>
      </c>
      <c r="BD54" s="2" t="s">
        <v>234</v>
      </c>
      <c r="BE54" s="2" t="s">
        <v>233</v>
      </c>
      <c r="BF54" s="2" t="s">
        <v>141</v>
      </c>
      <c r="BG54" s="2"/>
      <c r="BH54" s="2" t="s">
        <v>213</v>
      </c>
      <c r="BI54" s="2" t="s">
        <v>282</v>
      </c>
      <c r="BJ54" s="2"/>
      <c r="BK54" s="2" t="s">
        <v>74</v>
      </c>
      <c r="BL54" s="2" t="s">
        <v>284</v>
      </c>
      <c r="BM54" s="2"/>
    </row>
    <row r="55" spans="1:65" ht="12.5">
      <c r="A55" s="22">
        <v>43700.545847824076</v>
      </c>
      <c r="B55" s="2" t="s">
        <v>1210</v>
      </c>
      <c r="C55" s="2" t="s">
        <v>1211</v>
      </c>
      <c r="D55" s="2" t="s">
        <v>1212</v>
      </c>
      <c r="E55" s="2" t="s">
        <v>74</v>
      </c>
      <c r="F55" s="25" t="s">
        <v>1213</v>
      </c>
      <c r="G55" s="2" t="s">
        <v>1214</v>
      </c>
      <c r="H55" s="2" t="s">
        <v>1215</v>
      </c>
      <c r="I55" s="2" t="s">
        <v>77</v>
      </c>
      <c r="J55" s="2" t="s">
        <v>539</v>
      </c>
      <c r="K55" s="2" t="s">
        <v>1216</v>
      </c>
      <c r="L55" s="2" t="s">
        <v>1217</v>
      </c>
      <c r="M55" s="2" t="s">
        <v>418</v>
      </c>
      <c r="N55" s="23">
        <v>2018</v>
      </c>
      <c r="O55" s="2" t="s">
        <v>82</v>
      </c>
      <c r="P55" s="2" t="s">
        <v>83</v>
      </c>
      <c r="Q55" s="2" t="s">
        <v>1218</v>
      </c>
      <c r="R55" s="2" t="s">
        <v>1219</v>
      </c>
      <c r="S55" s="2" t="s">
        <v>258</v>
      </c>
      <c r="T55" s="2" t="s">
        <v>74</v>
      </c>
      <c r="U55" s="2" t="s">
        <v>1220</v>
      </c>
      <c r="V55" s="2" t="s">
        <v>1221</v>
      </c>
      <c r="W55" s="2" t="s">
        <v>1222</v>
      </c>
      <c r="X55" s="2" t="s">
        <v>74</v>
      </c>
      <c r="Y55" s="2" t="s">
        <v>1224</v>
      </c>
      <c r="Z55" s="2" t="s">
        <v>303</v>
      </c>
      <c r="AA55" s="2" t="s">
        <v>1225</v>
      </c>
      <c r="AB55" s="2" t="s">
        <v>1227</v>
      </c>
      <c r="AC55" s="2" t="s">
        <v>305</v>
      </c>
      <c r="AD55" s="2" t="s">
        <v>93</v>
      </c>
      <c r="AE55" s="2" t="s">
        <v>1228</v>
      </c>
      <c r="AF55" s="2" t="s">
        <v>74</v>
      </c>
      <c r="AG55" s="2" t="s">
        <v>74</v>
      </c>
      <c r="AH55" s="2" t="s">
        <v>1230</v>
      </c>
      <c r="AI55" s="2" t="s">
        <v>74</v>
      </c>
      <c r="AJ55" s="2" t="s">
        <v>74</v>
      </c>
      <c r="AK55" s="2" t="s">
        <v>74</v>
      </c>
      <c r="AL55" s="2" t="s">
        <v>74</v>
      </c>
      <c r="AM55" s="2" t="s">
        <v>74</v>
      </c>
      <c r="AN55" s="2" t="s">
        <v>358</v>
      </c>
      <c r="AO55" s="2" t="s">
        <v>130</v>
      </c>
      <c r="AP55" s="2" t="s">
        <v>1233</v>
      </c>
      <c r="AQ55" s="2" t="s">
        <v>1234</v>
      </c>
      <c r="AR55" s="2" t="s">
        <v>74</v>
      </c>
      <c r="AS55" s="2" t="s">
        <v>101</v>
      </c>
      <c r="AT55" s="2" t="s">
        <v>102</v>
      </c>
      <c r="AU55" s="24" t="s">
        <v>1235</v>
      </c>
      <c r="AV55" s="2"/>
      <c r="AW55" s="2" t="s">
        <v>1237</v>
      </c>
      <c r="AX55" s="2" t="s">
        <v>268</v>
      </c>
      <c r="AY55" s="2" t="s">
        <v>339</v>
      </c>
      <c r="AZ55" s="2" t="s">
        <v>168</v>
      </c>
      <c r="BA55" s="2" t="s">
        <v>1238</v>
      </c>
      <c r="BB55" s="2" t="s">
        <v>233</v>
      </c>
      <c r="BC55" s="2" t="s">
        <v>140</v>
      </c>
      <c r="BD55" s="2" t="s">
        <v>139</v>
      </c>
      <c r="BE55" s="2" t="s">
        <v>107</v>
      </c>
      <c r="BF55" s="23">
        <v>0</v>
      </c>
      <c r="BG55" s="2"/>
      <c r="BH55" s="2" t="s">
        <v>1239</v>
      </c>
      <c r="BI55" s="2" t="s">
        <v>233</v>
      </c>
      <c r="BJ55" s="2"/>
      <c r="BK55" s="2" t="s">
        <v>74</v>
      </c>
      <c r="BL55" s="24" t="s">
        <v>1240</v>
      </c>
      <c r="BM55" s="24"/>
    </row>
    <row r="56" spans="1:65" ht="12.5">
      <c r="A56" s="22">
        <v>43703.61533296296</v>
      </c>
      <c r="B56" s="2" t="s">
        <v>956</v>
      </c>
      <c r="C56" s="2" t="s">
        <v>957</v>
      </c>
      <c r="D56" s="2" t="s">
        <v>958</v>
      </c>
      <c r="E56" s="2" t="s">
        <v>74</v>
      </c>
      <c r="F56" s="25" t="s">
        <v>959</v>
      </c>
      <c r="G56" s="2" t="s">
        <v>964</v>
      </c>
      <c r="H56" s="2" t="s">
        <v>965</v>
      </c>
      <c r="I56" s="2" t="s">
        <v>152</v>
      </c>
      <c r="J56" s="2" t="s">
        <v>684</v>
      </c>
      <c r="K56" s="2" t="s">
        <v>967</v>
      </c>
      <c r="L56" s="2" t="s">
        <v>968</v>
      </c>
      <c r="M56" s="2" t="s">
        <v>969</v>
      </c>
      <c r="N56" s="23">
        <v>2018</v>
      </c>
      <c r="O56" s="2" t="s">
        <v>107</v>
      </c>
      <c r="P56" s="2" t="s">
        <v>83</v>
      </c>
      <c r="Q56" s="2" t="s">
        <v>970</v>
      </c>
      <c r="R56" s="2" t="s">
        <v>84</v>
      </c>
      <c r="S56" s="2" t="s">
        <v>971</v>
      </c>
      <c r="T56" s="2" t="s">
        <v>158</v>
      </c>
      <c r="U56" s="2" t="s">
        <v>972</v>
      </c>
      <c r="V56" s="2" t="s">
        <v>451</v>
      </c>
      <c r="W56" s="2" t="s">
        <v>161</v>
      </c>
      <c r="X56" s="2" t="s">
        <v>74</v>
      </c>
      <c r="Y56" s="2" t="s">
        <v>973</v>
      </c>
      <c r="Z56" s="2" t="s">
        <v>205</v>
      </c>
      <c r="AA56" s="2" t="s">
        <v>90</v>
      </c>
      <c r="AB56" s="2" t="s">
        <v>974</v>
      </c>
      <c r="AC56" s="2" t="s">
        <v>162</v>
      </c>
      <c r="AD56" s="2" t="s">
        <v>284</v>
      </c>
      <c r="AE56" s="2" t="s">
        <v>94</v>
      </c>
      <c r="AF56" s="2" t="s">
        <v>83</v>
      </c>
      <c r="AG56" s="2" t="s">
        <v>74</v>
      </c>
      <c r="AH56" s="2" t="s">
        <v>284</v>
      </c>
      <c r="AI56" s="2" t="s">
        <v>74</v>
      </c>
      <c r="AJ56" s="2" t="s">
        <v>74</v>
      </c>
      <c r="AK56" s="2" t="s">
        <v>74</v>
      </c>
      <c r="AL56" s="2" t="s">
        <v>74</v>
      </c>
      <c r="AM56" s="2" t="s">
        <v>74</v>
      </c>
      <c r="AN56" s="2" t="s">
        <v>97</v>
      </c>
      <c r="AO56" s="2" t="s">
        <v>130</v>
      </c>
      <c r="AP56" s="2" t="s">
        <v>308</v>
      </c>
      <c r="AQ56" s="2" t="s">
        <v>631</v>
      </c>
      <c r="AR56" s="2" t="s">
        <v>74</v>
      </c>
      <c r="AS56" s="2" t="s">
        <v>980</v>
      </c>
      <c r="AT56" s="2" t="s">
        <v>107</v>
      </c>
      <c r="AU56" s="2" t="s">
        <v>83</v>
      </c>
      <c r="AV56" s="2"/>
      <c r="AW56" s="2" t="s">
        <v>107</v>
      </c>
      <c r="AX56" s="2" t="s">
        <v>312</v>
      </c>
      <c r="AY56" s="2" t="s">
        <v>288</v>
      </c>
      <c r="AZ56" s="24" t="s">
        <v>981</v>
      </c>
      <c r="BA56" s="2"/>
      <c r="BB56" s="2" t="s">
        <v>212</v>
      </c>
      <c r="BC56" s="2" t="s">
        <v>139</v>
      </c>
      <c r="BD56" s="2" t="s">
        <v>171</v>
      </c>
      <c r="BE56" s="2" t="s">
        <v>83</v>
      </c>
      <c r="BF56" s="23">
        <v>0</v>
      </c>
      <c r="BG56" s="2"/>
      <c r="BH56" s="2" t="s">
        <v>107</v>
      </c>
      <c r="BI56" s="2" t="s">
        <v>107</v>
      </c>
      <c r="BJ56" s="2"/>
      <c r="BK56" s="2" t="s">
        <v>74</v>
      </c>
      <c r="BL56" s="24" t="s">
        <v>982</v>
      </c>
      <c r="BM56" s="24"/>
    </row>
    <row r="57" spans="1:65" ht="12.5">
      <c r="A57" s="22">
        <v>43707.960566365742</v>
      </c>
      <c r="B57" s="2" t="s">
        <v>1244</v>
      </c>
      <c r="C57" s="2" t="s">
        <v>1245</v>
      </c>
      <c r="D57" s="2" t="s">
        <v>1246</v>
      </c>
      <c r="E57" s="2" t="s">
        <v>74</v>
      </c>
      <c r="F57" s="25" t="s">
        <v>1247</v>
      </c>
      <c r="G57" s="2" t="s">
        <v>1244</v>
      </c>
      <c r="H57" s="2" t="s">
        <v>1250</v>
      </c>
      <c r="I57" s="2" t="s">
        <v>152</v>
      </c>
      <c r="J57" s="2" t="s">
        <v>680</v>
      </c>
      <c r="K57" s="2" t="s">
        <v>608</v>
      </c>
      <c r="L57" s="2" t="s">
        <v>1251</v>
      </c>
      <c r="M57" s="2" t="s">
        <v>1252</v>
      </c>
      <c r="N57" s="23">
        <v>2019</v>
      </c>
      <c r="O57" s="2" t="s">
        <v>82</v>
      </c>
      <c r="P57" s="2" t="s">
        <v>95</v>
      </c>
      <c r="Q57" s="2" t="s">
        <v>724</v>
      </c>
      <c r="R57" s="2" t="s">
        <v>1253</v>
      </c>
      <c r="S57" s="2" t="s">
        <v>120</v>
      </c>
      <c r="T57" s="2" t="s">
        <v>74</v>
      </c>
      <c r="U57" s="2" t="s">
        <v>1255</v>
      </c>
      <c r="V57" s="2" t="s">
        <v>1256</v>
      </c>
      <c r="W57" s="2" t="s">
        <v>499</v>
      </c>
      <c r="X57" s="2" t="s">
        <v>74</v>
      </c>
      <c r="Y57" s="2" t="s">
        <v>1257</v>
      </c>
      <c r="Z57" s="2" t="s">
        <v>125</v>
      </c>
      <c r="AA57" s="2" t="s">
        <v>126</v>
      </c>
      <c r="AB57" s="2" t="s">
        <v>409</v>
      </c>
      <c r="AC57" s="2" t="s">
        <v>128</v>
      </c>
      <c r="AD57" s="2" t="s">
        <v>93</v>
      </c>
      <c r="AE57" s="2" t="s">
        <v>94</v>
      </c>
      <c r="AF57" s="2" t="s">
        <v>83</v>
      </c>
      <c r="AG57" s="2" t="s">
        <v>74</v>
      </c>
      <c r="AH57" s="2" t="s">
        <v>284</v>
      </c>
      <c r="AI57" s="2" t="s">
        <v>74</v>
      </c>
      <c r="AJ57" s="2" t="s">
        <v>74</v>
      </c>
      <c r="AK57" s="2" t="s">
        <v>74</v>
      </c>
      <c r="AL57" s="2" t="s">
        <v>74</v>
      </c>
      <c r="AM57" s="2" t="s">
        <v>74</v>
      </c>
      <c r="AN57" s="2" t="s">
        <v>1258</v>
      </c>
      <c r="AO57" s="2" t="s">
        <v>1259</v>
      </c>
      <c r="AP57" s="2" t="s">
        <v>725</v>
      </c>
      <c r="AQ57" s="2" t="s">
        <v>1260</v>
      </c>
      <c r="AR57" s="2" t="s">
        <v>74</v>
      </c>
      <c r="AS57" s="2" t="s">
        <v>107</v>
      </c>
      <c r="AT57" s="2" t="s">
        <v>107</v>
      </c>
      <c r="AU57" s="2" t="s">
        <v>107</v>
      </c>
      <c r="AV57" s="2"/>
      <c r="AW57" s="2" t="s">
        <v>107</v>
      </c>
      <c r="AX57" s="2" t="s">
        <v>761</v>
      </c>
      <c r="AY57" s="2" t="s">
        <v>1261</v>
      </c>
      <c r="AZ57" s="2" t="s">
        <v>1262</v>
      </c>
      <c r="BA57" s="2" t="s">
        <v>1263</v>
      </c>
      <c r="BB57" s="2" t="s">
        <v>233</v>
      </c>
      <c r="BC57" s="2" t="s">
        <v>171</v>
      </c>
      <c r="BD57" s="2" t="s">
        <v>171</v>
      </c>
      <c r="BE57" s="2" t="s">
        <v>83</v>
      </c>
      <c r="BF57" s="23">
        <v>0</v>
      </c>
      <c r="BG57" s="25" t="s">
        <v>1264</v>
      </c>
      <c r="BH57" s="2" t="s">
        <v>213</v>
      </c>
      <c r="BI57" s="2" t="s">
        <v>551</v>
      </c>
      <c r="BJ57" s="2"/>
      <c r="BK57" s="2" t="s">
        <v>74</v>
      </c>
      <c r="BL57" s="24" t="s">
        <v>1267</v>
      </c>
      <c r="BM57" s="24"/>
    </row>
    <row r="58" spans="1:65" ht="12.5">
      <c r="A58" s="22">
        <v>43714.424132025466</v>
      </c>
      <c r="B58" s="2" t="s">
        <v>1271</v>
      </c>
      <c r="C58" s="2" t="s">
        <v>1272</v>
      </c>
      <c r="D58" s="2" t="s">
        <v>1273</v>
      </c>
      <c r="E58" s="2" t="s">
        <v>74</v>
      </c>
      <c r="F58" s="25" t="s">
        <v>1274</v>
      </c>
      <c r="G58" s="2" t="s">
        <v>1277</v>
      </c>
      <c r="H58" s="2" t="s">
        <v>1278</v>
      </c>
      <c r="I58" s="2" t="s">
        <v>152</v>
      </c>
      <c r="J58" s="2" t="s">
        <v>539</v>
      </c>
      <c r="K58" s="2" t="s">
        <v>1280</v>
      </c>
      <c r="L58" s="2" t="s">
        <v>1281</v>
      </c>
      <c r="M58" s="2" t="s">
        <v>118</v>
      </c>
      <c r="N58" s="23">
        <v>2012</v>
      </c>
      <c r="O58" s="2" t="s">
        <v>82</v>
      </c>
      <c r="P58" s="2" t="s">
        <v>74</v>
      </c>
      <c r="Q58" s="2" t="s">
        <v>119</v>
      </c>
      <c r="R58" s="2" t="s">
        <v>257</v>
      </c>
      <c r="S58" s="2" t="s">
        <v>85</v>
      </c>
      <c r="T58" s="2" t="s">
        <v>74</v>
      </c>
      <c r="U58" s="2" t="s">
        <v>386</v>
      </c>
      <c r="V58" s="2" t="s">
        <v>676</v>
      </c>
      <c r="W58" s="2" t="s">
        <v>85</v>
      </c>
      <c r="X58" s="2" t="s">
        <v>74</v>
      </c>
      <c r="Y58" s="2" t="s">
        <v>1283</v>
      </c>
      <c r="Z58" s="2" t="s">
        <v>89</v>
      </c>
      <c r="AA58" s="2" t="s">
        <v>126</v>
      </c>
      <c r="AB58" s="2" t="s">
        <v>409</v>
      </c>
      <c r="AC58" s="2" t="s">
        <v>92</v>
      </c>
      <c r="AD58" s="2" t="s">
        <v>1286</v>
      </c>
      <c r="AE58" s="2" t="s">
        <v>1287</v>
      </c>
      <c r="AF58" s="2" t="s">
        <v>74</v>
      </c>
      <c r="AG58" s="2" t="s">
        <v>74</v>
      </c>
      <c r="AH58" s="2" t="s">
        <v>1288</v>
      </c>
      <c r="AI58" s="2" t="s">
        <v>74</v>
      </c>
      <c r="AJ58" s="2" t="s">
        <v>74</v>
      </c>
      <c r="AK58" s="2" t="s">
        <v>83</v>
      </c>
      <c r="AL58" s="2" t="s">
        <v>74</v>
      </c>
      <c r="AM58" s="2" t="s">
        <v>74</v>
      </c>
      <c r="AN58" s="2" t="s">
        <v>412</v>
      </c>
      <c r="AO58" s="2" t="s">
        <v>130</v>
      </c>
      <c r="AP58" s="2" t="s">
        <v>229</v>
      </c>
      <c r="AQ58" s="2" t="s">
        <v>336</v>
      </c>
      <c r="AR58" s="2" t="s">
        <v>74</v>
      </c>
      <c r="AS58" s="2" t="s">
        <v>1290</v>
      </c>
      <c r="AT58" s="2" t="s">
        <v>102</v>
      </c>
      <c r="AU58" s="2" t="s">
        <v>83</v>
      </c>
      <c r="AV58" s="2"/>
      <c r="AW58" s="2" t="s">
        <v>1292</v>
      </c>
      <c r="AX58" s="2" t="s">
        <v>167</v>
      </c>
      <c r="AY58" s="2" t="s">
        <v>1293</v>
      </c>
      <c r="AZ58" s="24" t="s">
        <v>1294</v>
      </c>
      <c r="BA58" s="2"/>
      <c r="BB58" s="2" t="s">
        <v>233</v>
      </c>
      <c r="BC58" s="2" t="s">
        <v>315</v>
      </c>
      <c r="BD58" s="2" t="s">
        <v>789</v>
      </c>
      <c r="BE58" s="2" t="s">
        <v>83</v>
      </c>
      <c r="BF58" s="2" t="s">
        <v>270</v>
      </c>
      <c r="BG58" s="25" t="s">
        <v>1295</v>
      </c>
      <c r="BH58" s="2" t="s">
        <v>143</v>
      </c>
      <c r="BI58" s="24" t="s">
        <v>984</v>
      </c>
      <c r="BJ58" s="2"/>
      <c r="BK58" s="2" t="s">
        <v>74</v>
      </c>
      <c r="BL58" s="2"/>
      <c r="BM58" s="2"/>
    </row>
    <row r="59" spans="1:65" ht="12.5">
      <c r="A59" s="22">
        <v>43718.347036793981</v>
      </c>
      <c r="B59" s="2" t="s">
        <v>1299</v>
      </c>
      <c r="C59" s="2" t="s">
        <v>1300</v>
      </c>
      <c r="D59" s="2" t="s">
        <v>1301</v>
      </c>
      <c r="E59" s="2" t="s">
        <v>74</v>
      </c>
      <c r="F59" s="25" t="s">
        <v>1302</v>
      </c>
      <c r="G59" s="2" t="s">
        <v>1303</v>
      </c>
      <c r="H59" s="2" t="s">
        <v>1304</v>
      </c>
      <c r="I59" s="2" t="s">
        <v>152</v>
      </c>
      <c r="J59" s="2" t="s">
        <v>699</v>
      </c>
      <c r="K59" s="2" t="s">
        <v>1305</v>
      </c>
      <c r="L59" s="2" t="s">
        <v>1306</v>
      </c>
      <c r="M59" s="2" t="s">
        <v>298</v>
      </c>
      <c r="N59" s="23">
        <v>2016</v>
      </c>
      <c r="O59" s="2" t="s">
        <v>82</v>
      </c>
      <c r="P59" s="2" t="s">
        <v>95</v>
      </c>
      <c r="Q59" s="2" t="s">
        <v>1308</v>
      </c>
      <c r="R59" s="2" t="s">
        <v>1309</v>
      </c>
      <c r="S59" s="2" t="s">
        <v>1310</v>
      </c>
      <c r="T59" s="2" t="s">
        <v>74</v>
      </c>
      <c r="U59" s="2" t="s">
        <v>1311</v>
      </c>
      <c r="V59" s="2" t="s">
        <v>260</v>
      </c>
      <c r="W59" s="2" t="s">
        <v>261</v>
      </c>
      <c r="X59" s="2" t="s">
        <v>74</v>
      </c>
      <c r="Y59" s="2" t="s">
        <v>1313</v>
      </c>
      <c r="Z59" s="2" t="s">
        <v>89</v>
      </c>
      <c r="AA59" s="2" t="s">
        <v>126</v>
      </c>
      <c r="AB59" s="2" t="s">
        <v>566</v>
      </c>
      <c r="AC59" s="2" t="s">
        <v>305</v>
      </c>
      <c r="AD59" s="2" t="s">
        <v>284</v>
      </c>
      <c r="AE59" s="2" t="s">
        <v>94</v>
      </c>
      <c r="AF59" s="2" t="s">
        <v>74</v>
      </c>
      <c r="AG59" s="2" t="s">
        <v>74</v>
      </c>
      <c r="AH59" s="2" t="s">
        <v>96</v>
      </c>
      <c r="AI59" s="2" t="s">
        <v>74</v>
      </c>
      <c r="AJ59" s="2" t="s">
        <v>95</v>
      </c>
      <c r="AK59" s="2" t="s">
        <v>74</v>
      </c>
      <c r="AL59" s="2" t="s">
        <v>74</v>
      </c>
      <c r="AM59" s="2" t="s">
        <v>74</v>
      </c>
      <c r="AN59" s="2" t="s">
        <v>97</v>
      </c>
      <c r="AO59" s="2" t="s">
        <v>130</v>
      </c>
      <c r="AP59" s="2" t="s">
        <v>229</v>
      </c>
      <c r="AQ59" s="2" t="s">
        <v>1317</v>
      </c>
      <c r="AR59" s="2" t="s">
        <v>74</v>
      </c>
      <c r="AS59" s="2" t="s">
        <v>1318</v>
      </c>
      <c r="AT59" s="2" t="s">
        <v>107</v>
      </c>
      <c r="AU59" s="2" t="s">
        <v>83</v>
      </c>
      <c r="AV59" s="2"/>
      <c r="AW59" s="2" t="s">
        <v>103</v>
      </c>
      <c r="AX59" s="2" t="s">
        <v>167</v>
      </c>
      <c r="AY59" s="2" t="s">
        <v>105</v>
      </c>
      <c r="AZ59" s="2" t="s">
        <v>895</v>
      </c>
      <c r="BA59" s="2" t="s">
        <v>1319</v>
      </c>
      <c r="BB59" s="2" t="s">
        <v>212</v>
      </c>
      <c r="BC59" s="2" t="s">
        <v>139</v>
      </c>
      <c r="BD59" s="2" t="s">
        <v>235</v>
      </c>
      <c r="BE59" s="2" t="s">
        <v>83</v>
      </c>
      <c r="BF59" s="2" t="s">
        <v>270</v>
      </c>
      <c r="BG59" s="2"/>
      <c r="BH59" s="2" t="s">
        <v>143</v>
      </c>
      <c r="BI59" s="2" t="s">
        <v>587</v>
      </c>
      <c r="BJ59" s="2"/>
      <c r="BK59" s="2" t="s">
        <v>74</v>
      </c>
      <c r="BL59" s="2"/>
      <c r="BM59" s="2"/>
    </row>
    <row r="60" spans="1:65" ht="12.5">
      <c r="A60" s="22">
        <v>43728.49072616898</v>
      </c>
      <c r="B60" s="2" t="s">
        <v>1214</v>
      </c>
      <c r="C60" s="2" t="s">
        <v>1324</v>
      </c>
      <c r="D60" s="2" t="s">
        <v>1325</v>
      </c>
      <c r="E60" s="2" t="s">
        <v>83</v>
      </c>
      <c r="F60" s="25" t="s">
        <v>1326</v>
      </c>
      <c r="G60" s="2" t="s">
        <v>1329</v>
      </c>
      <c r="H60" s="2" t="s">
        <v>1330</v>
      </c>
      <c r="I60" s="2" t="s">
        <v>328</v>
      </c>
      <c r="J60" s="2" t="s">
        <v>1331</v>
      </c>
      <c r="K60" s="2" t="s">
        <v>1332</v>
      </c>
      <c r="L60" s="2" t="s">
        <v>1333</v>
      </c>
      <c r="M60" s="2" t="s">
        <v>418</v>
      </c>
      <c r="N60" s="23">
        <v>2013</v>
      </c>
      <c r="O60" s="23">
        <v>2019</v>
      </c>
      <c r="P60" s="2" t="s">
        <v>74</v>
      </c>
      <c r="Q60" s="2" t="s">
        <v>256</v>
      </c>
      <c r="R60" s="2" t="s">
        <v>84</v>
      </c>
      <c r="S60" s="2" t="s">
        <v>1334</v>
      </c>
      <c r="T60" s="2" t="s">
        <v>74</v>
      </c>
      <c r="U60" s="2" t="s">
        <v>1335</v>
      </c>
      <c r="V60" s="2" t="s">
        <v>190</v>
      </c>
      <c r="W60" s="2" t="s">
        <v>85</v>
      </c>
      <c r="X60" s="2" t="s">
        <v>74</v>
      </c>
      <c r="Y60" s="2" t="s">
        <v>1336</v>
      </c>
      <c r="Z60" s="2" t="s">
        <v>89</v>
      </c>
      <c r="AA60" s="2" t="s">
        <v>90</v>
      </c>
      <c r="AB60" s="2" t="s">
        <v>1337</v>
      </c>
      <c r="AC60" s="2" t="s">
        <v>92</v>
      </c>
      <c r="AD60" s="2" t="s">
        <v>93</v>
      </c>
      <c r="AE60" s="2" t="s">
        <v>94</v>
      </c>
      <c r="AF60" s="2" t="s">
        <v>74</v>
      </c>
      <c r="AG60" s="2" t="s">
        <v>83</v>
      </c>
      <c r="AH60" s="2" t="s">
        <v>284</v>
      </c>
      <c r="AI60" s="2" t="s">
        <v>74</v>
      </c>
      <c r="AJ60" s="2" t="s">
        <v>95</v>
      </c>
      <c r="AK60" s="2" t="s">
        <v>74</v>
      </c>
      <c r="AL60" s="2" t="s">
        <v>83</v>
      </c>
      <c r="AM60" s="2" t="s">
        <v>74</v>
      </c>
      <c r="AN60" s="2" t="s">
        <v>1340</v>
      </c>
      <c r="AO60" s="2" t="s">
        <v>1341</v>
      </c>
      <c r="AP60" s="2" t="s">
        <v>308</v>
      </c>
      <c r="AQ60" s="2" t="s">
        <v>365</v>
      </c>
      <c r="AR60" s="2" t="s">
        <v>74</v>
      </c>
      <c r="AS60" s="2" t="s">
        <v>101</v>
      </c>
      <c r="AT60" s="2" t="s">
        <v>1342</v>
      </c>
      <c r="AU60" s="2" t="s">
        <v>83</v>
      </c>
      <c r="AV60" s="2"/>
      <c r="AW60" s="2" t="s">
        <v>107</v>
      </c>
      <c r="AX60" s="2" t="s">
        <v>761</v>
      </c>
      <c r="AY60" s="2" t="s">
        <v>288</v>
      </c>
      <c r="AZ60" s="24" t="s">
        <v>469</v>
      </c>
      <c r="BA60" s="2"/>
      <c r="BB60" s="2" t="s">
        <v>107</v>
      </c>
      <c r="BC60" s="2" t="s">
        <v>108</v>
      </c>
      <c r="BD60" s="2" t="s">
        <v>341</v>
      </c>
      <c r="BE60" s="2" t="s">
        <v>83</v>
      </c>
      <c r="BF60" s="2" t="s">
        <v>141</v>
      </c>
      <c r="BG60" s="25" t="s">
        <v>1345</v>
      </c>
      <c r="BH60" s="2" t="s">
        <v>143</v>
      </c>
      <c r="BI60" s="2" t="s">
        <v>282</v>
      </c>
      <c r="BJ60" s="2"/>
      <c r="BK60" s="2" t="s">
        <v>74</v>
      </c>
      <c r="BL60" s="24" t="s">
        <v>1348</v>
      </c>
      <c r="BM60" s="24"/>
    </row>
    <row r="61" spans="1:65" ht="12.5">
      <c r="A61" s="22">
        <v>43728.505625266203</v>
      </c>
      <c r="B61" s="2" t="s">
        <v>1214</v>
      </c>
      <c r="C61" s="2" t="s">
        <v>1324</v>
      </c>
      <c r="D61" s="2" t="s">
        <v>1352</v>
      </c>
      <c r="E61" s="2" t="s">
        <v>74</v>
      </c>
      <c r="F61" s="25" t="s">
        <v>1353</v>
      </c>
      <c r="G61" s="2" t="s">
        <v>1214</v>
      </c>
      <c r="H61" s="2" t="s">
        <v>1355</v>
      </c>
      <c r="I61" s="2" t="s">
        <v>1356</v>
      </c>
      <c r="J61" s="2" t="s">
        <v>1357</v>
      </c>
      <c r="K61" s="2" t="s">
        <v>1358</v>
      </c>
      <c r="L61" s="2" t="s">
        <v>1359</v>
      </c>
      <c r="M61" s="2" t="s">
        <v>1360</v>
      </c>
      <c r="N61" s="23">
        <v>2017</v>
      </c>
      <c r="O61" s="2" t="s">
        <v>82</v>
      </c>
      <c r="P61" s="2" t="s">
        <v>83</v>
      </c>
      <c r="Q61" s="2"/>
      <c r="R61" s="2" t="s">
        <v>84</v>
      </c>
      <c r="S61" s="2" t="s">
        <v>85</v>
      </c>
      <c r="T61" s="2" t="s">
        <v>74</v>
      </c>
      <c r="U61" s="2" t="s">
        <v>1361</v>
      </c>
      <c r="V61" s="2" t="s">
        <v>190</v>
      </c>
      <c r="W61" s="2" t="s">
        <v>123</v>
      </c>
      <c r="X61" s="2" t="s">
        <v>74</v>
      </c>
      <c r="Y61" s="2"/>
      <c r="Z61" s="2" t="s">
        <v>303</v>
      </c>
      <c r="AA61" s="2" t="s">
        <v>1362</v>
      </c>
      <c r="AB61" s="2" t="s">
        <v>999</v>
      </c>
      <c r="AC61" s="2" t="s">
        <v>284</v>
      </c>
      <c r="AD61" s="2" t="s">
        <v>284</v>
      </c>
      <c r="AE61" s="2" t="s">
        <v>94</v>
      </c>
      <c r="AF61" s="2" t="s">
        <v>95</v>
      </c>
      <c r="AG61" s="2" t="s">
        <v>83</v>
      </c>
      <c r="AH61" s="2" t="s">
        <v>284</v>
      </c>
      <c r="AI61" s="2" t="s">
        <v>74</v>
      </c>
      <c r="AJ61" s="2" t="s">
        <v>83</v>
      </c>
      <c r="AK61" s="2" t="s">
        <v>83</v>
      </c>
      <c r="AL61" s="2" t="s">
        <v>233</v>
      </c>
      <c r="AM61" s="2" t="s">
        <v>74</v>
      </c>
      <c r="AN61" s="2" t="s">
        <v>1363</v>
      </c>
      <c r="AO61" s="2" t="s">
        <v>130</v>
      </c>
      <c r="AP61" s="2" t="s">
        <v>229</v>
      </c>
      <c r="AQ61" s="2" t="s">
        <v>100</v>
      </c>
      <c r="AR61" s="2" t="s">
        <v>74</v>
      </c>
      <c r="AS61" s="2" t="s">
        <v>1365</v>
      </c>
      <c r="AT61" s="2" t="s">
        <v>102</v>
      </c>
      <c r="AU61" s="2" t="s">
        <v>83</v>
      </c>
      <c r="AV61" s="2"/>
      <c r="AW61" s="2" t="s">
        <v>1366</v>
      </c>
      <c r="AX61" s="2" t="s">
        <v>167</v>
      </c>
      <c r="AY61" s="2" t="s">
        <v>168</v>
      </c>
      <c r="AZ61" s="2" t="s">
        <v>168</v>
      </c>
      <c r="BA61" s="2"/>
      <c r="BB61" s="2" t="s">
        <v>107</v>
      </c>
      <c r="BC61" s="2" t="s">
        <v>108</v>
      </c>
      <c r="BD61" s="2" t="s">
        <v>235</v>
      </c>
      <c r="BE61" s="2" t="s">
        <v>83</v>
      </c>
      <c r="BF61" s="2" t="s">
        <v>107</v>
      </c>
      <c r="BG61" s="2"/>
      <c r="BH61" s="2" t="s">
        <v>107</v>
      </c>
      <c r="BI61" s="2" t="s">
        <v>107</v>
      </c>
      <c r="BJ61" s="2"/>
      <c r="BK61" s="2" t="s">
        <v>74</v>
      </c>
      <c r="BL61" s="24" t="s">
        <v>1367</v>
      </c>
      <c r="BM61" s="24"/>
    </row>
    <row r="62" spans="1:65" ht="12.5">
      <c r="A62" s="22">
        <v>43732.375559490742</v>
      </c>
      <c r="B62" s="2" t="s">
        <v>1368</v>
      </c>
      <c r="C62" s="2" t="s">
        <v>1369</v>
      </c>
      <c r="D62" s="2" t="s">
        <v>1370</v>
      </c>
      <c r="E62" s="2" t="s">
        <v>74</v>
      </c>
      <c r="F62" s="25" t="s">
        <v>1371</v>
      </c>
      <c r="G62" s="2" t="s">
        <v>1368</v>
      </c>
      <c r="H62" s="2" t="s">
        <v>1372</v>
      </c>
      <c r="I62" s="2" t="s">
        <v>152</v>
      </c>
      <c r="J62" s="2" t="s">
        <v>607</v>
      </c>
      <c r="K62" s="2" t="s">
        <v>1373</v>
      </c>
      <c r="L62" s="2" t="s">
        <v>1374</v>
      </c>
      <c r="M62" s="2" t="s">
        <v>1375</v>
      </c>
      <c r="N62" s="23">
        <v>2018</v>
      </c>
      <c r="O62" s="2" t="s">
        <v>82</v>
      </c>
      <c r="P62" s="2" t="s">
        <v>95</v>
      </c>
      <c r="Q62" s="2" t="s">
        <v>119</v>
      </c>
      <c r="R62" s="2" t="s">
        <v>84</v>
      </c>
      <c r="S62" s="2" t="s">
        <v>1376</v>
      </c>
      <c r="T62" s="2" t="s">
        <v>95</v>
      </c>
      <c r="U62" s="2" t="s">
        <v>1377</v>
      </c>
      <c r="V62" s="2" t="s">
        <v>190</v>
      </c>
      <c r="W62" s="2" t="s">
        <v>499</v>
      </c>
      <c r="X62" s="2" t="s">
        <v>107</v>
      </c>
      <c r="Y62" s="2"/>
      <c r="Z62" s="2" t="s">
        <v>125</v>
      </c>
      <c r="AA62" s="2" t="s">
        <v>90</v>
      </c>
      <c r="AB62" s="2" t="s">
        <v>547</v>
      </c>
      <c r="AC62" s="2" t="s">
        <v>92</v>
      </c>
      <c r="AD62" s="2" t="s">
        <v>93</v>
      </c>
      <c r="AE62" s="2" t="s">
        <v>163</v>
      </c>
      <c r="AF62" s="2" t="s">
        <v>74</v>
      </c>
      <c r="AG62" s="2" t="s">
        <v>74</v>
      </c>
      <c r="AH62" s="2" t="s">
        <v>265</v>
      </c>
      <c r="AI62" s="2" t="s">
        <v>208</v>
      </c>
      <c r="AJ62" s="2" t="s">
        <v>83</v>
      </c>
      <c r="AK62" s="2" t="s">
        <v>74</v>
      </c>
      <c r="AL62" s="2" t="s">
        <v>74</v>
      </c>
      <c r="AM62" s="2" t="s">
        <v>95</v>
      </c>
      <c r="AN62" s="2" t="s">
        <v>97</v>
      </c>
      <c r="AO62" s="2" t="s">
        <v>130</v>
      </c>
      <c r="AP62" s="2" t="s">
        <v>1378</v>
      </c>
      <c r="AQ62" s="2" t="s">
        <v>233</v>
      </c>
      <c r="AR62" s="2" t="s">
        <v>83</v>
      </c>
      <c r="AS62" s="2" t="s">
        <v>107</v>
      </c>
      <c r="AT62" s="2" t="s">
        <v>107</v>
      </c>
      <c r="AU62" s="2" t="s">
        <v>107</v>
      </c>
      <c r="AV62" s="2"/>
      <c r="AW62" s="2" t="s">
        <v>233</v>
      </c>
      <c r="AX62" s="2" t="s">
        <v>761</v>
      </c>
      <c r="AY62" s="2" t="s">
        <v>107</v>
      </c>
      <c r="AZ62" s="2" t="s">
        <v>233</v>
      </c>
      <c r="BA62" s="2"/>
      <c r="BB62" s="2" t="s">
        <v>233</v>
      </c>
      <c r="BC62" s="2" t="s">
        <v>171</v>
      </c>
      <c r="BD62" s="2" t="s">
        <v>172</v>
      </c>
      <c r="BE62" s="2" t="s">
        <v>74</v>
      </c>
      <c r="BF62" s="23">
        <v>0</v>
      </c>
      <c r="BG62" s="2"/>
      <c r="BH62" s="2" t="s">
        <v>233</v>
      </c>
      <c r="BI62" s="2" t="s">
        <v>233</v>
      </c>
      <c r="BJ62" s="2"/>
      <c r="BK62" s="2" t="s">
        <v>83</v>
      </c>
      <c r="BL62" s="2"/>
      <c r="BM62" s="2"/>
    </row>
    <row r="63" spans="1:65" ht="12.5">
      <c r="A63" s="22">
        <v>43732.39330575231</v>
      </c>
      <c r="B63" s="2" t="s">
        <v>1379</v>
      </c>
      <c r="C63" s="2" t="s">
        <v>1369</v>
      </c>
      <c r="D63" s="2" t="s">
        <v>1380</v>
      </c>
      <c r="E63" s="2" t="s">
        <v>74</v>
      </c>
      <c r="F63" s="25" t="s">
        <v>1381</v>
      </c>
      <c r="G63" s="2" t="s">
        <v>1369</v>
      </c>
      <c r="H63" s="2" t="s">
        <v>1382</v>
      </c>
      <c r="I63" s="2" t="s">
        <v>152</v>
      </c>
      <c r="J63" s="2" t="s">
        <v>607</v>
      </c>
      <c r="K63" s="2" t="s">
        <v>1383</v>
      </c>
      <c r="L63" s="2" t="s">
        <v>1384</v>
      </c>
      <c r="M63" s="2" t="s">
        <v>418</v>
      </c>
      <c r="N63" s="23">
        <v>2019</v>
      </c>
      <c r="O63" s="2" t="s">
        <v>82</v>
      </c>
      <c r="P63" s="2" t="s">
        <v>95</v>
      </c>
      <c r="Q63" s="2" t="s">
        <v>256</v>
      </c>
      <c r="R63" s="2" t="s">
        <v>84</v>
      </c>
      <c r="S63" s="2" t="s">
        <v>258</v>
      </c>
      <c r="T63" s="2" t="s">
        <v>74</v>
      </c>
      <c r="U63" s="2" t="s">
        <v>1385</v>
      </c>
      <c r="V63" s="2" t="s">
        <v>241</v>
      </c>
      <c r="W63" s="2" t="s">
        <v>499</v>
      </c>
      <c r="X63" s="24" t="s">
        <v>1387</v>
      </c>
      <c r="Y63" s="2"/>
      <c r="Z63" s="2" t="s">
        <v>518</v>
      </c>
      <c r="AA63" s="2" t="s">
        <v>90</v>
      </c>
      <c r="AB63" s="2" t="s">
        <v>409</v>
      </c>
      <c r="AC63" s="2" t="s">
        <v>284</v>
      </c>
      <c r="AD63" s="2" t="s">
        <v>93</v>
      </c>
      <c r="AE63" s="2" t="s">
        <v>1388</v>
      </c>
      <c r="AF63" s="2" t="s">
        <v>74</v>
      </c>
      <c r="AG63" s="2" t="s">
        <v>74</v>
      </c>
      <c r="AH63" s="2" t="s">
        <v>164</v>
      </c>
      <c r="AI63" s="2" t="s">
        <v>233</v>
      </c>
      <c r="AJ63" s="2" t="s">
        <v>74</v>
      </c>
      <c r="AK63" s="2" t="s">
        <v>74</v>
      </c>
      <c r="AL63" s="2" t="s">
        <v>74</v>
      </c>
      <c r="AM63" s="2" t="s">
        <v>74</v>
      </c>
      <c r="AN63" s="2" t="s">
        <v>97</v>
      </c>
      <c r="AO63" s="2" t="s">
        <v>233</v>
      </c>
      <c r="AP63" s="2" t="s">
        <v>520</v>
      </c>
      <c r="AQ63" s="2" t="s">
        <v>233</v>
      </c>
      <c r="AR63" s="2" t="s">
        <v>83</v>
      </c>
      <c r="AS63" s="2" t="s">
        <v>101</v>
      </c>
      <c r="AT63" s="2" t="s">
        <v>107</v>
      </c>
      <c r="AU63" s="2" t="s">
        <v>107</v>
      </c>
      <c r="AV63" s="2"/>
      <c r="AW63" s="2" t="s">
        <v>107</v>
      </c>
      <c r="AX63" s="2" t="s">
        <v>268</v>
      </c>
      <c r="AY63" s="2" t="s">
        <v>370</v>
      </c>
      <c r="AZ63" s="2" t="s">
        <v>168</v>
      </c>
      <c r="BA63" s="2"/>
      <c r="BB63" s="2" t="s">
        <v>233</v>
      </c>
      <c r="BC63" s="2" t="s">
        <v>171</v>
      </c>
      <c r="BD63" s="2" t="s">
        <v>233</v>
      </c>
      <c r="BE63" s="2" t="s">
        <v>83</v>
      </c>
      <c r="BF63" s="2" t="s">
        <v>141</v>
      </c>
      <c r="BG63" s="2"/>
      <c r="BH63" s="2" t="s">
        <v>213</v>
      </c>
      <c r="BI63" s="2" t="s">
        <v>471</v>
      </c>
      <c r="BJ63" s="2"/>
      <c r="BK63" s="2" t="s">
        <v>83</v>
      </c>
      <c r="BL63" s="2"/>
      <c r="BM63" s="2"/>
    </row>
    <row r="64" spans="1:65" ht="12.5">
      <c r="A64" s="22">
        <v>43732.537889594911</v>
      </c>
      <c r="B64" s="2" t="s">
        <v>1389</v>
      </c>
      <c r="C64" s="2" t="s">
        <v>1390</v>
      </c>
      <c r="D64" s="2" t="s">
        <v>1391</v>
      </c>
      <c r="E64" s="2" t="s">
        <v>83</v>
      </c>
      <c r="F64" s="25" t="s">
        <v>1392</v>
      </c>
      <c r="G64" s="2" t="s">
        <v>1389</v>
      </c>
      <c r="H64" s="2" t="s">
        <v>1393</v>
      </c>
      <c r="I64" s="2" t="s">
        <v>152</v>
      </c>
      <c r="J64" s="2" t="s">
        <v>682</v>
      </c>
      <c r="K64" s="2" t="s">
        <v>1276</v>
      </c>
      <c r="L64" s="2" t="s">
        <v>1394</v>
      </c>
      <c r="M64" s="2" t="s">
        <v>1375</v>
      </c>
      <c r="N64" s="23">
        <v>2012</v>
      </c>
      <c r="O64" s="2" t="s">
        <v>82</v>
      </c>
      <c r="P64" s="2" t="s">
        <v>95</v>
      </c>
      <c r="Q64" s="2" t="s">
        <v>282</v>
      </c>
      <c r="R64" s="2" t="s">
        <v>84</v>
      </c>
      <c r="S64" s="2" t="s">
        <v>729</v>
      </c>
      <c r="T64" s="2" t="s">
        <v>74</v>
      </c>
      <c r="U64" s="2" t="s">
        <v>1395</v>
      </c>
      <c r="V64" s="2" t="s">
        <v>260</v>
      </c>
      <c r="W64" s="2" t="s">
        <v>261</v>
      </c>
      <c r="X64" s="2" t="s">
        <v>74</v>
      </c>
      <c r="Y64" s="2" t="s">
        <v>1396</v>
      </c>
      <c r="Z64" s="2" t="s">
        <v>303</v>
      </c>
      <c r="AA64" s="2" t="s">
        <v>126</v>
      </c>
      <c r="AB64" s="2" t="s">
        <v>999</v>
      </c>
      <c r="AC64" s="2" t="s">
        <v>1397</v>
      </c>
      <c r="AD64" s="2" t="s">
        <v>284</v>
      </c>
      <c r="AE64" s="2" t="s">
        <v>163</v>
      </c>
      <c r="AF64" s="2" t="s">
        <v>74</v>
      </c>
      <c r="AG64" s="2" t="s">
        <v>74</v>
      </c>
      <c r="AH64" s="2" t="s">
        <v>284</v>
      </c>
      <c r="AI64" s="2" t="s">
        <v>74</v>
      </c>
      <c r="AJ64" s="2" t="s">
        <v>95</v>
      </c>
      <c r="AK64" s="2" t="s">
        <v>107</v>
      </c>
      <c r="AL64" s="2" t="s">
        <v>74</v>
      </c>
      <c r="AM64" s="2" t="s">
        <v>74</v>
      </c>
      <c r="AN64" s="2" t="s">
        <v>97</v>
      </c>
      <c r="AO64" s="2" t="s">
        <v>130</v>
      </c>
      <c r="AP64" s="2" t="s">
        <v>725</v>
      </c>
      <c r="AQ64" s="2" t="s">
        <v>166</v>
      </c>
      <c r="AR64" s="2" t="s">
        <v>74</v>
      </c>
      <c r="AS64" s="2" t="s">
        <v>101</v>
      </c>
      <c r="AT64" s="2" t="s">
        <v>107</v>
      </c>
      <c r="AU64" s="2" t="s">
        <v>83</v>
      </c>
      <c r="AV64" s="2"/>
      <c r="AW64" s="2" t="s">
        <v>107</v>
      </c>
      <c r="AX64" s="2" t="s">
        <v>312</v>
      </c>
      <c r="AY64" s="2" t="s">
        <v>105</v>
      </c>
      <c r="AZ64" s="2" t="s">
        <v>313</v>
      </c>
      <c r="BA64" s="2" t="s">
        <v>1398</v>
      </c>
      <c r="BB64" s="2" t="s">
        <v>233</v>
      </c>
      <c r="BC64" s="2" t="s">
        <v>108</v>
      </c>
      <c r="BD64" s="2" t="s">
        <v>235</v>
      </c>
      <c r="BE64" s="2" t="s">
        <v>83</v>
      </c>
      <c r="BF64" s="23">
        <v>0</v>
      </c>
      <c r="BG64" s="2"/>
      <c r="BH64" s="2" t="s">
        <v>572</v>
      </c>
      <c r="BI64" s="2" t="s">
        <v>282</v>
      </c>
      <c r="BJ64" s="2"/>
      <c r="BK64" s="2" t="s">
        <v>74</v>
      </c>
      <c r="BL64" s="2"/>
      <c r="BM64" s="2"/>
    </row>
    <row r="65" spans="1:65" ht="12.5">
      <c r="A65" s="22">
        <v>43732.400454432871</v>
      </c>
      <c r="B65" s="2" t="s">
        <v>1400</v>
      </c>
      <c r="C65" s="2" t="s">
        <v>1369</v>
      </c>
      <c r="D65" s="25" t="s">
        <v>1401</v>
      </c>
      <c r="E65" s="2" t="s">
        <v>74</v>
      </c>
      <c r="F65" s="25" t="s">
        <v>1401</v>
      </c>
      <c r="G65" s="2" t="s">
        <v>1368</v>
      </c>
      <c r="H65" s="2" t="s">
        <v>1402</v>
      </c>
      <c r="I65" s="2" t="s">
        <v>152</v>
      </c>
      <c r="J65" s="2" t="s">
        <v>607</v>
      </c>
      <c r="K65" s="2" t="s">
        <v>608</v>
      </c>
      <c r="L65" s="2" t="s">
        <v>1369</v>
      </c>
      <c r="M65" s="2" t="s">
        <v>418</v>
      </c>
      <c r="N65" s="23">
        <v>2019</v>
      </c>
      <c r="O65" s="2" t="s">
        <v>82</v>
      </c>
      <c r="P65" s="2" t="s">
        <v>95</v>
      </c>
      <c r="Q65" s="2" t="s">
        <v>119</v>
      </c>
      <c r="R65" s="2" t="s">
        <v>84</v>
      </c>
      <c r="S65" s="2" t="s">
        <v>1403</v>
      </c>
      <c r="T65" s="2" t="s">
        <v>74</v>
      </c>
      <c r="U65" s="2" t="s">
        <v>1404</v>
      </c>
      <c r="V65" s="2" t="s">
        <v>260</v>
      </c>
      <c r="W65" s="2" t="s">
        <v>261</v>
      </c>
      <c r="X65" s="2" t="s">
        <v>74</v>
      </c>
      <c r="Y65" s="2" t="s">
        <v>1405</v>
      </c>
      <c r="Z65" s="2" t="s">
        <v>107</v>
      </c>
      <c r="AA65" s="2" t="s">
        <v>90</v>
      </c>
      <c r="AB65" s="2" t="s">
        <v>32</v>
      </c>
      <c r="AC65" s="2" t="s">
        <v>1406</v>
      </c>
      <c r="AD65" s="2" t="s">
        <v>284</v>
      </c>
      <c r="AE65" s="2" t="s">
        <v>264</v>
      </c>
      <c r="AF65" s="2" t="s">
        <v>74</v>
      </c>
      <c r="AG65" s="2" t="s">
        <v>74</v>
      </c>
      <c r="AH65" s="2" t="s">
        <v>96</v>
      </c>
      <c r="AI65" s="2" t="s">
        <v>208</v>
      </c>
      <c r="AJ65" s="2" t="s">
        <v>74</v>
      </c>
      <c r="AK65" s="2" t="s">
        <v>74</v>
      </c>
      <c r="AL65" s="2" t="s">
        <v>74</v>
      </c>
      <c r="AM65" s="2" t="s">
        <v>74</v>
      </c>
      <c r="AN65" s="2" t="s">
        <v>97</v>
      </c>
      <c r="AO65" s="2" t="s">
        <v>233</v>
      </c>
      <c r="AP65" s="2" t="s">
        <v>945</v>
      </c>
      <c r="AQ65" s="2" t="s">
        <v>233</v>
      </c>
      <c r="AR65" s="2" t="s">
        <v>74</v>
      </c>
      <c r="AS65" s="2" t="s">
        <v>101</v>
      </c>
      <c r="AT65" s="2" t="s">
        <v>107</v>
      </c>
      <c r="AU65" s="2" t="s">
        <v>107</v>
      </c>
      <c r="AV65" s="2"/>
      <c r="AW65" s="2" t="s">
        <v>233</v>
      </c>
      <c r="AX65" s="2" t="s">
        <v>268</v>
      </c>
      <c r="AY65" s="2" t="s">
        <v>1407</v>
      </c>
      <c r="AZ65" s="2" t="s">
        <v>233</v>
      </c>
      <c r="BA65" s="2"/>
      <c r="BB65" s="23">
        <v>0</v>
      </c>
      <c r="BC65" s="2" t="s">
        <v>171</v>
      </c>
      <c r="BD65" s="2" t="s">
        <v>233</v>
      </c>
      <c r="BE65" s="2" t="s">
        <v>83</v>
      </c>
      <c r="BF65" s="23">
        <v>0</v>
      </c>
      <c r="BG65" s="2"/>
      <c r="BH65" s="2" t="s">
        <v>233</v>
      </c>
      <c r="BI65" s="2" t="s">
        <v>233</v>
      </c>
      <c r="BJ65" s="2"/>
      <c r="BK65" s="2" t="s">
        <v>74</v>
      </c>
      <c r="BL65" s="2"/>
      <c r="BM65" s="2"/>
    </row>
    <row r="66" spans="1:65" ht="12.5">
      <c r="A66" s="22">
        <v>43733.673775821764</v>
      </c>
      <c r="B66" s="2" t="s">
        <v>1409</v>
      </c>
      <c r="C66" s="2" t="s">
        <v>1410</v>
      </c>
      <c r="D66" s="2" t="s">
        <v>1411</v>
      </c>
      <c r="E66" s="2" t="s">
        <v>74</v>
      </c>
      <c r="F66" s="25" t="s">
        <v>1412</v>
      </c>
      <c r="G66" s="2" t="s">
        <v>1409</v>
      </c>
      <c r="H66" s="2" t="s">
        <v>1809</v>
      </c>
      <c r="I66" s="2" t="s">
        <v>152</v>
      </c>
      <c r="J66" s="2" t="s">
        <v>692</v>
      </c>
      <c r="K66" s="2" t="s">
        <v>1414</v>
      </c>
      <c r="L66" s="2" t="s">
        <v>1415</v>
      </c>
      <c r="M66" s="2" t="s">
        <v>418</v>
      </c>
      <c r="N66" s="23">
        <v>2019</v>
      </c>
      <c r="O66" s="2" t="s">
        <v>82</v>
      </c>
      <c r="P66" s="2" t="s">
        <v>74</v>
      </c>
      <c r="Q66" s="2" t="s">
        <v>119</v>
      </c>
      <c r="R66" s="2" t="s">
        <v>84</v>
      </c>
      <c r="S66" s="2" t="s">
        <v>1417</v>
      </c>
      <c r="T66" s="2" t="s">
        <v>74</v>
      </c>
      <c r="U66" s="2" t="s">
        <v>1395</v>
      </c>
      <c r="V66" s="2" t="s">
        <v>87</v>
      </c>
      <c r="W66" s="2" t="s">
        <v>123</v>
      </c>
      <c r="X66" s="2" t="s">
        <v>74</v>
      </c>
      <c r="Y66" s="2" t="s">
        <v>1418</v>
      </c>
      <c r="Z66" s="2" t="s">
        <v>89</v>
      </c>
      <c r="AA66" s="2" t="s">
        <v>90</v>
      </c>
      <c r="AB66" s="2" t="s">
        <v>1419</v>
      </c>
      <c r="AC66" s="2" t="s">
        <v>284</v>
      </c>
      <c r="AD66" s="2" t="s">
        <v>284</v>
      </c>
      <c r="AE66" s="2" t="s">
        <v>163</v>
      </c>
      <c r="AF66" s="2" t="s">
        <v>95</v>
      </c>
      <c r="AG66" s="2" t="s">
        <v>74</v>
      </c>
      <c r="AH66" s="2" t="s">
        <v>284</v>
      </c>
      <c r="AI66" s="2" t="s">
        <v>74</v>
      </c>
      <c r="AJ66" s="2" t="s">
        <v>74</v>
      </c>
      <c r="AK66" s="2" t="s">
        <v>74</v>
      </c>
      <c r="AL66" s="2" t="s">
        <v>74</v>
      </c>
      <c r="AM66" s="2" t="s">
        <v>74</v>
      </c>
      <c r="AN66" s="2" t="s">
        <v>97</v>
      </c>
      <c r="AO66" s="2" t="s">
        <v>233</v>
      </c>
      <c r="AP66" s="2" t="s">
        <v>945</v>
      </c>
      <c r="AQ66" s="2" t="s">
        <v>777</v>
      </c>
      <c r="AR66" s="2" t="s">
        <v>74</v>
      </c>
      <c r="AS66" s="2" t="s">
        <v>1420</v>
      </c>
      <c r="AT66" s="2" t="s">
        <v>1421</v>
      </c>
      <c r="AU66" s="24" t="s">
        <v>1422</v>
      </c>
      <c r="AV66" s="2"/>
      <c r="AW66" s="2" t="s">
        <v>1237</v>
      </c>
      <c r="AX66" s="2" t="s">
        <v>268</v>
      </c>
      <c r="AY66" s="2" t="s">
        <v>288</v>
      </c>
      <c r="AZ66" s="2" t="s">
        <v>313</v>
      </c>
      <c r="BA66" s="2"/>
      <c r="BB66" s="2" t="s">
        <v>233</v>
      </c>
      <c r="BC66" s="2" t="s">
        <v>171</v>
      </c>
      <c r="BD66" s="2" t="s">
        <v>171</v>
      </c>
      <c r="BE66" s="2" t="s">
        <v>83</v>
      </c>
      <c r="BF66" s="2" t="s">
        <v>233</v>
      </c>
      <c r="BG66" s="2"/>
      <c r="BH66" s="2" t="s">
        <v>233</v>
      </c>
      <c r="BI66" s="2" t="s">
        <v>233</v>
      </c>
      <c r="BJ66" s="2"/>
      <c r="BK66" s="2" t="s">
        <v>74</v>
      </c>
      <c r="BL66" s="24" t="s">
        <v>1424</v>
      </c>
      <c r="BM66" s="24"/>
    </row>
    <row r="67" spans="1:65" ht="12.5">
      <c r="A67" s="22">
        <v>43732.470733298615</v>
      </c>
      <c r="B67" s="2" t="s">
        <v>503</v>
      </c>
      <c r="C67" s="2" t="s">
        <v>503</v>
      </c>
      <c r="D67" s="25" t="s">
        <v>1425</v>
      </c>
      <c r="E67" s="2" t="s">
        <v>74</v>
      </c>
      <c r="F67" s="25" t="s">
        <v>1426</v>
      </c>
      <c r="G67" s="2" t="s">
        <v>503</v>
      </c>
      <c r="H67" s="2" t="s">
        <v>1427</v>
      </c>
      <c r="I67" s="2" t="s">
        <v>77</v>
      </c>
      <c r="J67" s="2" t="s">
        <v>510</v>
      </c>
      <c r="K67" s="2" t="s">
        <v>1428</v>
      </c>
      <c r="L67" s="2" t="s">
        <v>1429</v>
      </c>
      <c r="M67" s="2" t="s">
        <v>81</v>
      </c>
      <c r="N67" s="23">
        <v>2016</v>
      </c>
      <c r="O67" s="23">
        <v>2018</v>
      </c>
      <c r="P67" s="2" t="s">
        <v>74</v>
      </c>
      <c r="Q67" s="2" t="s">
        <v>256</v>
      </c>
      <c r="R67" s="2" t="s">
        <v>84</v>
      </c>
      <c r="S67" s="2" t="s">
        <v>1430</v>
      </c>
      <c r="T67" s="2" t="s">
        <v>74</v>
      </c>
      <c r="U67" s="2" t="s">
        <v>674</v>
      </c>
      <c r="V67" s="2" t="s">
        <v>190</v>
      </c>
      <c r="W67" s="2" t="s">
        <v>499</v>
      </c>
      <c r="X67" s="2" t="s">
        <v>83</v>
      </c>
      <c r="Y67" s="2"/>
      <c r="Z67" s="2" t="s">
        <v>125</v>
      </c>
      <c r="AA67" s="2" t="s">
        <v>126</v>
      </c>
      <c r="AB67" s="2" t="s">
        <v>566</v>
      </c>
      <c r="AC67" s="2" t="s">
        <v>92</v>
      </c>
      <c r="AD67" s="2" t="s">
        <v>93</v>
      </c>
      <c r="AE67" s="2" t="s">
        <v>163</v>
      </c>
      <c r="AF67" s="2" t="s">
        <v>95</v>
      </c>
      <c r="AG67" s="2" t="s">
        <v>74</v>
      </c>
      <c r="AH67" s="2" t="s">
        <v>265</v>
      </c>
      <c r="AI67" s="2" t="s">
        <v>208</v>
      </c>
      <c r="AJ67" s="2" t="s">
        <v>95</v>
      </c>
      <c r="AK67" s="2" t="s">
        <v>74</v>
      </c>
      <c r="AL67" s="2" t="s">
        <v>74</v>
      </c>
      <c r="AM67" s="2" t="s">
        <v>74</v>
      </c>
      <c r="AN67" s="2" t="s">
        <v>97</v>
      </c>
      <c r="AO67" s="2" t="s">
        <v>130</v>
      </c>
      <c r="AP67" s="2" t="s">
        <v>520</v>
      </c>
      <c r="AQ67" s="2" t="s">
        <v>166</v>
      </c>
      <c r="AR67" s="2" t="s">
        <v>83</v>
      </c>
      <c r="AS67" s="2" t="s">
        <v>101</v>
      </c>
      <c r="AT67" s="2" t="s">
        <v>107</v>
      </c>
      <c r="AU67" s="2" t="s">
        <v>233</v>
      </c>
      <c r="AV67" s="2"/>
      <c r="AW67" s="2" t="s">
        <v>233</v>
      </c>
      <c r="AX67" s="2" t="s">
        <v>167</v>
      </c>
      <c r="AY67" s="2" t="s">
        <v>105</v>
      </c>
      <c r="AZ67" s="2" t="s">
        <v>168</v>
      </c>
      <c r="BA67" s="2" t="s">
        <v>1431</v>
      </c>
      <c r="BB67" s="2" t="s">
        <v>233</v>
      </c>
      <c r="BC67" s="2" t="s">
        <v>233</v>
      </c>
      <c r="BD67" s="2" t="s">
        <v>233</v>
      </c>
      <c r="BE67" s="2" t="s">
        <v>83</v>
      </c>
      <c r="BF67" s="2" t="s">
        <v>233</v>
      </c>
      <c r="BG67" s="2"/>
      <c r="BH67" s="2" t="s">
        <v>233</v>
      </c>
      <c r="BI67" s="2" t="s">
        <v>233</v>
      </c>
      <c r="BJ67" s="2"/>
      <c r="BK67" s="2" t="s">
        <v>74</v>
      </c>
      <c r="BL67" s="2"/>
      <c r="BM67" s="2"/>
    </row>
    <row r="68" spans="1:65" ht="12.5">
      <c r="A68" s="22">
        <v>43732.554492916664</v>
      </c>
      <c r="B68" s="2" t="s">
        <v>1432</v>
      </c>
      <c r="C68" s="2" t="s">
        <v>1433</v>
      </c>
      <c r="D68" s="2" t="s">
        <v>1434</v>
      </c>
      <c r="E68" s="2" t="s">
        <v>74</v>
      </c>
      <c r="F68" s="25" t="s">
        <v>1435</v>
      </c>
      <c r="G68" s="2" t="s">
        <v>1432</v>
      </c>
      <c r="H68" s="2" t="s">
        <v>1436</v>
      </c>
      <c r="I68" s="2" t="s">
        <v>152</v>
      </c>
      <c r="J68" s="2" t="s">
        <v>340</v>
      </c>
      <c r="K68" s="2" t="s">
        <v>541</v>
      </c>
      <c r="L68" s="2" t="s">
        <v>1437</v>
      </c>
      <c r="M68" s="2" t="s">
        <v>118</v>
      </c>
      <c r="N68" s="23">
        <v>2009</v>
      </c>
      <c r="O68" s="2" t="s">
        <v>82</v>
      </c>
      <c r="P68" s="2" t="s">
        <v>74</v>
      </c>
      <c r="Q68" s="2" t="s">
        <v>119</v>
      </c>
      <c r="R68" s="2" t="s">
        <v>84</v>
      </c>
      <c r="S68" s="2" t="s">
        <v>120</v>
      </c>
      <c r="T68" s="2" t="s">
        <v>74</v>
      </c>
      <c r="U68" s="2" t="s">
        <v>1438</v>
      </c>
      <c r="V68" s="2" t="s">
        <v>190</v>
      </c>
      <c r="W68" s="2" t="s">
        <v>123</v>
      </c>
      <c r="X68" s="2" t="s">
        <v>74</v>
      </c>
      <c r="Y68" s="2" t="s">
        <v>1439</v>
      </c>
      <c r="Z68" s="2" t="s">
        <v>89</v>
      </c>
      <c r="AA68" s="2" t="s">
        <v>126</v>
      </c>
      <c r="AB68" s="2" t="s">
        <v>618</v>
      </c>
      <c r="AC68" s="2" t="s">
        <v>305</v>
      </c>
      <c r="AD68" s="2" t="s">
        <v>353</v>
      </c>
      <c r="AE68" s="2" t="s">
        <v>264</v>
      </c>
      <c r="AF68" s="2" t="s">
        <v>74</v>
      </c>
      <c r="AG68" s="2" t="s">
        <v>74</v>
      </c>
      <c r="AH68" s="2" t="s">
        <v>96</v>
      </c>
      <c r="AI68" s="2" t="s">
        <v>74</v>
      </c>
      <c r="AJ68" s="2" t="s">
        <v>74</v>
      </c>
      <c r="AK68" s="2" t="s">
        <v>74</v>
      </c>
      <c r="AL68" s="2" t="s">
        <v>74</v>
      </c>
      <c r="AM68" s="2" t="s">
        <v>74</v>
      </c>
      <c r="AN68" s="2" t="s">
        <v>412</v>
      </c>
      <c r="AO68" s="2" t="s">
        <v>1440</v>
      </c>
      <c r="AP68" s="2" t="s">
        <v>229</v>
      </c>
      <c r="AQ68" s="2" t="s">
        <v>365</v>
      </c>
      <c r="AR68" s="2" t="s">
        <v>74</v>
      </c>
      <c r="AS68" s="2" t="s">
        <v>1441</v>
      </c>
      <c r="AT68" s="2" t="s">
        <v>107</v>
      </c>
      <c r="AU68" s="2" t="s">
        <v>107</v>
      </c>
      <c r="AV68" s="2"/>
      <c r="AW68" s="2" t="s">
        <v>107</v>
      </c>
      <c r="AX68" s="2" t="s">
        <v>167</v>
      </c>
      <c r="AY68" s="2" t="s">
        <v>105</v>
      </c>
      <c r="AZ68" s="2" t="s">
        <v>313</v>
      </c>
      <c r="BA68" s="2"/>
      <c r="BB68" s="2" t="s">
        <v>212</v>
      </c>
      <c r="BC68" s="2" t="s">
        <v>139</v>
      </c>
      <c r="BD68" s="2" t="s">
        <v>789</v>
      </c>
      <c r="BE68" s="2" t="s">
        <v>83</v>
      </c>
      <c r="BF68" s="2" t="s">
        <v>814</v>
      </c>
      <c r="BG68" s="2"/>
      <c r="BH68" s="2" t="s">
        <v>1442</v>
      </c>
      <c r="BI68" s="2" t="s">
        <v>1443</v>
      </c>
      <c r="BJ68" s="2"/>
      <c r="BK68" s="2" t="s">
        <v>74</v>
      </c>
      <c r="BL68" s="2"/>
      <c r="BM68" s="2"/>
    </row>
    <row r="69" spans="1:65" ht="12.5">
      <c r="A69" s="22">
        <v>43732.586518923606</v>
      </c>
      <c r="B69" s="2" t="s">
        <v>987</v>
      </c>
      <c r="C69" s="2" t="s">
        <v>988</v>
      </c>
      <c r="D69" s="25" t="s">
        <v>989</v>
      </c>
      <c r="E69" s="2" t="s">
        <v>74</v>
      </c>
      <c r="F69" s="25" t="s">
        <v>992</v>
      </c>
      <c r="G69" s="2" t="s">
        <v>987</v>
      </c>
      <c r="H69" s="2" t="s">
        <v>996</v>
      </c>
      <c r="I69" s="2" t="s">
        <v>665</v>
      </c>
      <c r="J69" s="2" t="s">
        <v>997</v>
      </c>
      <c r="K69" s="2" t="s">
        <v>998</v>
      </c>
      <c r="L69" s="2" t="s">
        <v>1000</v>
      </c>
      <c r="M69" s="2" t="s">
        <v>118</v>
      </c>
      <c r="N69" s="23">
        <v>2005</v>
      </c>
      <c r="O69" s="2" t="s">
        <v>82</v>
      </c>
      <c r="P69" s="2" t="s">
        <v>95</v>
      </c>
      <c r="Q69" s="2" t="s">
        <v>256</v>
      </c>
      <c r="R69" s="2" t="s">
        <v>360</v>
      </c>
      <c r="S69" s="2" t="s">
        <v>85</v>
      </c>
      <c r="T69" s="2" t="s">
        <v>158</v>
      </c>
      <c r="U69" s="2" t="s">
        <v>1001</v>
      </c>
      <c r="V69" s="2" t="s">
        <v>190</v>
      </c>
      <c r="W69" s="2" t="s">
        <v>85</v>
      </c>
      <c r="X69" s="24" t="s">
        <v>1002</v>
      </c>
      <c r="Y69" s="2"/>
      <c r="Z69" s="2" t="s">
        <v>89</v>
      </c>
      <c r="AA69" s="2" t="s">
        <v>126</v>
      </c>
      <c r="AB69" s="2" t="s">
        <v>931</v>
      </c>
      <c r="AC69" s="2" t="s">
        <v>92</v>
      </c>
      <c r="AD69" s="2" t="s">
        <v>284</v>
      </c>
      <c r="AE69" s="2" t="s">
        <v>94</v>
      </c>
      <c r="AF69" s="2" t="s">
        <v>74</v>
      </c>
      <c r="AG69" s="2" t="s">
        <v>74</v>
      </c>
      <c r="AH69" s="2" t="s">
        <v>284</v>
      </c>
      <c r="AI69" s="2" t="s">
        <v>74</v>
      </c>
      <c r="AJ69" s="2" t="s">
        <v>95</v>
      </c>
      <c r="AK69" s="2" t="s">
        <v>83</v>
      </c>
      <c r="AL69" s="2" t="s">
        <v>74</v>
      </c>
      <c r="AM69" s="2" t="s">
        <v>74</v>
      </c>
      <c r="AN69" s="2" t="s">
        <v>97</v>
      </c>
      <c r="AO69" s="2" t="s">
        <v>130</v>
      </c>
      <c r="AP69" s="2" t="s">
        <v>725</v>
      </c>
      <c r="AQ69" s="2" t="s">
        <v>365</v>
      </c>
      <c r="AR69" s="2" t="s">
        <v>74</v>
      </c>
      <c r="AS69" s="2" t="s">
        <v>1007</v>
      </c>
      <c r="AT69" s="2" t="s">
        <v>1008</v>
      </c>
      <c r="AU69" s="2" t="s">
        <v>83</v>
      </c>
      <c r="AV69" s="2"/>
      <c r="AW69" s="2" t="s">
        <v>1010</v>
      </c>
      <c r="AX69" s="2" t="s">
        <v>398</v>
      </c>
      <c r="AY69" s="2" t="s">
        <v>168</v>
      </c>
      <c r="AZ69" s="2" t="s">
        <v>233</v>
      </c>
      <c r="BA69" s="2"/>
      <c r="BB69" s="2" t="s">
        <v>233</v>
      </c>
      <c r="BC69" s="2" t="s">
        <v>341</v>
      </c>
      <c r="BD69" s="2" t="s">
        <v>140</v>
      </c>
      <c r="BE69" s="2" t="s">
        <v>83</v>
      </c>
      <c r="BF69" s="2" t="s">
        <v>233</v>
      </c>
      <c r="BG69" s="2"/>
      <c r="BH69" s="2" t="s">
        <v>233</v>
      </c>
      <c r="BI69" s="2" t="s">
        <v>233</v>
      </c>
      <c r="BJ69" s="2"/>
      <c r="BK69" s="2" t="s">
        <v>74</v>
      </c>
      <c r="BL69" s="2" t="s">
        <v>1014</v>
      </c>
      <c r="BM69" s="24" t="s">
        <v>1846</v>
      </c>
    </row>
    <row r="70" spans="1:65" ht="12.5">
      <c r="A70" s="22">
        <v>43733.673975428246</v>
      </c>
      <c r="B70" s="2" t="s">
        <v>1409</v>
      </c>
      <c r="C70" s="2" t="s">
        <v>1444</v>
      </c>
      <c r="D70" s="2" t="s">
        <v>1445</v>
      </c>
      <c r="E70" s="2" t="s">
        <v>74</v>
      </c>
      <c r="F70" s="25" t="s">
        <v>1447</v>
      </c>
      <c r="G70" s="2" t="s">
        <v>1409</v>
      </c>
      <c r="H70" s="2" t="s">
        <v>1850</v>
      </c>
      <c r="I70" s="2" t="s">
        <v>152</v>
      </c>
      <c r="J70" s="2" t="s">
        <v>692</v>
      </c>
      <c r="K70" s="2" t="s">
        <v>1450</v>
      </c>
      <c r="L70" s="2" t="s">
        <v>1415</v>
      </c>
      <c r="M70" s="2" t="s">
        <v>418</v>
      </c>
      <c r="N70" s="23">
        <v>2017</v>
      </c>
      <c r="O70" s="23">
        <v>2018</v>
      </c>
      <c r="P70" s="2" t="s">
        <v>74</v>
      </c>
      <c r="Q70" s="2" t="s">
        <v>119</v>
      </c>
      <c r="R70" s="2" t="s">
        <v>1451</v>
      </c>
      <c r="S70" s="2" t="s">
        <v>1452</v>
      </c>
      <c r="T70" s="2" t="s">
        <v>74</v>
      </c>
      <c r="U70" s="2" t="s">
        <v>1453</v>
      </c>
      <c r="V70" s="2" t="s">
        <v>190</v>
      </c>
      <c r="W70" s="2" t="s">
        <v>261</v>
      </c>
      <c r="X70" s="2" t="s">
        <v>74</v>
      </c>
      <c r="Y70" s="2" t="s">
        <v>1454</v>
      </c>
      <c r="Z70" s="2" t="s">
        <v>205</v>
      </c>
      <c r="AA70" s="2" t="s">
        <v>1455</v>
      </c>
      <c r="AB70" s="2" t="s">
        <v>1456</v>
      </c>
      <c r="AC70" s="2" t="s">
        <v>92</v>
      </c>
      <c r="AD70" s="2" t="s">
        <v>93</v>
      </c>
      <c r="AE70" s="2" t="s">
        <v>163</v>
      </c>
      <c r="AF70" s="2" t="s">
        <v>74</v>
      </c>
      <c r="AG70" s="2" t="s">
        <v>74</v>
      </c>
      <c r="AH70" s="2" t="s">
        <v>284</v>
      </c>
      <c r="AI70" s="2" t="s">
        <v>74</v>
      </c>
      <c r="AJ70" s="2" t="s">
        <v>95</v>
      </c>
      <c r="AK70" s="2" t="s">
        <v>74</v>
      </c>
      <c r="AL70" s="2" t="s">
        <v>74</v>
      </c>
      <c r="AM70" s="2" t="s">
        <v>74</v>
      </c>
      <c r="AN70" s="2" t="s">
        <v>97</v>
      </c>
      <c r="AO70" s="2" t="s">
        <v>233</v>
      </c>
      <c r="AP70" s="2" t="s">
        <v>520</v>
      </c>
      <c r="AQ70" s="2" t="s">
        <v>777</v>
      </c>
      <c r="AR70" s="2" t="s">
        <v>74</v>
      </c>
      <c r="AS70" s="2" t="s">
        <v>1458</v>
      </c>
      <c r="AT70" s="2" t="s">
        <v>1421</v>
      </c>
      <c r="AU70" s="24" t="s">
        <v>1422</v>
      </c>
      <c r="AV70" s="2"/>
      <c r="AW70" s="2" t="s">
        <v>1237</v>
      </c>
      <c r="AX70" s="2" t="s">
        <v>233</v>
      </c>
      <c r="AY70" s="2" t="s">
        <v>339</v>
      </c>
      <c r="AZ70" s="2" t="s">
        <v>168</v>
      </c>
      <c r="BA70" s="2"/>
      <c r="BB70" s="2" t="s">
        <v>233</v>
      </c>
      <c r="BC70" s="2" t="s">
        <v>171</v>
      </c>
      <c r="BD70" s="2" t="s">
        <v>171</v>
      </c>
      <c r="BE70" s="2" t="s">
        <v>83</v>
      </c>
      <c r="BF70" s="23">
        <v>0</v>
      </c>
      <c r="BG70" s="2"/>
      <c r="BH70" s="2" t="s">
        <v>233</v>
      </c>
      <c r="BI70" s="2" t="s">
        <v>233</v>
      </c>
      <c r="BJ70" s="2"/>
      <c r="BK70" s="2" t="s">
        <v>74</v>
      </c>
      <c r="BL70" s="24" t="s">
        <v>1459</v>
      </c>
      <c r="BM70" s="24"/>
    </row>
    <row r="71" spans="1:65" ht="12.5">
      <c r="A71" s="22">
        <v>43733.481308333328</v>
      </c>
      <c r="B71" s="2" t="s">
        <v>1461</v>
      </c>
      <c r="C71" s="2" t="s">
        <v>1462</v>
      </c>
      <c r="D71" s="2" t="s">
        <v>1463</v>
      </c>
      <c r="E71" s="2" t="s">
        <v>74</v>
      </c>
      <c r="F71" s="25" t="s">
        <v>1464</v>
      </c>
      <c r="G71" s="2" t="s">
        <v>1461</v>
      </c>
      <c r="H71" s="2" t="s">
        <v>1465</v>
      </c>
      <c r="I71" s="2" t="s">
        <v>152</v>
      </c>
      <c r="J71" s="2" t="s">
        <v>687</v>
      </c>
      <c r="K71" s="2" t="s">
        <v>1466</v>
      </c>
      <c r="L71" s="2" t="s">
        <v>1467</v>
      </c>
      <c r="M71" s="2" t="s">
        <v>1468</v>
      </c>
      <c r="N71" s="23">
        <v>2019</v>
      </c>
      <c r="O71" s="2" t="s">
        <v>82</v>
      </c>
      <c r="P71" s="2" t="s">
        <v>83</v>
      </c>
      <c r="Q71" s="2"/>
      <c r="R71" s="2" t="s">
        <v>257</v>
      </c>
      <c r="S71" s="2" t="s">
        <v>120</v>
      </c>
      <c r="T71" s="2" t="s">
        <v>158</v>
      </c>
      <c r="U71" s="2" t="s">
        <v>1469</v>
      </c>
      <c r="V71" s="2" t="s">
        <v>455</v>
      </c>
      <c r="W71" s="2" t="s">
        <v>261</v>
      </c>
      <c r="X71" s="2" t="s">
        <v>74</v>
      </c>
      <c r="Y71" s="2" t="s">
        <v>1470</v>
      </c>
      <c r="Z71" s="2" t="s">
        <v>107</v>
      </c>
      <c r="AA71" s="2" t="s">
        <v>107</v>
      </c>
      <c r="AB71" s="2" t="s">
        <v>931</v>
      </c>
      <c r="AC71" s="2" t="s">
        <v>92</v>
      </c>
      <c r="AD71" s="2" t="s">
        <v>93</v>
      </c>
      <c r="AE71" s="2" t="s">
        <v>264</v>
      </c>
      <c r="AF71" s="2" t="s">
        <v>95</v>
      </c>
      <c r="AG71" s="2" t="s">
        <v>74</v>
      </c>
      <c r="AH71" s="2" t="s">
        <v>164</v>
      </c>
      <c r="AI71" s="2" t="s">
        <v>74</v>
      </c>
      <c r="AJ71" s="2" t="s">
        <v>74</v>
      </c>
      <c r="AK71" s="2" t="s">
        <v>74</v>
      </c>
      <c r="AL71" s="2" t="s">
        <v>74</v>
      </c>
      <c r="AM71" s="2" t="s">
        <v>74</v>
      </c>
      <c r="AN71" s="2" t="s">
        <v>1471</v>
      </c>
      <c r="AO71" s="2" t="s">
        <v>92</v>
      </c>
      <c r="AP71" s="2" t="s">
        <v>92</v>
      </c>
      <c r="AQ71" s="2" t="s">
        <v>233</v>
      </c>
      <c r="AR71" s="2" t="s">
        <v>74</v>
      </c>
      <c r="AS71" s="2" t="s">
        <v>1472</v>
      </c>
      <c r="AT71" s="2" t="s">
        <v>107</v>
      </c>
      <c r="AU71" s="2" t="s">
        <v>107</v>
      </c>
      <c r="AV71" s="2"/>
      <c r="AW71" s="2" t="s">
        <v>233</v>
      </c>
      <c r="AX71" s="2" t="s">
        <v>107</v>
      </c>
      <c r="AY71" s="2" t="s">
        <v>107</v>
      </c>
      <c r="AZ71" s="2" t="s">
        <v>168</v>
      </c>
      <c r="BA71" s="2"/>
      <c r="BB71" s="2" t="s">
        <v>138</v>
      </c>
      <c r="BC71" s="2" t="s">
        <v>341</v>
      </c>
      <c r="BD71" s="2" t="s">
        <v>234</v>
      </c>
      <c r="BE71" s="2" t="s">
        <v>74</v>
      </c>
      <c r="BF71" s="2" t="s">
        <v>316</v>
      </c>
      <c r="BG71" s="2"/>
      <c r="BH71" s="2" t="s">
        <v>233</v>
      </c>
      <c r="BI71" s="24" t="s">
        <v>1473</v>
      </c>
      <c r="BJ71" s="2"/>
      <c r="BK71" s="2" t="s">
        <v>74</v>
      </c>
      <c r="BL71" s="2"/>
      <c r="BM71" s="2"/>
    </row>
    <row r="72" spans="1:65" ht="12.5">
      <c r="A72" s="22">
        <v>43733.728306261575</v>
      </c>
      <c r="B72" s="2" t="s">
        <v>1474</v>
      </c>
      <c r="C72" s="2" t="s">
        <v>1475</v>
      </c>
      <c r="D72" s="2" t="s">
        <v>1476</v>
      </c>
      <c r="E72" s="2" t="s">
        <v>74</v>
      </c>
      <c r="F72" s="25" t="s">
        <v>1477</v>
      </c>
      <c r="G72" s="2" t="s">
        <v>1474</v>
      </c>
      <c r="H72" s="2" t="s">
        <v>1478</v>
      </c>
      <c r="I72" s="2" t="s">
        <v>152</v>
      </c>
      <c r="J72" s="2" t="s">
        <v>687</v>
      </c>
      <c r="K72" s="2" t="s">
        <v>608</v>
      </c>
      <c r="L72" s="2" t="s">
        <v>1479</v>
      </c>
      <c r="M72" s="2" t="s">
        <v>298</v>
      </c>
      <c r="N72" s="23">
        <v>2017</v>
      </c>
      <c r="O72" s="2" t="s">
        <v>82</v>
      </c>
      <c r="P72" s="2" t="s">
        <v>83</v>
      </c>
      <c r="Q72" s="2"/>
      <c r="R72" s="2" t="s">
        <v>84</v>
      </c>
      <c r="S72" s="2" t="s">
        <v>85</v>
      </c>
      <c r="T72" s="2" t="s">
        <v>74</v>
      </c>
      <c r="U72" s="2" t="s">
        <v>1480</v>
      </c>
      <c r="V72" s="2" t="s">
        <v>491</v>
      </c>
      <c r="W72" s="2" t="s">
        <v>85</v>
      </c>
      <c r="X72" s="2" t="s">
        <v>83</v>
      </c>
      <c r="Y72" s="2"/>
      <c r="Z72" s="2" t="s">
        <v>125</v>
      </c>
      <c r="AA72" s="2" t="s">
        <v>126</v>
      </c>
      <c r="AB72" s="2" t="s">
        <v>999</v>
      </c>
      <c r="AC72" s="2" t="s">
        <v>284</v>
      </c>
      <c r="AD72" s="2" t="s">
        <v>284</v>
      </c>
      <c r="AE72" s="2" t="s">
        <v>94</v>
      </c>
      <c r="AF72" s="2" t="s">
        <v>95</v>
      </c>
      <c r="AG72" s="2" t="s">
        <v>74</v>
      </c>
      <c r="AH72" s="2" t="s">
        <v>284</v>
      </c>
      <c r="AI72" s="2" t="s">
        <v>74</v>
      </c>
      <c r="AJ72" s="2" t="s">
        <v>74</v>
      </c>
      <c r="AK72" s="2" t="s">
        <v>233</v>
      </c>
      <c r="AL72" s="2" t="s">
        <v>74</v>
      </c>
      <c r="AM72" s="2" t="s">
        <v>95</v>
      </c>
      <c r="AN72" s="2" t="s">
        <v>358</v>
      </c>
      <c r="AO72" s="2" t="s">
        <v>130</v>
      </c>
      <c r="AP72" s="2" t="s">
        <v>229</v>
      </c>
      <c r="AQ72" s="2" t="s">
        <v>1479</v>
      </c>
      <c r="AR72" s="2" t="s">
        <v>74</v>
      </c>
      <c r="AS72" s="2" t="s">
        <v>107</v>
      </c>
      <c r="AT72" s="2" t="s">
        <v>107</v>
      </c>
      <c r="AU72" s="2" t="s">
        <v>83</v>
      </c>
      <c r="AV72" s="2"/>
      <c r="AW72" s="2" t="s">
        <v>107</v>
      </c>
      <c r="AX72" s="2" t="s">
        <v>312</v>
      </c>
      <c r="AY72" s="2" t="s">
        <v>370</v>
      </c>
      <c r="AZ72" s="2"/>
      <c r="BA72" s="2"/>
      <c r="BB72" s="2" t="s">
        <v>107</v>
      </c>
      <c r="BC72" s="2" t="s">
        <v>171</v>
      </c>
      <c r="BD72" s="2" t="s">
        <v>171</v>
      </c>
      <c r="BE72" s="2" t="s">
        <v>233</v>
      </c>
      <c r="BF72" s="2" t="s">
        <v>233</v>
      </c>
      <c r="BG72" s="2"/>
      <c r="BH72" s="2" t="s">
        <v>233</v>
      </c>
      <c r="BI72" s="2" t="s">
        <v>233</v>
      </c>
      <c r="BJ72" s="2"/>
      <c r="BK72" s="2" t="s">
        <v>74</v>
      </c>
      <c r="BL72" s="2"/>
      <c r="BM72" s="2"/>
    </row>
    <row r="73" spans="1:65" ht="12.5">
      <c r="A73" s="22">
        <v>43733.917885474541</v>
      </c>
      <c r="B73" s="2" t="s">
        <v>1482</v>
      </c>
      <c r="C73" s="2" t="s">
        <v>1483</v>
      </c>
      <c r="D73" s="2" t="s">
        <v>1484</v>
      </c>
      <c r="E73" s="2" t="s">
        <v>74</v>
      </c>
      <c r="F73" s="25" t="s">
        <v>1485</v>
      </c>
      <c r="G73" s="2" t="s">
        <v>1482</v>
      </c>
      <c r="H73" s="2" t="s">
        <v>1486</v>
      </c>
      <c r="I73" s="2" t="s">
        <v>328</v>
      </c>
      <c r="J73" s="2" t="s">
        <v>1487</v>
      </c>
      <c r="K73" s="2" t="s">
        <v>1488</v>
      </c>
      <c r="L73" s="2" t="s">
        <v>1489</v>
      </c>
      <c r="M73" s="2" t="s">
        <v>418</v>
      </c>
      <c r="N73" s="23">
        <v>2018</v>
      </c>
      <c r="O73" s="2" t="s">
        <v>82</v>
      </c>
      <c r="P73" s="2" t="s">
        <v>74</v>
      </c>
      <c r="Q73" s="2" t="s">
        <v>119</v>
      </c>
      <c r="R73" s="2" t="s">
        <v>966</v>
      </c>
      <c r="S73" s="2" t="s">
        <v>85</v>
      </c>
      <c r="T73" s="2" t="s">
        <v>95</v>
      </c>
      <c r="U73" s="2" t="s">
        <v>1490</v>
      </c>
      <c r="V73" s="2" t="s">
        <v>676</v>
      </c>
      <c r="W73" s="2" t="s">
        <v>161</v>
      </c>
      <c r="X73" s="2" t="s">
        <v>107</v>
      </c>
      <c r="Y73" s="2"/>
      <c r="Z73" s="2" t="s">
        <v>125</v>
      </c>
      <c r="AA73" s="2" t="s">
        <v>126</v>
      </c>
      <c r="AB73" s="2" t="s">
        <v>91</v>
      </c>
      <c r="AC73" s="2" t="s">
        <v>284</v>
      </c>
      <c r="AD73" s="2" t="s">
        <v>93</v>
      </c>
      <c r="AE73" s="2" t="s">
        <v>163</v>
      </c>
      <c r="AF73" s="2" t="s">
        <v>74</v>
      </c>
      <c r="AG73" s="2" t="s">
        <v>74</v>
      </c>
      <c r="AH73" s="2" t="s">
        <v>1491</v>
      </c>
      <c r="AI73" s="2" t="s">
        <v>74</v>
      </c>
      <c r="AJ73" s="2" t="s">
        <v>74</v>
      </c>
      <c r="AK73" s="2" t="s">
        <v>74</v>
      </c>
      <c r="AL73" s="2" t="s">
        <v>74</v>
      </c>
      <c r="AM73" s="2" t="s">
        <v>74</v>
      </c>
      <c r="AN73" s="2" t="s">
        <v>97</v>
      </c>
      <c r="AO73" s="2" t="s">
        <v>130</v>
      </c>
      <c r="AP73" s="2" t="s">
        <v>945</v>
      </c>
      <c r="AQ73" s="2" t="s">
        <v>365</v>
      </c>
      <c r="AR73" s="2" t="s">
        <v>74</v>
      </c>
      <c r="AS73" s="2" t="s">
        <v>101</v>
      </c>
      <c r="AT73" s="2" t="s">
        <v>107</v>
      </c>
      <c r="AU73" s="2" t="s">
        <v>233</v>
      </c>
      <c r="AV73" s="2"/>
      <c r="AW73" s="2" t="s">
        <v>233</v>
      </c>
      <c r="AX73" s="2" t="s">
        <v>761</v>
      </c>
      <c r="AY73" s="2" t="s">
        <v>135</v>
      </c>
      <c r="AZ73" s="2" t="s">
        <v>861</v>
      </c>
      <c r="BA73" s="2" t="s">
        <v>1492</v>
      </c>
      <c r="BB73" s="23">
        <v>0</v>
      </c>
      <c r="BC73" s="2" t="s">
        <v>171</v>
      </c>
      <c r="BD73" s="2" t="s">
        <v>171</v>
      </c>
      <c r="BE73" s="2" t="s">
        <v>233</v>
      </c>
      <c r="BF73" s="2" t="s">
        <v>141</v>
      </c>
      <c r="BG73" s="2"/>
      <c r="BH73" s="2" t="s">
        <v>143</v>
      </c>
      <c r="BI73" s="2" t="s">
        <v>233</v>
      </c>
      <c r="BJ73" s="2"/>
      <c r="BK73" s="2" t="s">
        <v>74</v>
      </c>
      <c r="BL73" s="2"/>
      <c r="BM73" s="2"/>
    </row>
    <row r="74" spans="1:65" ht="12.5">
      <c r="A74" s="22">
        <v>43735.447957673612</v>
      </c>
      <c r="B74" s="2" t="s">
        <v>1493</v>
      </c>
      <c r="C74" s="2" t="s">
        <v>1494</v>
      </c>
      <c r="D74" s="2" t="s">
        <v>1495</v>
      </c>
      <c r="E74" s="2" t="s">
        <v>74</v>
      </c>
      <c r="F74" s="25" t="s">
        <v>1496</v>
      </c>
      <c r="G74" s="2" t="s">
        <v>1497</v>
      </c>
      <c r="H74" s="2" t="s">
        <v>1498</v>
      </c>
      <c r="I74" s="2" t="s">
        <v>328</v>
      </c>
      <c r="J74" s="2" t="s">
        <v>356</v>
      </c>
      <c r="K74" s="2" t="s">
        <v>1499</v>
      </c>
      <c r="L74" s="2" t="s">
        <v>1500</v>
      </c>
      <c r="M74" s="2" t="s">
        <v>81</v>
      </c>
      <c r="N74" s="23">
        <v>2018</v>
      </c>
      <c r="O74" s="2" t="s">
        <v>82</v>
      </c>
      <c r="P74" s="2" t="s">
        <v>74</v>
      </c>
      <c r="Q74" s="2" t="s">
        <v>1501</v>
      </c>
      <c r="R74" s="2" t="s">
        <v>360</v>
      </c>
      <c r="S74" s="2" t="s">
        <v>85</v>
      </c>
      <c r="T74" s="2" t="s">
        <v>74</v>
      </c>
      <c r="U74" s="2" t="s">
        <v>1502</v>
      </c>
      <c r="V74" s="2" t="s">
        <v>87</v>
      </c>
      <c r="W74" s="2" t="s">
        <v>366</v>
      </c>
      <c r="X74" s="2" t="s">
        <v>107</v>
      </c>
      <c r="Y74" s="2"/>
      <c r="Z74" s="2" t="s">
        <v>125</v>
      </c>
      <c r="AA74" s="2" t="s">
        <v>90</v>
      </c>
      <c r="AB74" s="2" t="s">
        <v>1227</v>
      </c>
      <c r="AC74" s="2" t="s">
        <v>548</v>
      </c>
      <c r="AD74" s="2" t="s">
        <v>93</v>
      </c>
      <c r="AE74" s="2" t="s">
        <v>163</v>
      </c>
      <c r="AF74" s="2" t="s">
        <v>74</v>
      </c>
      <c r="AG74" s="2" t="s">
        <v>74</v>
      </c>
      <c r="AH74" s="2" t="s">
        <v>1503</v>
      </c>
      <c r="AI74" s="2" t="s">
        <v>74</v>
      </c>
      <c r="AJ74" s="2" t="s">
        <v>74</v>
      </c>
      <c r="AK74" s="2" t="s">
        <v>107</v>
      </c>
      <c r="AL74" s="2" t="s">
        <v>107</v>
      </c>
      <c r="AM74" s="2" t="s">
        <v>74</v>
      </c>
      <c r="AN74" s="2" t="s">
        <v>97</v>
      </c>
      <c r="AO74" s="2" t="s">
        <v>130</v>
      </c>
      <c r="AP74" s="2" t="s">
        <v>308</v>
      </c>
      <c r="AQ74" s="2" t="s">
        <v>1504</v>
      </c>
      <c r="AR74" s="2" t="s">
        <v>83</v>
      </c>
      <c r="AS74" s="2" t="s">
        <v>107</v>
      </c>
      <c r="AT74" s="2" t="s">
        <v>857</v>
      </c>
      <c r="AU74" s="2" t="s">
        <v>107</v>
      </c>
      <c r="AV74" s="2"/>
      <c r="AW74" s="2" t="s">
        <v>107</v>
      </c>
      <c r="AX74" s="2" t="s">
        <v>167</v>
      </c>
      <c r="AY74" s="2"/>
      <c r="AZ74" s="2"/>
      <c r="BA74" s="2"/>
      <c r="BB74" s="2" t="s">
        <v>107</v>
      </c>
      <c r="BC74" s="2" t="s">
        <v>108</v>
      </c>
      <c r="BD74" s="2" t="s">
        <v>108</v>
      </c>
      <c r="BE74" s="2" t="s">
        <v>74</v>
      </c>
      <c r="BF74" s="2" t="s">
        <v>233</v>
      </c>
      <c r="BG74" s="2"/>
      <c r="BH74" s="2" t="s">
        <v>1505</v>
      </c>
      <c r="BI74" s="2" t="s">
        <v>233</v>
      </c>
      <c r="BJ74" s="2"/>
      <c r="BK74" s="2" t="s">
        <v>74</v>
      </c>
      <c r="BL74" s="24" t="s">
        <v>1506</v>
      </c>
      <c r="BM74" s="24"/>
    </row>
    <row r="75" spans="1:65" ht="12.5">
      <c r="A75" s="22">
        <v>43735.635680949075</v>
      </c>
      <c r="B75" s="2" t="s">
        <v>1507</v>
      </c>
      <c r="C75" s="2" t="s">
        <v>1508</v>
      </c>
      <c r="D75" s="2" t="s">
        <v>1509</v>
      </c>
      <c r="E75" s="2" t="s">
        <v>74</v>
      </c>
      <c r="F75" s="25" t="s">
        <v>1510</v>
      </c>
      <c r="G75" s="2" t="s">
        <v>1507</v>
      </c>
      <c r="H75" s="2" t="s">
        <v>1511</v>
      </c>
      <c r="I75" s="2" t="s">
        <v>152</v>
      </c>
      <c r="J75" s="2" t="s">
        <v>687</v>
      </c>
      <c r="K75" s="2" t="s">
        <v>608</v>
      </c>
      <c r="L75" s="2" t="s">
        <v>1512</v>
      </c>
      <c r="M75" s="2" t="s">
        <v>81</v>
      </c>
      <c r="N75" s="23">
        <v>2019</v>
      </c>
      <c r="O75" s="23">
        <v>2019</v>
      </c>
      <c r="P75" s="2" t="s">
        <v>74</v>
      </c>
      <c r="Q75" s="2" t="s">
        <v>256</v>
      </c>
      <c r="R75" s="2" t="s">
        <v>1513</v>
      </c>
      <c r="S75" s="2" t="s">
        <v>1514</v>
      </c>
      <c r="T75" s="2" t="s">
        <v>74</v>
      </c>
      <c r="U75" s="2" t="s">
        <v>854</v>
      </c>
      <c r="V75" s="2" t="s">
        <v>87</v>
      </c>
      <c r="W75" s="2" t="s">
        <v>366</v>
      </c>
      <c r="X75" s="2" t="s">
        <v>74</v>
      </c>
      <c r="Y75" s="2" t="s">
        <v>1515</v>
      </c>
      <c r="Z75" s="2" t="s">
        <v>205</v>
      </c>
      <c r="AA75" s="2" t="s">
        <v>90</v>
      </c>
      <c r="AB75" s="2" t="s">
        <v>1516</v>
      </c>
      <c r="AC75" s="2" t="s">
        <v>284</v>
      </c>
      <c r="AD75" s="2" t="s">
        <v>1517</v>
      </c>
      <c r="AE75" s="2" t="s">
        <v>94</v>
      </c>
      <c r="AF75" s="2" t="s">
        <v>74</v>
      </c>
      <c r="AG75" s="2" t="s">
        <v>83</v>
      </c>
      <c r="AH75" s="2" t="s">
        <v>284</v>
      </c>
      <c r="AI75" s="2" t="s">
        <v>208</v>
      </c>
      <c r="AJ75" s="2" t="s">
        <v>74</v>
      </c>
      <c r="AK75" s="2" t="s">
        <v>83</v>
      </c>
      <c r="AL75" s="2" t="s">
        <v>83</v>
      </c>
      <c r="AM75" s="2" t="s">
        <v>74</v>
      </c>
      <c r="AN75" s="2" t="s">
        <v>97</v>
      </c>
      <c r="AO75" s="2" t="s">
        <v>1518</v>
      </c>
      <c r="AP75" s="2" t="s">
        <v>1519</v>
      </c>
      <c r="AQ75" s="2" t="s">
        <v>166</v>
      </c>
      <c r="AR75" s="2" t="s">
        <v>83</v>
      </c>
      <c r="AS75" s="2" t="s">
        <v>101</v>
      </c>
      <c r="AT75" s="2" t="s">
        <v>1520</v>
      </c>
      <c r="AU75" s="2" t="s">
        <v>83</v>
      </c>
      <c r="AV75" s="2"/>
      <c r="AW75" s="2" t="s">
        <v>233</v>
      </c>
      <c r="AX75" s="2" t="s">
        <v>167</v>
      </c>
      <c r="AY75" s="2" t="s">
        <v>1407</v>
      </c>
      <c r="AZ75" s="2" t="s">
        <v>168</v>
      </c>
      <c r="BA75" s="2" t="s">
        <v>1521</v>
      </c>
      <c r="BB75" s="2" t="s">
        <v>233</v>
      </c>
      <c r="BC75" s="2" t="s">
        <v>139</v>
      </c>
      <c r="BD75" s="2" t="s">
        <v>139</v>
      </c>
      <c r="BE75" s="2" t="s">
        <v>83</v>
      </c>
      <c r="BF75" s="2" t="s">
        <v>141</v>
      </c>
      <c r="BG75" s="2"/>
      <c r="BH75" s="2" t="s">
        <v>1522</v>
      </c>
      <c r="BI75" s="24" t="s">
        <v>1524</v>
      </c>
      <c r="BJ75" s="2"/>
      <c r="BK75" s="2" t="s">
        <v>74</v>
      </c>
      <c r="BL75" s="2"/>
      <c r="BM75" s="2"/>
    </row>
    <row r="76" spans="1:65" ht="12.5">
      <c r="A76" s="22">
        <v>43740.522517361111</v>
      </c>
      <c r="B76" s="2" t="s">
        <v>1525</v>
      </c>
      <c r="C76" s="2" t="s">
        <v>1526</v>
      </c>
      <c r="D76" s="2" t="s">
        <v>1527</v>
      </c>
      <c r="E76" s="2" t="s">
        <v>74</v>
      </c>
      <c r="F76" s="25" t="s">
        <v>1528</v>
      </c>
      <c r="G76" s="2" t="s">
        <v>1529</v>
      </c>
      <c r="H76" s="2" t="s">
        <v>1530</v>
      </c>
      <c r="I76" s="2" t="s">
        <v>152</v>
      </c>
      <c r="J76" s="2" t="s">
        <v>653</v>
      </c>
      <c r="K76" s="2" t="s">
        <v>654</v>
      </c>
      <c r="L76" s="2" t="s">
        <v>1531</v>
      </c>
      <c r="M76" s="2" t="s">
        <v>1532</v>
      </c>
      <c r="N76" s="23">
        <v>2016</v>
      </c>
      <c r="O76" s="2" t="s">
        <v>82</v>
      </c>
      <c r="P76" s="2" t="s">
        <v>83</v>
      </c>
      <c r="Q76" s="2"/>
      <c r="R76" s="2" t="s">
        <v>156</v>
      </c>
      <c r="S76" s="2" t="s">
        <v>731</v>
      </c>
      <c r="T76" s="2" t="s">
        <v>74</v>
      </c>
      <c r="U76" s="2" t="s">
        <v>715</v>
      </c>
      <c r="V76" s="2" t="s">
        <v>1533</v>
      </c>
      <c r="W76" s="2" t="s">
        <v>161</v>
      </c>
      <c r="X76" s="2" t="s">
        <v>83</v>
      </c>
      <c r="Y76" s="2"/>
      <c r="Z76" s="2" t="s">
        <v>205</v>
      </c>
      <c r="AA76" s="2" t="s">
        <v>90</v>
      </c>
      <c r="AB76" s="2" t="s">
        <v>1534</v>
      </c>
      <c r="AC76" s="2" t="s">
        <v>92</v>
      </c>
      <c r="AD76" s="2" t="s">
        <v>93</v>
      </c>
      <c r="AE76" s="2" t="s">
        <v>163</v>
      </c>
      <c r="AF76" s="2" t="s">
        <v>74</v>
      </c>
      <c r="AG76" s="2" t="s">
        <v>74</v>
      </c>
      <c r="AH76" s="2" t="s">
        <v>643</v>
      </c>
      <c r="AI76" s="2" t="s">
        <v>83</v>
      </c>
      <c r="AJ76" s="2" t="s">
        <v>74</v>
      </c>
      <c r="AK76" s="2" t="s">
        <v>74</v>
      </c>
      <c r="AL76" s="2" t="s">
        <v>74</v>
      </c>
      <c r="AM76" s="2" t="s">
        <v>74</v>
      </c>
      <c r="AN76" s="2" t="s">
        <v>97</v>
      </c>
      <c r="AO76" s="2" t="s">
        <v>92</v>
      </c>
      <c r="AP76" s="2" t="s">
        <v>1535</v>
      </c>
      <c r="AQ76" s="2" t="s">
        <v>233</v>
      </c>
      <c r="AR76" s="2" t="s">
        <v>74</v>
      </c>
      <c r="AS76" s="2" t="s">
        <v>107</v>
      </c>
      <c r="AT76" s="2" t="s">
        <v>107</v>
      </c>
      <c r="AU76" s="2" t="s">
        <v>83</v>
      </c>
      <c r="AV76" s="2"/>
      <c r="AW76" s="2" t="s">
        <v>233</v>
      </c>
      <c r="AX76" s="2" t="s">
        <v>104</v>
      </c>
      <c r="AY76" s="2" t="s">
        <v>288</v>
      </c>
      <c r="AZ76" s="2" t="s">
        <v>861</v>
      </c>
      <c r="BA76" s="2" t="s">
        <v>1536</v>
      </c>
      <c r="BB76" s="2" t="s">
        <v>233</v>
      </c>
      <c r="BC76" s="2" t="s">
        <v>341</v>
      </c>
      <c r="BD76" s="2" t="s">
        <v>171</v>
      </c>
      <c r="BE76" s="2" t="s">
        <v>74</v>
      </c>
      <c r="BF76" s="23">
        <v>0</v>
      </c>
      <c r="BG76" s="2"/>
      <c r="BH76" s="2" t="s">
        <v>233</v>
      </c>
      <c r="BI76" s="2" t="s">
        <v>233</v>
      </c>
      <c r="BJ76" s="2"/>
      <c r="BK76" s="2" t="s">
        <v>74</v>
      </c>
      <c r="BL76" s="2"/>
      <c r="BM76" s="2"/>
    </row>
    <row r="77" spans="1:65" ht="12.5">
      <c r="A77" s="22">
        <v>43740.522826064815</v>
      </c>
      <c r="B77" s="2" t="s">
        <v>1537</v>
      </c>
      <c r="C77" s="2" t="s">
        <v>1538</v>
      </c>
      <c r="D77" s="2" t="s">
        <v>1539</v>
      </c>
      <c r="E77" s="2" t="s">
        <v>74</v>
      </c>
      <c r="F77" s="25" t="s">
        <v>1540</v>
      </c>
      <c r="G77" s="2" t="s">
        <v>1537</v>
      </c>
      <c r="H77" s="2" t="s">
        <v>1541</v>
      </c>
      <c r="I77" s="2" t="s">
        <v>152</v>
      </c>
      <c r="J77" s="2" t="s">
        <v>680</v>
      </c>
      <c r="K77" s="2" t="s">
        <v>608</v>
      </c>
      <c r="L77" s="2" t="s">
        <v>1542</v>
      </c>
      <c r="M77" s="2" t="s">
        <v>298</v>
      </c>
      <c r="N77" s="23">
        <v>2011</v>
      </c>
      <c r="O77" s="2" t="s">
        <v>82</v>
      </c>
      <c r="P77" s="2" t="s">
        <v>95</v>
      </c>
      <c r="Q77" s="2" t="s">
        <v>119</v>
      </c>
      <c r="R77" s="2" t="s">
        <v>84</v>
      </c>
      <c r="S77" s="2" t="s">
        <v>258</v>
      </c>
      <c r="T77" s="2" t="s">
        <v>74</v>
      </c>
      <c r="U77" s="2" t="s">
        <v>224</v>
      </c>
      <c r="V77" s="2" t="s">
        <v>190</v>
      </c>
      <c r="W77" s="2" t="s">
        <v>499</v>
      </c>
      <c r="X77" s="2" t="s">
        <v>83</v>
      </c>
      <c r="Y77" s="2"/>
      <c r="Z77" s="2" t="s">
        <v>205</v>
      </c>
      <c r="AA77" s="2" t="s">
        <v>90</v>
      </c>
      <c r="AB77" s="2" t="s">
        <v>1543</v>
      </c>
      <c r="AC77" s="2" t="s">
        <v>128</v>
      </c>
      <c r="AD77" s="2" t="s">
        <v>284</v>
      </c>
      <c r="AE77" s="2" t="s">
        <v>94</v>
      </c>
      <c r="AF77" s="2" t="s">
        <v>74</v>
      </c>
      <c r="AG77" s="2" t="s">
        <v>74</v>
      </c>
      <c r="AH77" s="2" t="s">
        <v>284</v>
      </c>
      <c r="AI77" s="2" t="s">
        <v>74</v>
      </c>
      <c r="AJ77" s="2" t="s">
        <v>95</v>
      </c>
      <c r="AK77" s="2" t="s">
        <v>74</v>
      </c>
      <c r="AL77" s="2" t="s">
        <v>74</v>
      </c>
      <c r="AM77" s="2" t="s">
        <v>74</v>
      </c>
      <c r="AN77" s="2" t="s">
        <v>97</v>
      </c>
      <c r="AO77" s="2" t="s">
        <v>130</v>
      </c>
      <c r="AP77" s="2" t="s">
        <v>229</v>
      </c>
      <c r="AQ77" s="2" t="s">
        <v>365</v>
      </c>
      <c r="AR77" s="2" t="s">
        <v>83</v>
      </c>
      <c r="AS77" s="2" t="s">
        <v>107</v>
      </c>
      <c r="AT77" s="2" t="s">
        <v>107</v>
      </c>
      <c r="AU77" s="2" t="s">
        <v>83</v>
      </c>
      <c r="AV77" s="2"/>
      <c r="AW77" s="2" t="s">
        <v>107</v>
      </c>
      <c r="AX77" s="2" t="s">
        <v>268</v>
      </c>
      <c r="AY77" s="2" t="s">
        <v>370</v>
      </c>
      <c r="AZ77" s="2" t="s">
        <v>168</v>
      </c>
      <c r="BA77" s="2"/>
      <c r="BB77" s="2" t="s">
        <v>107</v>
      </c>
      <c r="BC77" s="2" t="s">
        <v>140</v>
      </c>
      <c r="BD77" s="2" t="s">
        <v>235</v>
      </c>
      <c r="BE77" s="2" t="s">
        <v>83</v>
      </c>
      <c r="BF77" s="2" t="s">
        <v>141</v>
      </c>
      <c r="BG77" s="2"/>
      <c r="BH77" s="2" t="s">
        <v>213</v>
      </c>
      <c r="BI77" s="2" t="s">
        <v>471</v>
      </c>
      <c r="BJ77" s="2"/>
      <c r="BK77" s="2" t="s">
        <v>74</v>
      </c>
      <c r="BL77" s="2"/>
      <c r="BM77" s="2"/>
    </row>
    <row r="78" spans="1:65" ht="12.5">
      <c r="A78" s="22">
        <v>43740.555362013889</v>
      </c>
      <c r="B78" s="2" t="s">
        <v>1544</v>
      </c>
      <c r="C78" s="2" t="s">
        <v>1545</v>
      </c>
      <c r="D78" s="2" t="s">
        <v>1546</v>
      </c>
      <c r="E78" s="2" t="s">
        <v>74</v>
      </c>
      <c r="F78" s="25" t="s">
        <v>1547</v>
      </c>
      <c r="G78" s="2" t="s">
        <v>1548</v>
      </c>
      <c r="H78" s="2" t="s">
        <v>1549</v>
      </c>
      <c r="I78" s="2" t="s">
        <v>152</v>
      </c>
      <c r="J78" s="2" t="s">
        <v>578</v>
      </c>
      <c r="K78" s="2" t="s">
        <v>825</v>
      </c>
      <c r="L78" s="2" t="s">
        <v>1550</v>
      </c>
      <c r="M78" s="2" t="s">
        <v>81</v>
      </c>
      <c r="N78" s="23">
        <v>2017</v>
      </c>
      <c r="O78" s="2" t="s">
        <v>82</v>
      </c>
      <c r="P78" s="2" t="s">
        <v>83</v>
      </c>
      <c r="Q78" s="2"/>
      <c r="R78" s="2" t="s">
        <v>1551</v>
      </c>
      <c r="S78" s="2" t="s">
        <v>729</v>
      </c>
      <c r="T78" s="2" t="s">
        <v>74</v>
      </c>
      <c r="U78" s="2" t="s">
        <v>224</v>
      </c>
      <c r="V78" s="2" t="s">
        <v>190</v>
      </c>
      <c r="W78" s="2" t="s">
        <v>499</v>
      </c>
      <c r="X78" s="2" t="s">
        <v>74</v>
      </c>
      <c r="Y78" s="2" t="s">
        <v>1552</v>
      </c>
      <c r="Z78" s="2" t="s">
        <v>205</v>
      </c>
      <c r="AA78" s="2" t="s">
        <v>90</v>
      </c>
      <c r="AB78" s="2" t="s">
        <v>1553</v>
      </c>
      <c r="AC78" s="2" t="s">
        <v>92</v>
      </c>
      <c r="AD78" s="2" t="s">
        <v>93</v>
      </c>
      <c r="AE78" s="2" t="s">
        <v>94</v>
      </c>
      <c r="AF78" s="2" t="s">
        <v>95</v>
      </c>
      <c r="AG78" s="2" t="s">
        <v>74</v>
      </c>
      <c r="AH78" s="2" t="s">
        <v>284</v>
      </c>
      <c r="AI78" s="2" t="s">
        <v>74</v>
      </c>
      <c r="AJ78" s="2" t="s">
        <v>95</v>
      </c>
      <c r="AK78" s="2" t="s">
        <v>74</v>
      </c>
      <c r="AL78" s="2" t="s">
        <v>74</v>
      </c>
      <c r="AM78" s="2" t="s">
        <v>74</v>
      </c>
      <c r="AN78" s="2" t="s">
        <v>97</v>
      </c>
      <c r="AO78" s="2" t="s">
        <v>130</v>
      </c>
      <c r="AP78" s="2" t="s">
        <v>1554</v>
      </c>
      <c r="AQ78" s="2" t="s">
        <v>1096</v>
      </c>
      <c r="AR78" s="2" t="s">
        <v>74</v>
      </c>
      <c r="AS78" s="2" t="s">
        <v>977</v>
      </c>
      <c r="AT78" s="2" t="s">
        <v>107</v>
      </c>
      <c r="AU78" s="2" t="s">
        <v>233</v>
      </c>
      <c r="AV78" s="2"/>
      <c r="AW78" s="2" t="s">
        <v>233</v>
      </c>
      <c r="AX78" s="2" t="s">
        <v>368</v>
      </c>
      <c r="AY78" s="2" t="s">
        <v>168</v>
      </c>
      <c r="AZ78" s="2" t="s">
        <v>168</v>
      </c>
      <c r="BA78" s="2" t="s">
        <v>1555</v>
      </c>
      <c r="BB78" s="23">
        <v>0</v>
      </c>
      <c r="BC78" s="2" t="s">
        <v>171</v>
      </c>
      <c r="BD78" s="2" t="s">
        <v>139</v>
      </c>
      <c r="BE78" s="2" t="s">
        <v>83</v>
      </c>
      <c r="BF78" s="2" t="s">
        <v>270</v>
      </c>
      <c r="BG78" s="2"/>
      <c r="BH78" s="2" t="s">
        <v>572</v>
      </c>
      <c r="BI78" s="2" t="s">
        <v>272</v>
      </c>
      <c r="BJ78" s="2"/>
      <c r="BK78" s="2" t="s">
        <v>74</v>
      </c>
      <c r="BL78" s="2"/>
      <c r="BM78" s="2"/>
    </row>
    <row r="79" spans="1:65" ht="12.5">
      <c r="A79" s="22">
        <v>43742.546854722226</v>
      </c>
      <c r="B79" s="2" t="s">
        <v>1020</v>
      </c>
      <c r="C79" s="2" t="s">
        <v>1021</v>
      </c>
      <c r="D79" s="2" t="s">
        <v>1023</v>
      </c>
      <c r="E79" s="2" t="s">
        <v>83</v>
      </c>
      <c r="F79" s="25" t="s">
        <v>603</v>
      </c>
      <c r="G79" s="2" t="s">
        <v>1020</v>
      </c>
      <c r="H79" s="2" t="s">
        <v>1029</v>
      </c>
      <c r="I79" s="2" t="s">
        <v>152</v>
      </c>
      <c r="J79" s="2" t="s">
        <v>607</v>
      </c>
      <c r="K79" s="2" t="s">
        <v>1031</v>
      </c>
      <c r="L79" s="2" t="s">
        <v>1032</v>
      </c>
      <c r="M79" s="2" t="s">
        <v>1034</v>
      </c>
      <c r="N79" s="23">
        <v>2019</v>
      </c>
      <c r="O79" s="2" t="s">
        <v>82</v>
      </c>
      <c r="P79" s="2" t="s">
        <v>74</v>
      </c>
      <c r="Q79" s="2" t="s">
        <v>1037</v>
      </c>
      <c r="R79" s="2" t="s">
        <v>84</v>
      </c>
      <c r="S79" s="2" t="s">
        <v>1038</v>
      </c>
      <c r="T79" s="2" t="s">
        <v>74</v>
      </c>
      <c r="U79" s="2" t="s">
        <v>1042</v>
      </c>
      <c r="V79" s="2" t="s">
        <v>190</v>
      </c>
      <c r="W79" s="2" t="s">
        <v>161</v>
      </c>
      <c r="X79" s="2" t="s">
        <v>74</v>
      </c>
      <c r="Y79" s="2" t="s">
        <v>1044</v>
      </c>
      <c r="Z79" s="2" t="s">
        <v>205</v>
      </c>
      <c r="AA79" s="2" t="s">
        <v>126</v>
      </c>
      <c r="AB79" s="2" t="s">
        <v>1046</v>
      </c>
      <c r="AC79" s="2" t="s">
        <v>773</v>
      </c>
      <c r="AD79" s="2" t="s">
        <v>93</v>
      </c>
      <c r="AE79" s="2" t="s">
        <v>264</v>
      </c>
      <c r="AF79" s="2" t="s">
        <v>74</v>
      </c>
      <c r="AG79" s="2" t="s">
        <v>74</v>
      </c>
      <c r="AH79" s="2" t="s">
        <v>96</v>
      </c>
      <c r="AI79" s="2" t="s">
        <v>74</v>
      </c>
      <c r="AJ79" s="2" t="s">
        <v>95</v>
      </c>
      <c r="AK79" s="2" t="s">
        <v>83</v>
      </c>
      <c r="AL79" s="2" t="s">
        <v>233</v>
      </c>
      <c r="AM79" s="2" t="s">
        <v>74</v>
      </c>
      <c r="AN79" s="2" t="s">
        <v>97</v>
      </c>
      <c r="AO79" s="2" t="s">
        <v>1051</v>
      </c>
      <c r="AP79" s="2" t="s">
        <v>229</v>
      </c>
      <c r="AQ79" s="2" t="s">
        <v>107</v>
      </c>
      <c r="AR79" s="2" t="s">
        <v>83</v>
      </c>
      <c r="AS79" s="2" t="s">
        <v>101</v>
      </c>
      <c r="AT79" s="2" t="s">
        <v>107</v>
      </c>
      <c r="AU79" s="2" t="s">
        <v>107</v>
      </c>
      <c r="AV79" s="2"/>
      <c r="AW79" s="2" t="s">
        <v>107</v>
      </c>
      <c r="AX79" s="2" t="s">
        <v>167</v>
      </c>
      <c r="AY79" s="2" t="s">
        <v>168</v>
      </c>
      <c r="AZ79" s="2" t="s">
        <v>313</v>
      </c>
      <c r="BA79" s="2" t="s">
        <v>1059</v>
      </c>
      <c r="BB79" s="2" t="s">
        <v>107</v>
      </c>
      <c r="BC79" s="2" t="s">
        <v>108</v>
      </c>
      <c r="BD79" s="2" t="s">
        <v>233</v>
      </c>
      <c r="BE79" s="2" t="s">
        <v>83</v>
      </c>
      <c r="BF79" s="2" t="s">
        <v>141</v>
      </c>
      <c r="BG79" s="25" t="s">
        <v>1064</v>
      </c>
      <c r="BH79" s="2" t="s">
        <v>213</v>
      </c>
      <c r="BI79" s="2" t="s">
        <v>587</v>
      </c>
      <c r="BJ79" s="2"/>
      <c r="BK79" s="2" t="s">
        <v>74</v>
      </c>
      <c r="BL79" s="2"/>
      <c r="BM79" s="2"/>
    </row>
    <row r="80" spans="1:65" ht="12.5">
      <c r="A80" s="22">
        <v>43754.632873368057</v>
      </c>
      <c r="B80" s="2" t="s">
        <v>1557</v>
      </c>
      <c r="C80" s="2" t="s">
        <v>1557</v>
      </c>
      <c r="D80" s="2" t="s">
        <v>1558</v>
      </c>
      <c r="E80" s="2" t="s">
        <v>83</v>
      </c>
      <c r="F80" s="25" t="s">
        <v>1559</v>
      </c>
      <c r="G80" s="25" t="s">
        <v>1559</v>
      </c>
      <c r="H80" s="2" t="s">
        <v>1560</v>
      </c>
      <c r="I80" s="2" t="s">
        <v>1561</v>
      </c>
      <c r="J80" s="2" t="s">
        <v>684</v>
      </c>
      <c r="K80" s="2" t="s">
        <v>967</v>
      </c>
      <c r="L80" s="2" t="s">
        <v>1562</v>
      </c>
      <c r="M80" s="2" t="s">
        <v>118</v>
      </c>
      <c r="N80" s="23">
        <v>2015</v>
      </c>
      <c r="O80" s="23">
        <v>2017</v>
      </c>
      <c r="P80" s="2" t="s">
        <v>95</v>
      </c>
      <c r="Q80" s="2" t="s">
        <v>119</v>
      </c>
      <c r="R80" s="2" t="s">
        <v>1563</v>
      </c>
      <c r="S80" s="2" t="s">
        <v>120</v>
      </c>
      <c r="T80" s="2" t="s">
        <v>74</v>
      </c>
      <c r="U80" s="2" t="s">
        <v>1564</v>
      </c>
      <c r="V80" s="2" t="s">
        <v>190</v>
      </c>
      <c r="W80" s="2" t="s">
        <v>499</v>
      </c>
      <c r="X80" s="2" t="s">
        <v>107</v>
      </c>
      <c r="Y80" s="2"/>
      <c r="Z80" s="2" t="s">
        <v>125</v>
      </c>
      <c r="AA80" s="2" t="s">
        <v>126</v>
      </c>
      <c r="AB80" s="2" t="s">
        <v>1565</v>
      </c>
      <c r="AC80" s="2" t="s">
        <v>92</v>
      </c>
      <c r="AD80" s="2" t="s">
        <v>107</v>
      </c>
      <c r="AE80" s="2" t="s">
        <v>107</v>
      </c>
      <c r="AF80" s="2" t="s">
        <v>107</v>
      </c>
      <c r="AG80" s="2" t="s">
        <v>74</v>
      </c>
      <c r="AH80" s="2" t="s">
        <v>107</v>
      </c>
      <c r="AI80" s="2" t="s">
        <v>74</v>
      </c>
      <c r="AJ80" s="2" t="s">
        <v>74</v>
      </c>
      <c r="AK80" s="2" t="s">
        <v>74</v>
      </c>
      <c r="AL80" s="2" t="s">
        <v>74</v>
      </c>
      <c r="AM80" s="2" t="s">
        <v>107</v>
      </c>
      <c r="AN80" s="2" t="s">
        <v>97</v>
      </c>
      <c r="AO80" s="2" t="s">
        <v>107</v>
      </c>
      <c r="AP80" s="2" t="s">
        <v>1566</v>
      </c>
      <c r="AQ80" s="2" t="s">
        <v>107</v>
      </c>
      <c r="AR80" s="2" t="s">
        <v>107</v>
      </c>
      <c r="AS80" s="2" t="s">
        <v>107</v>
      </c>
      <c r="AT80" s="2" t="s">
        <v>107</v>
      </c>
      <c r="AU80" s="2" t="s">
        <v>107</v>
      </c>
      <c r="AV80" s="2"/>
      <c r="AW80" s="2" t="s">
        <v>107</v>
      </c>
      <c r="AX80" s="2" t="s">
        <v>107</v>
      </c>
      <c r="AY80" s="2" t="s">
        <v>107</v>
      </c>
      <c r="AZ80" s="2" t="s">
        <v>107</v>
      </c>
      <c r="BA80" s="2"/>
      <c r="BB80" s="2" t="s">
        <v>107</v>
      </c>
      <c r="BC80" s="2" t="s">
        <v>108</v>
      </c>
      <c r="BD80" s="2" t="s">
        <v>108</v>
      </c>
      <c r="BE80" s="2" t="s">
        <v>74</v>
      </c>
      <c r="BF80" s="2" t="s">
        <v>107</v>
      </c>
      <c r="BG80" s="2"/>
      <c r="BH80" s="2" t="s">
        <v>107</v>
      </c>
      <c r="BI80" s="2" t="s">
        <v>107</v>
      </c>
      <c r="BJ80" s="2"/>
      <c r="BK80" s="2" t="s">
        <v>83</v>
      </c>
      <c r="BL80" s="2"/>
      <c r="BM80" s="2"/>
    </row>
    <row r="81" spans="1:65" ht="12.5">
      <c r="A81" s="22">
        <v>43777.676315034725</v>
      </c>
      <c r="B81" s="2" t="s">
        <v>1075</v>
      </c>
      <c r="C81" s="2" t="s">
        <v>1076</v>
      </c>
      <c r="D81" s="2" t="s">
        <v>1077</v>
      </c>
      <c r="E81" s="2" t="s">
        <v>83</v>
      </c>
      <c r="F81" s="25" t="s">
        <v>1078</v>
      </c>
      <c r="G81" s="2" t="s">
        <v>1081</v>
      </c>
      <c r="H81" s="2" t="s">
        <v>1083</v>
      </c>
      <c r="I81" s="2" t="s">
        <v>328</v>
      </c>
      <c r="J81" s="2" t="s">
        <v>1084</v>
      </c>
      <c r="K81" s="2" t="s">
        <v>608</v>
      </c>
      <c r="L81" s="2" t="s">
        <v>1086</v>
      </c>
      <c r="M81" s="2" t="s">
        <v>418</v>
      </c>
      <c r="N81" s="23">
        <v>2018</v>
      </c>
      <c r="O81" s="2" t="s">
        <v>82</v>
      </c>
      <c r="P81" s="2" t="s">
        <v>74</v>
      </c>
      <c r="Q81" s="2" t="s">
        <v>723</v>
      </c>
      <c r="R81" s="2" t="s">
        <v>966</v>
      </c>
      <c r="S81" s="2" t="s">
        <v>85</v>
      </c>
      <c r="T81" s="2" t="s">
        <v>74</v>
      </c>
      <c r="U81" s="2" t="s">
        <v>1090</v>
      </c>
      <c r="V81" s="2" t="s">
        <v>1091</v>
      </c>
      <c r="W81" s="2" t="s">
        <v>85</v>
      </c>
      <c r="X81" s="2" t="s">
        <v>74</v>
      </c>
      <c r="Y81" s="2" t="s">
        <v>1093</v>
      </c>
      <c r="Z81" s="2" t="s">
        <v>303</v>
      </c>
      <c r="AA81" s="2" t="s">
        <v>1094</v>
      </c>
      <c r="AB81" s="2" t="s">
        <v>127</v>
      </c>
      <c r="AC81" s="2" t="s">
        <v>92</v>
      </c>
      <c r="AD81" s="2" t="s">
        <v>107</v>
      </c>
      <c r="AE81" s="2" t="s">
        <v>107</v>
      </c>
      <c r="AF81" s="2" t="s">
        <v>83</v>
      </c>
      <c r="AG81" s="2" t="s">
        <v>83</v>
      </c>
      <c r="AH81" s="2" t="s">
        <v>284</v>
      </c>
      <c r="AI81" s="2" t="s">
        <v>83</v>
      </c>
      <c r="AJ81" s="2" t="s">
        <v>83</v>
      </c>
      <c r="AK81" s="2" t="s">
        <v>83</v>
      </c>
      <c r="AL81" s="2" t="s">
        <v>83</v>
      </c>
      <c r="AM81" s="2" t="s">
        <v>107</v>
      </c>
      <c r="AN81" s="2" t="s">
        <v>233</v>
      </c>
      <c r="AO81" s="2" t="s">
        <v>233</v>
      </c>
      <c r="AP81" s="2" t="s">
        <v>233</v>
      </c>
      <c r="AQ81" s="2" t="s">
        <v>233</v>
      </c>
      <c r="AR81" s="2" t="s">
        <v>83</v>
      </c>
      <c r="AS81" s="2" t="s">
        <v>107</v>
      </c>
      <c r="AT81" s="2" t="s">
        <v>107</v>
      </c>
      <c r="AU81" s="2" t="s">
        <v>233</v>
      </c>
      <c r="AV81" s="2"/>
      <c r="AW81" s="2" t="s">
        <v>233</v>
      </c>
      <c r="AX81" s="2" t="s">
        <v>104</v>
      </c>
      <c r="AY81" s="2" t="s">
        <v>105</v>
      </c>
      <c r="AZ81" s="24" t="s">
        <v>593</v>
      </c>
      <c r="BA81" s="2"/>
      <c r="BB81" s="2" t="s">
        <v>233</v>
      </c>
      <c r="BC81" s="2" t="s">
        <v>233</v>
      </c>
      <c r="BD81" s="2" t="s">
        <v>233</v>
      </c>
      <c r="BE81" s="2" t="s">
        <v>233</v>
      </c>
      <c r="BF81" s="2" t="s">
        <v>141</v>
      </c>
      <c r="BG81" s="2"/>
      <c r="BH81" s="2" t="s">
        <v>213</v>
      </c>
      <c r="BI81" s="2" t="s">
        <v>173</v>
      </c>
      <c r="BJ81" s="2"/>
      <c r="BK81" s="2" t="s">
        <v>74</v>
      </c>
      <c r="BL81" s="2"/>
      <c r="BM81" s="2"/>
    </row>
    <row r="82" spans="1:65" ht="12.5">
      <c r="A82" s="22">
        <v>43777.768168043985</v>
      </c>
      <c r="B82" s="2" t="s">
        <v>1567</v>
      </c>
      <c r="C82" s="2" t="s">
        <v>1568</v>
      </c>
      <c r="D82" s="2" t="s">
        <v>1569</v>
      </c>
      <c r="E82" s="2" t="s">
        <v>74</v>
      </c>
      <c r="F82" s="25" t="s">
        <v>1968</v>
      </c>
      <c r="G82" s="2" t="s">
        <v>1573</v>
      </c>
      <c r="H82" s="2" t="s">
        <v>1574</v>
      </c>
      <c r="I82" s="2" t="s">
        <v>328</v>
      </c>
      <c r="J82" s="2" t="s">
        <v>1575</v>
      </c>
      <c r="K82" s="2" t="s">
        <v>608</v>
      </c>
      <c r="L82" s="2" t="s">
        <v>1576</v>
      </c>
      <c r="M82" s="2" t="s">
        <v>1375</v>
      </c>
      <c r="N82" s="23">
        <v>2019</v>
      </c>
      <c r="O82" s="2" t="s">
        <v>82</v>
      </c>
      <c r="P82" s="2" t="s">
        <v>74</v>
      </c>
      <c r="Q82" s="2" t="s">
        <v>256</v>
      </c>
      <c r="R82" s="2" t="s">
        <v>1577</v>
      </c>
      <c r="S82" s="2" t="s">
        <v>1578</v>
      </c>
      <c r="T82" s="2" t="s">
        <v>74</v>
      </c>
      <c r="U82" s="2" t="s">
        <v>1580</v>
      </c>
      <c r="V82" s="2" t="s">
        <v>1581</v>
      </c>
      <c r="W82" s="2" t="s">
        <v>261</v>
      </c>
      <c r="X82" s="2" t="s">
        <v>74</v>
      </c>
      <c r="Y82" s="2" t="s">
        <v>1582</v>
      </c>
      <c r="Z82" s="2" t="s">
        <v>303</v>
      </c>
      <c r="AA82" s="2" t="s">
        <v>107</v>
      </c>
      <c r="AB82" s="2" t="s">
        <v>797</v>
      </c>
      <c r="AC82" s="2" t="s">
        <v>548</v>
      </c>
      <c r="AD82" s="2" t="s">
        <v>284</v>
      </c>
      <c r="AE82" s="2" t="s">
        <v>94</v>
      </c>
      <c r="AF82" s="2" t="s">
        <v>74</v>
      </c>
      <c r="AG82" s="2" t="s">
        <v>74</v>
      </c>
      <c r="AH82" s="2" t="s">
        <v>265</v>
      </c>
      <c r="AI82" s="2" t="s">
        <v>74</v>
      </c>
      <c r="AJ82" s="2" t="s">
        <v>74</v>
      </c>
      <c r="AK82" s="2" t="s">
        <v>74</v>
      </c>
      <c r="AL82" s="2" t="s">
        <v>74</v>
      </c>
      <c r="AM82" s="2" t="s">
        <v>74</v>
      </c>
      <c r="AN82" s="2" t="s">
        <v>412</v>
      </c>
      <c r="AO82" s="2" t="s">
        <v>130</v>
      </c>
      <c r="AP82" s="2" t="s">
        <v>725</v>
      </c>
      <c r="AQ82" s="2" t="s">
        <v>233</v>
      </c>
      <c r="AR82" s="2" t="s">
        <v>107</v>
      </c>
      <c r="AS82" s="2" t="s">
        <v>107</v>
      </c>
      <c r="AT82" s="2" t="s">
        <v>107</v>
      </c>
      <c r="AU82" s="2" t="s">
        <v>1583</v>
      </c>
      <c r="AV82" s="2"/>
      <c r="AW82" s="2" t="s">
        <v>107</v>
      </c>
      <c r="AX82" s="2" t="s">
        <v>761</v>
      </c>
      <c r="AY82" s="2" t="s">
        <v>105</v>
      </c>
      <c r="AZ82" s="2" t="s">
        <v>1584</v>
      </c>
      <c r="BA82" s="2" t="s">
        <v>1585</v>
      </c>
      <c r="BB82" s="2" t="s">
        <v>107</v>
      </c>
      <c r="BC82" s="2" t="s">
        <v>108</v>
      </c>
      <c r="BD82" s="2" t="s">
        <v>108</v>
      </c>
      <c r="BE82" s="2" t="s">
        <v>107</v>
      </c>
      <c r="BF82" s="2" t="s">
        <v>107</v>
      </c>
      <c r="BG82" s="2"/>
      <c r="BH82" s="2" t="s">
        <v>107</v>
      </c>
      <c r="BI82" s="2" t="s">
        <v>107</v>
      </c>
      <c r="BJ82" s="2"/>
      <c r="BK82" s="2" t="s">
        <v>74</v>
      </c>
      <c r="BL82" s="24" t="s">
        <v>1586</v>
      </c>
      <c r="BM82" s="24"/>
    </row>
    <row r="83" spans="1:65" ht="12.5">
      <c r="A83" s="22">
        <v>43777.785705243055</v>
      </c>
      <c r="B83" s="2" t="s">
        <v>1587</v>
      </c>
      <c r="C83" s="2" t="s">
        <v>1588</v>
      </c>
      <c r="D83" s="2" t="s">
        <v>1589</v>
      </c>
      <c r="E83" s="2" t="s">
        <v>74</v>
      </c>
      <c r="F83" s="25" t="s">
        <v>1590</v>
      </c>
      <c r="G83" s="2" t="s">
        <v>1591</v>
      </c>
      <c r="H83" s="2" t="s">
        <v>1592</v>
      </c>
      <c r="I83" s="2" t="s">
        <v>152</v>
      </c>
      <c r="J83" s="2" t="s">
        <v>278</v>
      </c>
      <c r="K83" s="2" t="s">
        <v>936</v>
      </c>
      <c r="L83" s="2" t="s">
        <v>1593</v>
      </c>
      <c r="M83" s="2" t="s">
        <v>118</v>
      </c>
      <c r="N83" s="23">
        <v>2012</v>
      </c>
      <c r="O83" s="2" t="s">
        <v>82</v>
      </c>
      <c r="P83" s="2" t="s">
        <v>83</v>
      </c>
      <c r="Q83" s="2"/>
      <c r="R83" s="2" t="s">
        <v>1594</v>
      </c>
      <c r="S83" s="2" t="s">
        <v>1595</v>
      </c>
      <c r="T83" s="2" t="s">
        <v>74</v>
      </c>
      <c r="U83" s="2" t="s">
        <v>614</v>
      </c>
      <c r="V83" s="2" t="s">
        <v>387</v>
      </c>
      <c r="W83" s="2" t="s">
        <v>161</v>
      </c>
      <c r="X83" s="2" t="s">
        <v>74</v>
      </c>
      <c r="Y83" s="2"/>
      <c r="Z83" s="2" t="s">
        <v>303</v>
      </c>
      <c r="AA83" s="2" t="s">
        <v>126</v>
      </c>
      <c r="AB83" s="2" t="s">
        <v>1596</v>
      </c>
      <c r="AC83" s="2" t="s">
        <v>227</v>
      </c>
      <c r="AD83" s="2" t="s">
        <v>93</v>
      </c>
      <c r="AE83" s="2" t="s">
        <v>264</v>
      </c>
      <c r="AF83" s="2" t="s">
        <v>74</v>
      </c>
      <c r="AG83" s="2" t="s">
        <v>74</v>
      </c>
      <c r="AH83" s="2" t="s">
        <v>550</v>
      </c>
      <c r="AI83" s="2" t="s">
        <v>83</v>
      </c>
      <c r="AJ83" s="2" t="s">
        <v>74</v>
      </c>
      <c r="AK83" s="2" t="s">
        <v>74</v>
      </c>
      <c r="AL83" s="2" t="s">
        <v>74</v>
      </c>
      <c r="AM83" s="2" t="s">
        <v>74</v>
      </c>
      <c r="AN83" s="2" t="s">
        <v>97</v>
      </c>
      <c r="AO83" s="2" t="s">
        <v>464</v>
      </c>
      <c r="AP83" s="2" t="s">
        <v>1597</v>
      </c>
      <c r="AQ83" s="2" t="s">
        <v>166</v>
      </c>
      <c r="AR83" s="2" t="s">
        <v>83</v>
      </c>
      <c r="AS83" s="2" t="s">
        <v>101</v>
      </c>
      <c r="AT83" s="2" t="s">
        <v>107</v>
      </c>
      <c r="AU83" s="2" t="s">
        <v>83</v>
      </c>
      <c r="AV83" s="2"/>
      <c r="AW83" s="2" t="s">
        <v>233</v>
      </c>
      <c r="AX83" s="2" t="s">
        <v>1598</v>
      </c>
      <c r="AY83" s="2" t="s">
        <v>288</v>
      </c>
      <c r="AZ83" s="2" t="s">
        <v>313</v>
      </c>
      <c r="BA83" s="2"/>
      <c r="BB83" s="2" t="s">
        <v>233</v>
      </c>
      <c r="BC83" s="2" t="s">
        <v>172</v>
      </c>
      <c r="BD83" s="2" t="s">
        <v>171</v>
      </c>
      <c r="BE83" s="2" t="s">
        <v>74</v>
      </c>
      <c r="BF83" s="2" t="s">
        <v>141</v>
      </c>
      <c r="BG83" s="2"/>
      <c r="BH83" s="2" t="s">
        <v>213</v>
      </c>
      <c r="BI83" s="2" t="s">
        <v>173</v>
      </c>
      <c r="BJ83" s="2"/>
      <c r="BK83" s="2" t="s">
        <v>74</v>
      </c>
      <c r="BL83" s="2"/>
      <c r="BM83" s="2"/>
    </row>
    <row r="84" spans="1:65" ht="12.5">
      <c r="A84" s="22">
        <v>43777.854557002313</v>
      </c>
      <c r="B84" s="2" t="s">
        <v>1104</v>
      </c>
      <c r="C84" s="2" t="s">
        <v>1105</v>
      </c>
      <c r="D84" s="2" t="s">
        <v>1106</v>
      </c>
      <c r="E84" s="2" t="s">
        <v>83</v>
      </c>
      <c r="F84" s="25" t="s">
        <v>1107</v>
      </c>
      <c r="G84" s="2" t="s">
        <v>1110</v>
      </c>
      <c r="H84" s="2" t="s">
        <v>1111</v>
      </c>
      <c r="I84" s="2" t="s">
        <v>152</v>
      </c>
      <c r="J84" s="2" t="s">
        <v>685</v>
      </c>
      <c r="K84" s="2" t="s">
        <v>915</v>
      </c>
      <c r="L84" s="2" t="s">
        <v>1112</v>
      </c>
      <c r="M84" s="2" t="s">
        <v>418</v>
      </c>
      <c r="N84" s="23">
        <v>2015</v>
      </c>
      <c r="O84" s="23">
        <v>2015</v>
      </c>
      <c r="P84" s="2" t="s">
        <v>74</v>
      </c>
      <c r="Q84" s="2" t="s">
        <v>119</v>
      </c>
      <c r="R84" s="2" t="s">
        <v>885</v>
      </c>
      <c r="S84" s="2" t="s">
        <v>120</v>
      </c>
      <c r="T84" s="2" t="s">
        <v>158</v>
      </c>
      <c r="U84" s="2" t="s">
        <v>582</v>
      </c>
      <c r="V84" s="2" t="s">
        <v>190</v>
      </c>
      <c r="W84" s="2" t="s">
        <v>499</v>
      </c>
      <c r="X84" s="2" t="s">
        <v>107</v>
      </c>
      <c r="Y84" s="2"/>
      <c r="Z84" s="2" t="s">
        <v>125</v>
      </c>
      <c r="AA84" s="2" t="s">
        <v>90</v>
      </c>
      <c r="AB84" s="2" t="s">
        <v>107</v>
      </c>
      <c r="AC84" s="2" t="s">
        <v>107</v>
      </c>
      <c r="AD84" s="2" t="s">
        <v>353</v>
      </c>
      <c r="AE84" s="2" t="s">
        <v>264</v>
      </c>
      <c r="AF84" s="2" t="s">
        <v>74</v>
      </c>
      <c r="AG84" s="2" t="s">
        <v>74</v>
      </c>
      <c r="AH84" s="2" t="s">
        <v>107</v>
      </c>
      <c r="AI84" s="2" t="s">
        <v>74</v>
      </c>
      <c r="AJ84" s="2" t="s">
        <v>74</v>
      </c>
      <c r="AK84" s="2" t="s">
        <v>74</v>
      </c>
      <c r="AL84" s="2" t="s">
        <v>74</v>
      </c>
      <c r="AM84" s="2" t="s">
        <v>74</v>
      </c>
      <c r="AN84" s="2" t="s">
        <v>358</v>
      </c>
      <c r="AO84" s="2" t="s">
        <v>130</v>
      </c>
      <c r="AP84" s="2" t="s">
        <v>725</v>
      </c>
      <c r="AQ84" s="2" t="s">
        <v>631</v>
      </c>
      <c r="AR84" s="2" t="s">
        <v>107</v>
      </c>
      <c r="AS84" s="2" t="s">
        <v>107</v>
      </c>
      <c r="AT84" s="2" t="s">
        <v>107</v>
      </c>
      <c r="AU84" s="2" t="s">
        <v>107</v>
      </c>
      <c r="AV84" s="2"/>
      <c r="AW84" s="2" t="s">
        <v>103</v>
      </c>
      <c r="AX84" s="2" t="s">
        <v>368</v>
      </c>
      <c r="AY84" s="2" t="s">
        <v>105</v>
      </c>
      <c r="AZ84" s="2" t="s">
        <v>1137</v>
      </c>
      <c r="BA84" s="2" t="s">
        <v>1138</v>
      </c>
      <c r="BB84" s="2" t="s">
        <v>233</v>
      </c>
      <c r="BC84" s="2" t="s">
        <v>108</v>
      </c>
      <c r="BD84" s="2" t="s">
        <v>108</v>
      </c>
      <c r="BE84" s="2" t="s">
        <v>107</v>
      </c>
      <c r="BF84" s="2" t="s">
        <v>141</v>
      </c>
      <c r="BG84" s="25" t="s">
        <v>1142</v>
      </c>
      <c r="BH84" s="2" t="s">
        <v>213</v>
      </c>
      <c r="BI84" s="2" t="s">
        <v>107</v>
      </c>
      <c r="BJ84" s="2"/>
      <c r="BK84" s="2" t="s">
        <v>74</v>
      </c>
      <c r="BL84" s="2"/>
      <c r="BM84" s="2"/>
    </row>
    <row r="85" spans="1:65" ht="12.5">
      <c r="A85" s="22">
        <v>43780.406937673615</v>
      </c>
      <c r="B85" s="2" t="s">
        <v>219</v>
      </c>
      <c r="C85" s="2" t="s">
        <v>1600</v>
      </c>
      <c r="D85" s="2" t="s">
        <v>1601</v>
      </c>
      <c r="E85" s="2" t="s">
        <v>74</v>
      </c>
      <c r="F85" s="25" t="s">
        <v>1602</v>
      </c>
      <c r="G85" s="2" t="s">
        <v>1603</v>
      </c>
      <c r="H85" s="2" t="s">
        <v>2017</v>
      </c>
      <c r="I85" s="2" t="s">
        <v>152</v>
      </c>
      <c r="J85" s="2" t="s">
        <v>199</v>
      </c>
      <c r="K85" s="2" t="s">
        <v>200</v>
      </c>
      <c r="L85" s="2" t="s">
        <v>1605</v>
      </c>
      <c r="M85" s="2" t="s">
        <v>1606</v>
      </c>
      <c r="N85" s="23">
        <v>2017</v>
      </c>
      <c r="O85" s="2" t="s">
        <v>82</v>
      </c>
      <c r="P85" s="2" t="s">
        <v>95</v>
      </c>
      <c r="Q85" s="2" t="s">
        <v>282</v>
      </c>
      <c r="R85" s="2" t="s">
        <v>84</v>
      </c>
      <c r="S85" s="2" t="s">
        <v>120</v>
      </c>
      <c r="T85" s="2" t="s">
        <v>74</v>
      </c>
      <c r="U85" s="2" t="s">
        <v>674</v>
      </c>
      <c r="V85" s="2" t="s">
        <v>1607</v>
      </c>
      <c r="W85" s="2" t="s">
        <v>123</v>
      </c>
      <c r="X85" s="2" t="s">
        <v>74</v>
      </c>
      <c r="Y85" s="2" t="s">
        <v>1608</v>
      </c>
      <c r="Z85" s="2" t="s">
        <v>125</v>
      </c>
      <c r="AA85" s="2" t="s">
        <v>90</v>
      </c>
      <c r="AB85" s="2" t="s">
        <v>1609</v>
      </c>
      <c r="AC85" s="2" t="s">
        <v>162</v>
      </c>
      <c r="AD85" s="2" t="s">
        <v>93</v>
      </c>
      <c r="AE85" s="2" t="s">
        <v>1610</v>
      </c>
      <c r="AF85" s="2" t="s">
        <v>74</v>
      </c>
      <c r="AG85" s="2" t="s">
        <v>74</v>
      </c>
      <c r="AH85" s="2" t="s">
        <v>1611</v>
      </c>
      <c r="AI85" s="2" t="s">
        <v>208</v>
      </c>
      <c r="AJ85" s="2" t="s">
        <v>95</v>
      </c>
      <c r="AK85" s="2" t="s">
        <v>74</v>
      </c>
      <c r="AL85" s="2" t="s">
        <v>74</v>
      </c>
      <c r="AM85" s="2" t="s">
        <v>95</v>
      </c>
      <c r="AN85" s="2" t="s">
        <v>97</v>
      </c>
      <c r="AO85" s="2" t="s">
        <v>130</v>
      </c>
      <c r="AP85" s="2" t="s">
        <v>131</v>
      </c>
      <c r="AQ85" s="2" t="s">
        <v>166</v>
      </c>
      <c r="AR85" s="2" t="s">
        <v>107</v>
      </c>
      <c r="AS85" s="2" t="s">
        <v>1612</v>
      </c>
      <c r="AT85" s="2" t="s">
        <v>107</v>
      </c>
      <c r="AU85" s="2" t="s">
        <v>233</v>
      </c>
      <c r="AV85" s="2"/>
      <c r="AW85" s="2" t="s">
        <v>233</v>
      </c>
      <c r="AX85" s="2" t="s">
        <v>522</v>
      </c>
      <c r="AY85" s="2" t="s">
        <v>168</v>
      </c>
      <c r="AZ85" s="2" t="s">
        <v>168</v>
      </c>
      <c r="BA85" s="2"/>
      <c r="BB85" s="2" t="s">
        <v>233</v>
      </c>
      <c r="BC85" s="2" t="s">
        <v>172</v>
      </c>
      <c r="BD85" s="2" t="s">
        <v>233</v>
      </c>
      <c r="BE85" s="2" t="s">
        <v>233</v>
      </c>
      <c r="BF85" s="2" t="s">
        <v>107</v>
      </c>
      <c r="BG85" s="2"/>
      <c r="BH85" s="2" t="s">
        <v>107</v>
      </c>
      <c r="BI85" s="2" t="s">
        <v>107</v>
      </c>
      <c r="BJ85" s="2"/>
      <c r="BK85" s="2" t="s">
        <v>74</v>
      </c>
      <c r="BL85" s="24" t="s">
        <v>2022</v>
      </c>
      <c r="BM85" s="24"/>
    </row>
    <row r="86" spans="1:65" ht="12.5">
      <c r="A86" s="22">
        <v>43782.48224268519</v>
      </c>
      <c r="B86" s="2" t="s">
        <v>1615</v>
      </c>
      <c r="C86" s="2" t="s">
        <v>1616</v>
      </c>
      <c r="D86" s="2" t="s">
        <v>1617</v>
      </c>
      <c r="E86" s="2" t="s">
        <v>74</v>
      </c>
      <c r="F86" s="2" t="s">
        <v>867</v>
      </c>
      <c r="G86" s="2" t="s">
        <v>1615</v>
      </c>
      <c r="H86" s="2" t="s">
        <v>2024</v>
      </c>
      <c r="I86" s="2" t="s">
        <v>114</v>
      </c>
      <c r="J86" s="2" t="s">
        <v>199</v>
      </c>
      <c r="K86" s="2" t="s">
        <v>1619</v>
      </c>
      <c r="L86" s="2" t="s">
        <v>1620</v>
      </c>
      <c r="M86" s="2" t="s">
        <v>81</v>
      </c>
      <c r="N86" s="23">
        <v>2018</v>
      </c>
      <c r="O86" s="23">
        <v>2019</v>
      </c>
      <c r="P86" s="2" t="s">
        <v>83</v>
      </c>
      <c r="Q86" s="2"/>
      <c r="R86" s="2" t="s">
        <v>790</v>
      </c>
      <c r="S86" s="2" t="s">
        <v>734</v>
      </c>
      <c r="T86" s="2" t="s">
        <v>74</v>
      </c>
      <c r="U86" s="2" t="s">
        <v>1621</v>
      </c>
      <c r="V86" s="2" t="s">
        <v>1622</v>
      </c>
      <c r="W86" s="2" t="s">
        <v>366</v>
      </c>
      <c r="X86" s="2" t="s">
        <v>107</v>
      </c>
      <c r="Y86" s="2"/>
      <c r="Z86" s="2" t="s">
        <v>303</v>
      </c>
      <c r="AA86" s="2" t="s">
        <v>90</v>
      </c>
      <c r="AB86" s="2" t="s">
        <v>1623</v>
      </c>
      <c r="AC86" s="2" t="s">
        <v>284</v>
      </c>
      <c r="AD86" s="2" t="s">
        <v>93</v>
      </c>
      <c r="AE86" s="2" t="s">
        <v>264</v>
      </c>
      <c r="AF86" s="2" t="s">
        <v>74</v>
      </c>
      <c r="AG86" s="2" t="s">
        <v>74</v>
      </c>
      <c r="AH86" s="2" t="s">
        <v>96</v>
      </c>
      <c r="AI86" s="2" t="s">
        <v>233</v>
      </c>
      <c r="AJ86" s="2" t="s">
        <v>74</v>
      </c>
      <c r="AK86" s="2" t="s">
        <v>74</v>
      </c>
      <c r="AL86" s="2" t="s">
        <v>74</v>
      </c>
      <c r="AM86" s="2" t="s">
        <v>74</v>
      </c>
      <c r="AN86" s="2" t="s">
        <v>97</v>
      </c>
      <c r="AO86" s="2" t="s">
        <v>233</v>
      </c>
      <c r="AP86" s="2" t="s">
        <v>945</v>
      </c>
      <c r="AQ86" s="2" t="s">
        <v>233</v>
      </c>
      <c r="AR86" s="2" t="s">
        <v>74</v>
      </c>
      <c r="AS86" s="2" t="s">
        <v>101</v>
      </c>
      <c r="AT86" s="2" t="s">
        <v>233</v>
      </c>
      <c r="AU86" s="2" t="s">
        <v>233</v>
      </c>
      <c r="AV86" s="2"/>
      <c r="AW86" s="2" t="s">
        <v>233</v>
      </c>
      <c r="AX86" s="2" t="s">
        <v>167</v>
      </c>
      <c r="AY86" s="2" t="s">
        <v>168</v>
      </c>
      <c r="AZ86" s="2" t="s">
        <v>313</v>
      </c>
      <c r="BA86" s="2" t="s">
        <v>1624</v>
      </c>
      <c r="BB86" s="2" t="s">
        <v>233</v>
      </c>
      <c r="BC86" s="2" t="s">
        <v>233</v>
      </c>
      <c r="BD86" s="2" t="s">
        <v>233</v>
      </c>
      <c r="BE86" s="2" t="s">
        <v>233</v>
      </c>
      <c r="BF86" s="2" t="s">
        <v>141</v>
      </c>
      <c r="BG86" s="2"/>
      <c r="BH86" s="2" t="s">
        <v>1625</v>
      </c>
      <c r="BI86" s="2" t="s">
        <v>282</v>
      </c>
      <c r="BJ86" s="2"/>
      <c r="BK86" s="2" t="s">
        <v>74</v>
      </c>
      <c r="BL86" s="24" t="s">
        <v>1626</v>
      </c>
      <c r="BM86" s="24"/>
    </row>
    <row r="87" spans="1:65" ht="12.5">
      <c r="A87" s="22">
        <v>43783.880534942131</v>
      </c>
      <c r="B87" s="2" t="s">
        <v>1627</v>
      </c>
      <c r="C87" s="2" t="s">
        <v>1628</v>
      </c>
      <c r="D87" s="2" t="s">
        <v>1629</v>
      </c>
      <c r="E87" s="2" t="s">
        <v>74</v>
      </c>
      <c r="F87" s="25" t="s">
        <v>2029</v>
      </c>
      <c r="G87" s="2" t="s">
        <v>1631</v>
      </c>
      <c r="H87" s="2" t="s">
        <v>1632</v>
      </c>
      <c r="I87" s="2" t="s">
        <v>152</v>
      </c>
      <c r="J87" s="2" t="s">
        <v>78</v>
      </c>
      <c r="K87" s="2" t="s">
        <v>79</v>
      </c>
      <c r="L87" s="2" t="s">
        <v>1633</v>
      </c>
      <c r="M87" s="2" t="s">
        <v>1634</v>
      </c>
      <c r="N87" s="23">
        <v>2019</v>
      </c>
      <c r="O87" s="2" t="s">
        <v>82</v>
      </c>
      <c r="P87" s="2" t="s">
        <v>74</v>
      </c>
      <c r="Q87" s="2" t="s">
        <v>515</v>
      </c>
      <c r="R87" s="2" t="s">
        <v>360</v>
      </c>
      <c r="S87" s="2" t="s">
        <v>1635</v>
      </c>
      <c r="T87" s="2" t="s">
        <v>74</v>
      </c>
      <c r="U87" s="2" t="s">
        <v>1284</v>
      </c>
      <c r="V87" s="2" t="s">
        <v>1636</v>
      </c>
      <c r="W87" s="2" t="s">
        <v>1637</v>
      </c>
      <c r="X87" s="2" t="s">
        <v>83</v>
      </c>
      <c r="Y87" s="2"/>
      <c r="Z87" s="2" t="s">
        <v>89</v>
      </c>
      <c r="AA87" s="2" t="s">
        <v>126</v>
      </c>
      <c r="AB87" s="2" t="s">
        <v>1638</v>
      </c>
      <c r="AC87" s="2" t="s">
        <v>92</v>
      </c>
      <c r="AD87" s="2" t="s">
        <v>93</v>
      </c>
      <c r="AE87" s="2" t="s">
        <v>163</v>
      </c>
      <c r="AF87" s="2" t="s">
        <v>74</v>
      </c>
      <c r="AG87" s="2" t="s">
        <v>74</v>
      </c>
      <c r="AH87" s="2" t="s">
        <v>164</v>
      </c>
      <c r="AI87" s="2" t="s">
        <v>74</v>
      </c>
      <c r="AJ87" s="2" t="s">
        <v>74</v>
      </c>
      <c r="AK87" s="2" t="s">
        <v>74</v>
      </c>
      <c r="AL87" s="2" t="s">
        <v>74</v>
      </c>
      <c r="AM87" s="2" t="s">
        <v>74</v>
      </c>
      <c r="AN87" s="2" t="s">
        <v>97</v>
      </c>
      <c r="AO87" s="2" t="s">
        <v>464</v>
      </c>
      <c r="AP87" s="2" t="s">
        <v>1639</v>
      </c>
      <c r="AQ87" s="2" t="s">
        <v>166</v>
      </c>
      <c r="AR87" s="2" t="s">
        <v>74</v>
      </c>
      <c r="AS87" s="2" t="s">
        <v>101</v>
      </c>
      <c r="AT87" s="2" t="s">
        <v>394</v>
      </c>
      <c r="AU87" s="2" t="s">
        <v>83</v>
      </c>
      <c r="AV87" s="2"/>
      <c r="AW87" s="2" t="s">
        <v>233</v>
      </c>
      <c r="AX87" s="2" t="s">
        <v>104</v>
      </c>
      <c r="AY87" s="2" t="s">
        <v>288</v>
      </c>
      <c r="AZ87" s="2" t="s">
        <v>313</v>
      </c>
      <c r="BA87" s="2"/>
      <c r="BB87" s="2" t="s">
        <v>138</v>
      </c>
      <c r="BC87" s="2" t="s">
        <v>140</v>
      </c>
      <c r="BD87" s="2" t="s">
        <v>139</v>
      </c>
      <c r="BE87" s="2" t="s">
        <v>74</v>
      </c>
      <c r="BF87" s="2" t="s">
        <v>270</v>
      </c>
      <c r="BG87" s="2"/>
      <c r="BH87" s="2" t="s">
        <v>143</v>
      </c>
      <c r="BI87" s="2" t="s">
        <v>282</v>
      </c>
      <c r="BJ87" s="2"/>
      <c r="BK87" s="2" t="s">
        <v>74</v>
      </c>
      <c r="BL87" s="2"/>
      <c r="BM87" s="2"/>
    </row>
    <row r="88" spans="1:65" ht="12.5">
      <c r="A88" s="22">
        <v>43802.466417881944</v>
      </c>
      <c r="B88" s="2" t="s">
        <v>1146</v>
      </c>
      <c r="C88" s="2" t="s">
        <v>1147</v>
      </c>
      <c r="D88" s="2" t="s">
        <v>1148</v>
      </c>
      <c r="E88" s="2" t="s">
        <v>83</v>
      </c>
      <c r="F88" s="25" t="s">
        <v>1150</v>
      </c>
      <c r="G88" s="2" t="s">
        <v>1155</v>
      </c>
      <c r="H88" s="2" t="s">
        <v>1156</v>
      </c>
      <c r="I88" s="2" t="s">
        <v>1157</v>
      </c>
      <c r="J88" s="2" t="s">
        <v>701</v>
      </c>
      <c r="K88" s="2" t="s">
        <v>1158</v>
      </c>
      <c r="L88" s="2" t="s">
        <v>284</v>
      </c>
      <c r="M88" s="2" t="s">
        <v>233</v>
      </c>
      <c r="N88" s="23">
        <v>2017</v>
      </c>
      <c r="O88" s="2" t="s">
        <v>82</v>
      </c>
      <c r="P88" s="2" t="s">
        <v>95</v>
      </c>
      <c r="Q88" s="2" t="s">
        <v>256</v>
      </c>
      <c r="R88" s="2" t="s">
        <v>84</v>
      </c>
      <c r="S88" s="2" t="s">
        <v>85</v>
      </c>
      <c r="T88" s="2" t="s">
        <v>95</v>
      </c>
      <c r="U88" s="2" t="s">
        <v>224</v>
      </c>
      <c r="V88" s="2" t="s">
        <v>491</v>
      </c>
      <c r="W88" s="2" t="s">
        <v>85</v>
      </c>
      <c r="X88" s="2" t="s">
        <v>83</v>
      </c>
      <c r="Y88" s="2"/>
      <c r="Z88" s="2" t="s">
        <v>125</v>
      </c>
      <c r="AA88" s="2" t="s">
        <v>126</v>
      </c>
      <c r="AB88" s="2" t="s">
        <v>931</v>
      </c>
      <c r="AC88" s="2" t="s">
        <v>305</v>
      </c>
      <c r="AD88" s="2" t="s">
        <v>284</v>
      </c>
      <c r="AE88" s="2" t="s">
        <v>94</v>
      </c>
      <c r="AF88" s="2" t="s">
        <v>83</v>
      </c>
      <c r="AG88" s="2" t="s">
        <v>74</v>
      </c>
      <c r="AH88" s="2" t="s">
        <v>164</v>
      </c>
      <c r="AI88" s="2" t="s">
        <v>74</v>
      </c>
      <c r="AJ88" s="2" t="s">
        <v>83</v>
      </c>
      <c r="AK88" s="2" t="s">
        <v>74</v>
      </c>
      <c r="AL88" s="2" t="s">
        <v>74</v>
      </c>
      <c r="AM88" s="2" t="s">
        <v>74</v>
      </c>
      <c r="AN88" s="2" t="s">
        <v>97</v>
      </c>
      <c r="AO88" s="2" t="s">
        <v>464</v>
      </c>
      <c r="AP88" s="2" t="s">
        <v>165</v>
      </c>
      <c r="AQ88" s="2" t="s">
        <v>1162</v>
      </c>
      <c r="AR88" s="2" t="s">
        <v>74</v>
      </c>
      <c r="AS88" s="2" t="s">
        <v>977</v>
      </c>
      <c r="AT88" s="2" t="s">
        <v>1163</v>
      </c>
      <c r="AU88" s="2" t="s">
        <v>83</v>
      </c>
      <c r="AV88" s="2"/>
      <c r="AW88" s="2" t="s">
        <v>1164</v>
      </c>
      <c r="AX88" s="2" t="s">
        <v>167</v>
      </c>
      <c r="AY88" s="2" t="s">
        <v>233</v>
      </c>
      <c r="AZ88" s="2" t="s">
        <v>233</v>
      </c>
      <c r="BA88" s="2" t="s">
        <v>233</v>
      </c>
      <c r="BB88" s="2" t="s">
        <v>233</v>
      </c>
      <c r="BC88" s="2" t="s">
        <v>139</v>
      </c>
      <c r="BD88" s="2" t="s">
        <v>140</v>
      </c>
      <c r="BE88" s="2" t="s">
        <v>83</v>
      </c>
      <c r="BF88" s="23">
        <v>0</v>
      </c>
      <c r="BG88" s="2"/>
      <c r="BH88" s="2" t="s">
        <v>233</v>
      </c>
      <c r="BI88" s="2" t="s">
        <v>233</v>
      </c>
      <c r="BJ88" s="2"/>
      <c r="BK88" s="2" t="s">
        <v>74</v>
      </c>
      <c r="BL88" s="2"/>
      <c r="BM88" s="2"/>
    </row>
    <row r="89" spans="1:65" ht="12.5">
      <c r="A89" s="22">
        <v>43802.475653506946</v>
      </c>
      <c r="B89" s="2" t="s">
        <v>1641</v>
      </c>
      <c r="C89" s="2" t="s">
        <v>1642</v>
      </c>
      <c r="D89" s="2" t="s">
        <v>1643</v>
      </c>
      <c r="E89" s="2" t="s">
        <v>74</v>
      </c>
      <c r="F89" s="25" t="s">
        <v>1644</v>
      </c>
      <c r="G89" s="2" t="s">
        <v>1641</v>
      </c>
      <c r="H89" s="2" t="s">
        <v>1645</v>
      </c>
      <c r="I89" s="2" t="s">
        <v>1646</v>
      </c>
      <c r="J89" s="2" t="s">
        <v>694</v>
      </c>
      <c r="K89" s="2" t="s">
        <v>608</v>
      </c>
      <c r="L89" s="2" t="s">
        <v>1647</v>
      </c>
      <c r="M89" s="2" t="s">
        <v>81</v>
      </c>
      <c r="N89" s="23">
        <v>2016</v>
      </c>
      <c r="O89" s="2" t="s">
        <v>82</v>
      </c>
      <c r="P89" s="2" t="s">
        <v>95</v>
      </c>
      <c r="Q89" s="2" t="s">
        <v>1648</v>
      </c>
      <c r="R89" s="2" t="s">
        <v>966</v>
      </c>
      <c r="S89" s="2" t="s">
        <v>1649</v>
      </c>
      <c r="T89" s="2" t="s">
        <v>74</v>
      </c>
      <c r="U89" s="2" t="s">
        <v>1650</v>
      </c>
      <c r="V89" s="2" t="s">
        <v>1651</v>
      </c>
      <c r="W89" s="2" t="s">
        <v>161</v>
      </c>
      <c r="X89" s="2" t="s">
        <v>107</v>
      </c>
      <c r="Y89" s="2"/>
      <c r="Z89" s="2" t="s">
        <v>303</v>
      </c>
      <c r="AA89" s="2" t="s">
        <v>126</v>
      </c>
      <c r="AB89" s="2" t="s">
        <v>409</v>
      </c>
      <c r="AC89" s="2" t="s">
        <v>92</v>
      </c>
      <c r="AD89" s="2" t="s">
        <v>284</v>
      </c>
      <c r="AE89" s="2" t="s">
        <v>94</v>
      </c>
      <c r="AF89" s="2" t="s">
        <v>74</v>
      </c>
      <c r="AG89" s="2" t="s">
        <v>74</v>
      </c>
      <c r="AH89" s="2" t="s">
        <v>164</v>
      </c>
      <c r="AI89" s="2" t="s">
        <v>83</v>
      </c>
      <c r="AJ89" s="2" t="s">
        <v>74</v>
      </c>
      <c r="AK89" s="2" t="s">
        <v>74</v>
      </c>
      <c r="AL89" s="2" t="s">
        <v>74</v>
      </c>
      <c r="AM89" s="2" t="s">
        <v>74</v>
      </c>
      <c r="AN89" s="2" t="s">
        <v>97</v>
      </c>
      <c r="AO89" s="2" t="s">
        <v>1652</v>
      </c>
      <c r="AP89" s="2" t="s">
        <v>725</v>
      </c>
      <c r="AQ89" s="2" t="s">
        <v>166</v>
      </c>
      <c r="AR89" s="2" t="s">
        <v>83</v>
      </c>
      <c r="AS89" s="2" t="s">
        <v>101</v>
      </c>
      <c r="AT89" s="2" t="s">
        <v>107</v>
      </c>
      <c r="AU89" s="2" t="s">
        <v>83</v>
      </c>
      <c r="AV89" s="2"/>
      <c r="AW89" s="2" t="s">
        <v>233</v>
      </c>
      <c r="AX89" s="2" t="s">
        <v>1653</v>
      </c>
      <c r="AY89" s="2" t="s">
        <v>399</v>
      </c>
      <c r="AZ89" s="2" t="s">
        <v>136</v>
      </c>
      <c r="BA89" s="2"/>
      <c r="BB89" s="2" t="s">
        <v>233</v>
      </c>
      <c r="BC89" s="2" t="s">
        <v>171</v>
      </c>
      <c r="BD89" s="2" t="s">
        <v>171</v>
      </c>
      <c r="BE89" s="2" t="s">
        <v>74</v>
      </c>
      <c r="BF89" s="23">
        <v>0</v>
      </c>
      <c r="BG89" s="2"/>
      <c r="BH89" s="2" t="s">
        <v>233</v>
      </c>
      <c r="BI89" s="2" t="s">
        <v>233</v>
      </c>
      <c r="BJ89" s="2"/>
      <c r="BK89" s="2" t="s">
        <v>74</v>
      </c>
      <c r="BL89" s="2"/>
      <c r="BM89" s="2"/>
    </row>
    <row r="90" spans="1:65" ht="12.5">
      <c r="A90" s="22">
        <v>43803.522802013889</v>
      </c>
      <c r="B90" s="2" t="s">
        <v>1173</v>
      </c>
      <c r="C90" s="2" t="s">
        <v>1175</v>
      </c>
      <c r="D90" s="25" t="s">
        <v>1176</v>
      </c>
      <c r="E90" s="2" t="s">
        <v>83</v>
      </c>
      <c r="F90" s="25" t="s">
        <v>1186</v>
      </c>
      <c r="G90" s="2" t="s">
        <v>1188</v>
      </c>
      <c r="H90" s="2" t="s">
        <v>1189</v>
      </c>
      <c r="I90" s="2" t="s">
        <v>152</v>
      </c>
      <c r="J90" s="2" t="s">
        <v>278</v>
      </c>
      <c r="K90" s="2" t="s">
        <v>1193</v>
      </c>
      <c r="L90" s="2" t="s">
        <v>1194</v>
      </c>
      <c r="M90" s="2" t="s">
        <v>118</v>
      </c>
      <c r="N90" s="23">
        <v>2009</v>
      </c>
      <c r="O90" s="2" t="s">
        <v>82</v>
      </c>
      <c r="P90" s="2" t="s">
        <v>74</v>
      </c>
      <c r="Q90" s="2" t="s">
        <v>720</v>
      </c>
      <c r="R90" s="2" t="s">
        <v>84</v>
      </c>
      <c r="S90" s="2" t="s">
        <v>1195</v>
      </c>
      <c r="T90" s="2" t="s">
        <v>158</v>
      </c>
      <c r="U90" s="2" t="s">
        <v>1200</v>
      </c>
      <c r="V90" s="2" t="s">
        <v>190</v>
      </c>
      <c r="W90" s="2" t="s">
        <v>85</v>
      </c>
      <c r="X90" s="2" t="s">
        <v>83</v>
      </c>
      <c r="Y90" s="2"/>
      <c r="Z90" s="2" t="s">
        <v>89</v>
      </c>
      <c r="AA90" s="2" t="s">
        <v>1201</v>
      </c>
      <c r="AB90" s="2" t="s">
        <v>999</v>
      </c>
      <c r="AC90" s="2" t="s">
        <v>284</v>
      </c>
      <c r="AD90" s="2" t="s">
        <v>1202</v>
      </c>
      <c r="AE90" s="2" t="s">
        <v>1204</v>
      </c>
      <c r="AF90" s="2" t="s">
        <v>95</v>
      </c>
      <c r="AG90" s="2" t="s">
        <v>74</v>
      </c>
      <c r="AH90" s="2" t="s">
        <v>284</v>
      </c>
      <c r="AI90" s="2" t="s">
        <v>74</v>
      </c>
      <c r="AJ90" s="2" t="s">
        <v>95</v>
      </c>
      <c r="AK90" s="2" t="s">
        <v>107</v>
      </c>
      <c r="AL90" s="2" t="s">
        <v>83</v>
      </c>
      <c r="AM90" s="2" t="s">
        <v>74</v>
      </c>
      <c r="AN90" s="2" t="s">
        <v>97</v>
      </c>
      <c r="AO90" s="2" t="s">
        <v>130</v>
      </c>
      <c r="AP90" s="2" t="s">
        <v>229</v>
      </c>
      <c r="AQ90" s="2" t="s">
        <v>166</v>
      </c>
      <c r="AR90" s="2" t="s">
        <v>74</v>
      </c>
      <c r="AS90" s="2" t="s">
        <v>107</v>
      </c>
      <c r="AT90" s="2" t="s">
        <v>107</v>
      </c>
      <c r="AU90" s="2" t="s">
        <v>233</v>
      </c>
      <c r="AV90" s="2"/>
      <c r="AW90" s="2" t="s">
        <v>107</v>
      </c>
      <c r="AX90" s="2" t="s">
        <v>1209</v>
      </c>
      <c r="AY90" s="2" t="s">
        <v>339</v>
      </c>
      <c r="AZ90" s="2" t="s">
        <v>233</v>
      </c>
      <c r="BA90" s="2"/>
      <c r="BB90" s="2" t="s">
        <v>107</v>
      </c>
      <c r="BC90" s="2" t="s">
        <v>315</v>
      </c>
      <c r="BD90" s="2" t="s">
        <v>801</v>
      </c>
      <c r="BE90" s="2" t="s">
        <v>83</v>
      </c>
      <c r="BF90" s="2" t="s">
        <v>107</v>
      </c>
      <c r="BG90" s="2"/>
      <c r="BH90" s="2" t="s">
        <v>107</v>
      </c>
      <c r="BI90" s="2" t="s">
        <v>233</v>
      </c>
      <c r="BJ90" s="2"/>
      <c r="BK90" s="2" t="s">
        <v>74</v>
      </c>
      <c r="BL90" s="2"/>
      <c r="BM90" s="2"/>
    </row>
    <row r="91" spans="1:65" ht="12.5">
      <c r="A91" s="22">
        <v>43821.782724502315</v>
      </c>
      <c r="B91" s="2" t="s">
        <v>1655</v>
      </c>
      <c r="C91" s="2" t="s">
        <v>1656</v>
      </c>
      <c r="D91" s="2" t="s">
        <v>1657</v>
      </c>
      <c r="E91" s="2" t="s">
        <v>74</v>
      </c>
      <c r="F91" s="2" t="s">
        <v>1658</v>
      </c>
      <c r="G91" s="2" t="s">
        <v>1655</v>
      </c>
      <c r="H91" s="2" t="s">
        <v>1659</v>
      </c>
      <c r="I91" s="2" t="s">
        <v>77</v>
      </c>
      <c r="J91" s="2" t="s">
        <v>295</v>
      </c>
      <c r="K91" s="2" t="s">
        <v>1660</v>
      </c>
      <c r="L91" s="2" t="s">
        <v>1661</v>
      </c>
      <c r="M91" s="2" t="s">
        <v>81</v>
      </c>
      <c r="N91" s="23">
        <v>2015</v>
      </c>
      <c r="O91" s="2" t="s">
        <v>82</v>
      </c>
      <c r="P91" s="2" t="s">
        <v>83</v>
      </c>
      <c r="Q91" s="2"/>
      <c r="R91" s="2" t="s">
        <v>790</v>
      </c>
      <c r="S91" s="2" t="s">
        <v>120</v>
      </c>
      <c r="T91" s="2" t="s">
        <v>74</v>
      </c>
      <c r="U91" s="2" t="s">
        <v>1490</v>
      </c>
      <c r="V91" s="2" t="s">
        <v>1662</v>
      </c>
      <c r="W91" s="2" t="s">
        <v>499</v>
      </c>
      <c r="X91" s="2" t="s">
        <v>83</v>
      </c>
      <c r="Y91" s="2"/>
      <c r="Z91" s="2" t="s">
        <v>303</v>
      </c>
      <c r="AA91" s="2" t="s">
        <v>126</v>
      </c>
      <c r="AB91" s="2" t="s">
        <v>1623</v>
      </c>
      <c r="AC91" s="2" t="s">
        <v>284</v>
      </c>
      <c r="AD91" s="2" t="s">
        <v>93</v>
      </c>
      <c r="AE91" s="2" t="s">
        <v>264</v>
      </c>
      <c r="AF91" s="2" t="s">
        <v>74</v>
      </c>
      <c r="AG91" s="2" t="s">
        <v>74</v>
      </c>
      <c r="AH91" s="2" t="s">
        <v>96</v>
      </c>
      <c r="AI91" s="2" t="s">
        <v>74</v>
      </c>
      <c r="AJ91" s="2" t="s">
        <v>74</v>
      </c>
      <c r="AK91" s="2" t="s">
        <v>74</v>
      </c>
      <c r="AL91" s="2" t="s">
        <v>74</v>
      </c>
      <c r="AM91" s="2" t="s">
        <v>74</v>
      </c>
      <c r="AN91" s="2" t="s">
        <v>97</v>
      </c>
      <c r="AO91" s="2" t="s">
        <v>130</v>
      </c>
      <c r="AP91" s="2" t="s">
        <v>1663</v>
      </c>
      <c r="AQ91" s="2" t="s">
        <v>166</v>
      </c>
      <c r="AR91" s="2" t="s">
        <v>74</v>
      </c>
      <c r="AS91" s="2" t="s">
        <v>101</v>
      </c>
      <c r="AT91" s="2" t="s">
        <v>394</v>
      </c>
      <c r="AU91" s="2" t="s">
        <v>83</v>
      </c>
      <c r="AV91" s="2"/>
      <c r="AW91" s="2" t="s">
        <v>233</v>
      </c>
      <c r="AX91" s="2" t="s">
        <v>368</v>
      </c>
      <c r="AY91" s="2" t="s">
        <v>288</v>
      </c>
      <c r="AZ91" s="2" t="s">
        <v>1664</v>
      </c>
      <c r="BA91" s="2" t="s">
        <v>1665</v>
      </c>
      <c r="BB91" s="2" t="s">
        <v>233</v>
      </c>
      <c r="BC91" s="2" t="s">
        <v>172</v>
      </c>
      <c r="BD91" s="2" t="s">
        <v>172</v>
      </c>
      <c r="BE91" s="2" t="s">
        <v>74</v>
      </c>
      <c r="BF91" s="23">
        <v>0</v>
      </c>
      <c r="BG91" s="2"/>
      <c r="BH91" s="2" t="s">
        <v>233</v>
      </c>
      <c r="BI91" s="2" t="s">
        <v>233</v>
      </c>
      <c r="BJ91" s="2"/>
      <c r="BK91" s="2" t="s">
        <v>74</v>
      </c>
      <c r="BL91" s="2"/>
      <c r="BM91" s="2"/>
    </row>
    <row r="92" spans="1:65" ht="12.5">
      <c r="A92" s="22">
        <v>43843.330054166669</v>
      </c>
      <c r="B92" s="2" t="s">
        <v>751</v>
      </c>
      <c r="C92" s="2" t="s">
        <v>1223</v>
      </c>
      <c r="D92" s="2" t="s">
        <v>1226</v>
      </c>
      <c r="E92" s="2" t="s">
        <v>83</v>
      </c>
      <c r="F92" s="2" t="s">
        <v>1229</v>
      </c>
      <c r="G92" s="2" t="s">
        <v>1231</v>
      </c>
      <c r="H92" s="2" t="s">
        <v>1232</v>
      </c>
      <c r="I92" s="2" t="s">
        <v>152</v>
      </c>
      <c r="J92" s="2" t="s">
        <v>695</v>
      </c>
      <c r="K92" s="2" t="s">
        <v>1115</v>
      </c>
      <c r="L92" s="2" t="s">
        <v>1236</v>
      </c>
      <c r="M92" s="2" t="s">
        <v>118</v>
      </c>
      <c r="N92" s="23">
        <v>2019</v>
      </c>
      <c r="O92" s="2" t="s">
        <v>82</v>
      </c>
      <c r="P92" s="2" t="s">
        <v>95</v>
      </c>
      <c r="Q92" s="2" t="s">
        <v>515</v>
      </c>
      <c r="R92" s="2" t="s">
        <v>300</v>
      </c>
      <c r="S92" s="2" t="s">
        <v>85</v>
      </c>
      <c r="T92" s="2" t="s">
        <v>95</v>
      </c>
      <c r="U92" s="2" t="s">
        <v>1241</v>
      </c>
      <c r="V92" s="2" t="s">
        <v>190</v>
      </c>
      <c r="W92" s="2" t="s">
        <v>85</v>
      </c>
      <c r="X92" s="2" t="s">
        <v>74</v>
      </c>
      <c r="Y92" s="2" t="s">
        <v>1242</v>
      </c>
      <c r="Z92" s="2" t="s">
        <v>205</v>
      </c>
      <c r="AA92" s="2" t="s">
        <v>126</v>
      </c>
      <c r="AB92" s="2" t="s">
        <v>931</v>
      </c>
      <c r="AC92" s="2" t="s">
        <v>548</v>
      </c>
      <c r="AD92" s="2" t="s">
        <v>93</v>
      </c>
      <c r="AE92" s="2" t="s">
        <v>163</v>
      </c>
      <c r="AF92" s="2" t="s">
        <v>74</v>
      </c>
      <c r="AG92" s="2" t="s">
        <v>74</v>
      </c>
      <c r="AH92" s="2" t="s">
        <v>461</v>
      </c>
      <c r="AI92" s="2" t="s">
        <v>74</v>
      </c>
      <c r="AJ92" s="2" t="s">
        <v>74</v>
      </c>
      <c r="AK92" s="2" t="s">
        <v>233</v>
      </c>
      <c r="AL92" s="2" t="s">
        <v>74</v>
      </c>
      <c r="AM92" s="2" t="s">
        <v>95</v>
      </c>
      <c r="AN92" s="2" t="s">
        <v>1248</v>
      </c>
      <c r="AO92" s="2" t="s">
        <v>1249</v>
      </c>
      <c r="AP92" s="2" t="s">
        <v>308</v>
      </c>
      <c r="AQ92" s="2" t="s">
        <v>777</v>
      </c>
      <c r="AR92" s="2" t="s">
        <v>74</v>
      </c>
      <c r="AS92" s="2" t="s">
        <v>759</v>
      </c>
      <c r="AT92" s="2" t="s">
        <v>102</v>
      </c>
      <c r="AU92" s="2" t="s">
        <v>83</v>
      </c>
      <c r="AV92" s="2"/>
      <c r="AW92" s="2" t="s">
        <v>1254</v>
      </c>
      <c r="AX92" s="2" t="s">
        <v>522</v>
      </c>
      <c r="AY92" s="2" t="s">
        <v>339</v>
      </c>
      <c r="AZ92" s="2" t="s">
        <v>136</v>
      </c>
      <c r="BA92" s="2"/>
      <c r="BB92" s="2" t="s">
        <v>212</v>
      </c>
      <c r="BC92" s="2" t="s">
        <v>139</v>
      </c>
      <c r="BD92" s="2" t="s">
        <v>171</v>
      </c>
      <c r="BE92" s="2" t="s">
        <v>83</v>
      </c>
      <c r="BF92" s="23">
        <v>0</v>
      </c>
      <c r="BG92" s="2"/>
      <c r="BH92" s="2" t="s">
        <v>233</v>
      </c>
      <c r="BI92" s="2" t="s">
        <v>233</v>
      </c>
      <c r="BJ92" s="2"/>
      <c r="BK92" s="2" t="s">
        <v>74</v>
      </c>
      <c r="BL92" s="2"/>
      <c r="BM92" s="2"/>
    </row>
    <row r="93" spans="1:65" ht="12.5">
      <c r="A93" s="22">
        <v>43850.468477002316</v>
      </c>
      <c r="B93" s="2" t="s">
        <v>1266</v>
      </c>
      <c r="C93" s="2" t="s">
        <v>1268</v>
      </c>
      <c r="D93" s="2" t="s">
        <v>1269</v>
      </c>
      <c r="E93" s="2" t="s">
        <v>74</v>
      </c>
      <c r="F93" s="25" t="s">
        <v>1270</v>
      </c>
      <c r="G93" s="2" t="s">
        <v>1266</v>
      </c>
      <c r="H93" s="2" t="s">
        <v>1275</v>
      </c>
      <c r="I93" s="2" t="s">
        <v>152</v>
      </c>
      <c r="J93" s="2" t="s">
        <v>682</v>
      </c>
      <c r="K93" s="2" t="s">
        <v>1276</v>
      </c>
      <c r="L93" s="2" t="s">
        <v>1279</v>
      </c>
      <c r="M93" s="2" t="s">
        <v>118</v>
      </c>
      <c r="N93" s="23">
        <v>2009</v>
      </c>
      <c r="O93" s="2" t="s">
        <v>82</v>
      </c>
      <c r="P93" s="2" t="s">
        <v>95</v>
      </c>
      <c r="Q93" s="2" t="s">
        <v>515</v>
      </c>
      <c r="R93" s="2" t="s">
        <v>84</v>
      </c>
      <c r="S93" s="2" t="s">
        <v>1282</v>
      </c>
      <c r="T93" s="2" t="s">
        <v>158</v>
      </c>
      <c r="U93" s="2" t="s">
        <v>1284</v>
      </c>
      <c r="V93" s="2" t="s">
        <v>1285</v>
      </c>
      <c r="W93" s="2" t="s">
        <v>85</v>
      </c>
      <c r="X93" s="2" t="s">
        <v>83</v>
      </c>
      <c r="Y93" s="2"/>
      <c r="Z93" s="2" t="s">
        <v>89</v>
      </c>
      <c r="AA93" s="2" t="s">
        <v>126</v>
      </c>
      <c r="AB93" s="2" t="s">
        <v>1289</v>
      </c>
      <c r="AC93" s="2" t="s">
        <v>92</v>
      </c>
      <c r="AD93" s="2" t="s">
        <v>1291</v>
      </c>
      <c r="AE93" s="2" t="s">
        <v>264</v>
      </c>
      <c r="AF93" s="2" t="s">
        <v>74</v>
      </c>
      <c r="AG93" s="2" t="s">
        <v>74</v>
      </c>
      <c r="AH93" s="2" t="s">
        <v>550</v>
      </c>
      <c r="AI93" s="2" t="s">
        <v>74</v>
      </c>
      <c r="AJ93" s="2" t="s">
        <v>74</v>
      </c>
      <c r="AK93" s="2" t="s">
        <v>74</v>
      </c>
      <c r="AL93" s="2" t="s">
        <v>74</v>
      </c>
      <c r="AM93" s="2" t="s">
        <v>74</v>
      </c>
      <c r="AN93" s="2" t="s">
        <v>412</v>
      </c>
      <c r="AO93" s="2" t="s">
        <v>130</v>
      </c>
      <c r="AP93" s="2" t="s">
        <v>229</v>
      </c>
      <c r="AQ93" s="2" t="s">
        <v>1296</v>
      </c>
      <c r="AR93" s="2" t="s">
        <v>74</v>
      </c>
      <c r="AS93" s="2" t="s">
        <v>107</v>
      </c>
      <c r="AT93" s="2" t="s">
        <v>107</v>
      </c>
      <c r="AU93" s="2" t="s">
        <v>1297</v>
      </c>
      <c r="AV93" s="2"/>
      <c r="AW93" s="2" t="s">
        <v>233</v>
      </c>
      <c r="AX93" s="2" t="s">
        <v>1298</v>
      </c>
      <c r="AY93" s="2" t="s">
        <v>233</v>
      </c>
      <c r="AZ93" s="2" t="s">
        <v>233</v>
      </c>
      <c r="BA93" s="2"/>
      <c r="BB93" s="2" t="s">
        <v>571</v>
      </c>
      <c r="BC93" s="2" t="s">
        <v>314</v>
      </c>
      <c r="BD93" s="2" t="s">
        <v>789</v>
      </c>
      <c r="BE93" s="2" t="s">
        <v>233</v>
      </c>
      <c r="BF93" s="2" t="s">
        <v>107</v>
      </c>
      <c r="BG93" s="2"/>
      <c r="BH93" s="2" t="s">
        <v>925</v>
      </c>
      <c r="BI93" s="2" t="s">
        <v>282</v>
      </c>
      <c r="BJ93" s="2"/>
      <c r="BK93" s="2" t="s">
        <v>74</v>
      </c>
      <c r="BL93" s="2"/>
      <c r="BM93" s="2"/>
    </row>
    <row r="94" spans="1:65" ht="12.5">
      <c r="A94" s="22">
        <v>43851.60049045139</v>
      </c>
      <c r="B94" s="2" t="s">
        <v>1666</v>
      </c>
      <c r="C94" s="2" t="s">
        <v>1666</v>
      </c>
      <c r="D94" s="2" t="s">
        <v>1667</v>
      </c>
      <c r="E94" s="2" t="s">
        <v>74</v>
      </c>
      <c r="F94" s="25" t="s">
        <v>1668</v>
      </c>
      <c r="G94" s="2" t="s">
        <v>1666</v>
      </c>
      <c r="H94" s="2" t="s">
        <v>2076</v>
      </c>
      <c r="I94" s="2" t="s">
        <v>152</v>
      </c>
      <c r="J94" s="2" t="s">
        <v>682</v>
      </c>
      <c r="K94" s="2" t="s">
        <v>1276</v>
      </c>
      <c r="L94" s="2" t="s">
        <v>1670</v>
      </c>
      <c r="M94" s="2" t="s">
        <v>1671</v>
      </c>
      <c r="N94" s="23">
        <v>2017</v>
      </c>
      <c r="O94" s="2" t="s">
        <v>107</v>
      </c>
      <c r="P94" s="2" t="s">
        <v>83</v>
      </c>
      <c r="Q94" s="2" t="s">
        <v>1672</v>
      </c>
      <c r="R94" s="2" t="s">
        <v>1673</v>
      </c>
      <c r="S94" s="2" t="s">
        <v>1674</v>
      </c>
      <c r="T94" s="2" t="s">
        <v>74</v>
      </c>
      <c r="U94" s="2" t="s">
        <v>1675</v>
      </c>
      <c r="V94" s="2" t="s">
        <v>1676</v>
      </c>
      <c r="W94" s="2" t="s">
        <v>85</v>
      </c>
      <c r="X94" s="2" t="s">
        <v>74</v>
      </c>
      <c r="Y94" s="2" t="s">
        <v>1677</v>
      </c>
      <c r="Z94" s="2" t="s">
        <v>89</v>
      </c>
      <c r="AA94" s="2" t="s">
        <v>90</v>
      </c>
      <c r="AB94" s="2" t="s">
        <v>1678</v>
      </c>
      <c r="AC94" s="2" t="s">
        <v>284</v>
      </c>
      <c r="AD94" s="2" t="s">
        <v>284</v>
      </c>
      <c r="AE94" s="2" t="s">
        <v>163</v>
      </c>
      <c r="AF94" s="2" t="s">
        <v>74</v>
      </c>
      <c r="AG94" s="2" t="s">
        <v>74</v>
      </c>
      <c r="AH94" s="2" t="s">
        <v>284</v>
      </c>
      <c r="AI94" s="2" t="s">
        <v>74</v>
      </c>
      <c r="AJ94" s="2" t="s">
        <v>74</v>
      </c>
      <c r="AK94" s="2" t="s">
        <v>233</v>
      </c>
      <c r="AL94" s="2" t="s">
        <v>74</v>
      </c>
      <c r="AM94" s="2" t="s">
        <v>74</v>
      </c>
      <c r="AN94" s="2" t="s">
        <v>97</v>
      </c>
      <c r="AO94" s="2" t="s">
        <v>130</v>
      </c>
      <c r="AP94" s="2" t="s">
        <v>393</v>
      </c>
      <c r="AQ94" s="2" t="s">
        <v>1679</v>
      </c>
      <c r="AR94" s="2" t="s">
        <v>74</v>
      </c>
      <c r="AS94" s="2" t="s">
        <v>101</v>
      </c>
      <c r="AT94" s="2" t="s">
        <v>1680</v>
      </c>
      <c r="AU94" s="24" t="s">
        <v>1681</v>
      </c>
      <c r="AV94" s="2"/>
      <c r="AW94" s="2" t="s">
        <v>1682</v>
      </c>
      <c r="AX94" s="2" t="s">
        <v>104</v>
      </c>
      <c r="AY94" s="2" t="s">
        <v>339</v>
      </c>
      <c r="AZ94" s="2" t="s">
        <v>233</v>
      </c>
      <c r="BA94" s="2" t="s">
        <v>1683</v>
      </c>
      <c r="BB94" s="2" t="s">
        <v>233</v>
      </c>
      <c r="BC94" s="2" t="s">
        <v>139</v>
      </c>
      <c r="BD94" s="2" t="s">
        <v>139</v>
      </c>
      <c r="BE94" s="2" t="s">
        <v>233</v>
      </c>
      <c r="BF94" s="2" t="s">
        <v>141</v>
      </c>
      <c r="BG94" s="2"/>
      <c r="BH94" s="2" t="s">
        <v>143</v>
      </c>
      <c r="BI94" s="2" t="s">
        <v>587</v>
      </c>
      <c r="BJ94" s="2"/>
      <c r="BK94" s="2" t="s">
        <v>74</v>
      </c>
      <c r="BL94" s="2"/>
      <c r="BM94" s="2"/>
    </row>
    <row r="95" spans="1:65" ht="12.5">
      <c r="A95" s="22">
        <v>43853.443448749997</v>
      </c>
      <c r="B95" s="2" t="s">
        <v>1684</v>
      </c>
      <c r="C95" s="2" t="s">
        <v>1684</v>
      </c>
      <c r="D95" s="2" t="s">
        <v>1685</v>
      </c>
      <c r="E95" s="2" t="s">
        <v>74</v>
      </c>
      <c r="F95" s="25" t="s">
        <v>1686</v>
      </c>
      <c r="G95" s="2" t="s">
        <v>1684</v>
      </c>
      <c r="H95" s="2" t="s">
        <v>1687</v>
      </c>
      <c r="I95" s="2" t="s">
        <v>152</v>
      </c>
      <c r="J95" s="2" t="s">
        <v>680</v>
      </c>
      <c r="K95" s="2" t="s">
        <v>608</v>
      </c>
      <c r="L95" s="2" t="s">
        <v>1688</v>
      </c>
      <c r="M95" s="2" t="s">
        <v>513</v>
      </c>
      <c r="N95" s="23">
        <v>2005</v>
      </c>
      <c r="O95" s="2" t="s">
        <v>82</v>
      </c>
      <c r="P95" s="2" t="s">
        <v>95</v>
      </c>
      <c r="Q95" s="2" t="s">
        <v>119</v>
      </c>
      <c r="R95" s="2" t="s">
        <v>84</v>
      </c>
      <c r="S95" s="2" t="s">
        <v>258</v>
      </c>
      <c r="T95" s="2" t="s">
        <v>74</v>
      </c>
      <c r="U95" s="2" t="s">
        <v>674</v>
      </c>
      <c r="V95" s="2" t="s">
        <v>1689</v>
      </c>
      <c r="W95" s="2" t="s">
        <v>261</v>
      </c>
      <c r="X95" s="2" t="s">
        <v>74</v>
      </c>
      <c r="Y95" s="2" t="s">
        <v>1690</v>
      </c>
      <c r="Z95" s="2" t="s">
        <v>303</v>
      </c>
      <c r="AA95" s="2" t="s">
        <v>90</v>
      </c>
      <c r="AB95" s="2" t="s">
        <v>1691</v>
      </c>
      <c r="AC95" s="2" t="s">
        <v>128</v>
      </c>
      <c r="AD95" s="2" t="s">
        <v>284</v>
      </c>
      <c r="AE95" s="2" t="s">
        <v>94</v>
      </c>
      <c r="AF95" s="2" t="s">
        <v>74</v>
      </c>
      <c r="AG95" s="2" t="s">
        <v>74</v>
      </c>
      <c r="AH95" s="2" t="s">
        <v>164</v>
      </c>
      <c r="AI95" s="2" t="s">
        <v>74</v>
      </c>
      <c r="AJ95" s="2" t="s">
        <v>74</v>
      </c>
      <c r="AK95" s="2" t="s">
        <v>74</v>
      </c>
      <c r="AL95" s="2" t="s">
        <v>74</v>
      </c>
      <c r="AM95" s="2" t="s">
        <v>74</v>
      </c>
      <c r="AN95" s="2" t="s">
        <v>1340</v>
      </c>
      <c r="AO95" s="2" t="s">
        <v>130</v>
      </c>
      <c r="AP95" s="2" t="s">
        <v>1692</v>
      </c>
      <c r="AQ95" s="2" t="s">
        <v>777</v>
      </c>
      <c r="AR95" s="2" t="s">
        <v>74</v>
      </c>
      <c r="AS95" s="2" t="s">
        <v>1693</v>
      </c>
      <c r="AT95" s="2" t="s">
        <v>107</v>
      </c>
      <c r="AU95" s="2" t="s">
        <v>107</v>
      </c>
      <c r="AV95" s="2"/>
      <c r="AW95" s="2" t="s">
        <v>103</v>
      </c>
      <c r="AX95" s="2" t="s">
        <v>761</v>
      </c>
      <c r="AY95" s="2" t="s">
        <v>339</v>
      </c>
      <c r="AZ95" s="2" t="s">
        <v>313</v>
      </c>
      <c r="BA95" s="2"/>
      <c r="BB95" s="2" t="s">
        <v>107</v>
      </c>
      <c r="BC95" s="2" t="s">
        <v>314</v>
      </c>
      <c r="BD95" s="2" t="s">
        <v>801</v>
      </c>
      <c r="BE95" s="2" t="s">
        <v>83</v>
      </c>
      <c r="BF95" s="2" t="s">
        <v>814</v>
      </c>
      <c r="BG95" s="25" t="s">
        <v>1694</v>
      </c>
      <c r="BH95" s="2" t="s">
        <v>925</v>
      </c>
      <c r="BI95" s="24" t="s">
        <v>1473</v>
      </c>
      <c r="BJ95" s="2"/>
      <c r="BK95" s="2" t="s">
        <v>74</v>
      </c>
      <c r="BL95" s="2"/>
      <c r="BM95" s="2"/>
    </row>
    <row r="96" spans="1:65" ht="12.5">
      <c r="A96" s="22">
        <v>43853.476948090276</v>
      </c>
      <c r="B96" s="2" t="s">
        <v>1684</v>
      </c>
      <c r="C96" s="2" t="s">
        <v>1695</v>
      </c>
      <c r="D96" s="2" t="s">
        <v>1696</v>
      </c>
      <c r="E96" s="2" t="s">
        <v>83</v>
      </c>
      <c r="F96" s="25" t="s">
        <v>1697</v>
      </c>
      <c r="G96" s="2" t="s">
        <v>1698</v>
      </c>
      <c r="H96" s="2" t="s">
        <v>1699</v>
      </c>
      <c r="I96" s="2" t="s">
        <v>152</v>
      </c>
      <c r="J96" s="2" t="s">
        <v>680</v>
      </c>
      <c r="K96" s="2" t="s">
        <v>608</v>
      </c>
      <c r="L96" s="2" t="s">
        <v>1700</v>
      </c>
      <c r="M96" s="2" t="s">
        <v>1375</v>
      </c>
      <c r="N96" s="23">
        <v>2010</v>
      </c>
      <c r="O96" s="2" t="s">
        <v>82</v>
      </c>
      <c r="P96" s="2" t="s">
        <v>74</v>
      </c>
      <c r="Q96" s="2" t="s">
        <v>223</v>
      </c>
      <c r="R96" s="2" t="s">
        <v>84</v>
      </c>
      <c r="S96" s="2" t="s">
        <v>1701</v>
      </c>
      <c r="T96" s="2" t="s">
        <v>74</v>
      </c>
      <c r="U96" s="2" t="s">
        <v>1702</v>
      </c>
      <c r="V96" s="2" t="s">
        <v>87</v>
      </c>
      <c r="W96" s="2" t="s">
        <v>85</v>
      </c>
      <c r="X96" s="2" t="s">
        <v>74</v>
      </c>
      <c r="Y96" s="2" t="s">
        <v>1703</v>
      </c>
      <c r="Z96" s="2" t="s">
        <v>89</v>
      </c>
      <c r="AA96" s="2" t="s">
        <v>90</v>
      </c>
      <c r="AB96" s="2" t="s">
        <v>1678</v>
      </c>
      <c r="AC96" s="2" t="s">
        <v>284</v>
      </c>
      <c r="AD96" s="2" t="s">
        <v>284</v>
      </c>
      <c r="AE96" s="2" t="s">
        <v>94</v>
      </c>
      <c r="AF96" s="2" t="s">
        <v>74</v>
      </c>
      <c r="AG96" s="2" t="s">
        <v>74</v>
      </c>
      <c r="AH96" s="2" t="s">
        <v>164</v>
      </c>
      <c r="AI96" s="2" t="s">
        <v>74</v>
      </c>
      <c r="AJ96" s="2" t="s">
        <v>95</v>
      </c>
      <c r="AK96" s="2" t="s">
        <v>83</v>
      </c>
      <c r="AL96" s="2" t="s">
        <v>74</v>
      </c>
      <c r="AM96" s="2" t="s">
        <v>74</v>
      </c>
      <c r="AN96" s="2" t="s">
        <v>1340</v>
      </c>
      <c r="AO96" s="2" t="s">
        <v>233</v>
      </c>
      <c r="AP96" s="2" t="s">
        <v>725</v>
      </c>
      <c r="AQ96" s="2" t="s">
        <v>777</v>
      </c>
      <c r="AR96" s="2" t="s">
        <v>74</v>
      </c>
      <c r="AS96" s="2" t="s">
        <v>107</v>
      </c>
      <c r="AT96" s="2" t="s">
        <v>107</v>
      </c>
      <c r="AU96" s="2" t="s">
        <v>107</v>
      </c>
      <c r="AV96" s="2"/>
      <c r="AW96" s="2" t="s">
        <v>103</v>
      </c>
      <c r="AX96" s="2" t="s">
        <v>761</v>
      </c>
      <c r="AY96" s="2" t="s">
        <v>399</v>
      </c>
      <c r="AZ96" s="2" t="s">
        <v>107</v>
      </c>
      <c r="BA96" s="2"/>
      <c r="BB96" s="2" t="s">
        <v>233</v>
      </c>
      <c r="BC96" s="2" t="s">
        <v>341</v>
      </c>
      <c r="BD96" s="2" t="s">
        <v>140</v>
      </c>
      <c r="BE96" s="2" t="s">
        <v>83</v>
      </c>
      <c r="BF96" s="2" t="s">
        <v>141</v>
      </c>
      <c r="BG96" s="2"/>
      <c r="BH96" s="2" t="s">
        <v>271</v>
      </c>
      <c r="BI96" s="24" t="s">
        <v>1473</v>
      </c>
      <c r="BJ96" s="2"/>
      <c r="BK96" s="2" t="s">
        <v>74</v>
      </c>
      <c r="BL96" s="2"/>
      <c r="BM96" s="2"/>
    </row>
    <row r="97" spans="1:65" ht="12.5">
      <c r="A97" s="22">
        <v>43853.789640868054</v>
      </c>
      <c r="B97" s="2" t="s">
        <v>1704</v>
      </c>
      <c r="C97" s="2" t="s">
        <v>1705</v>
      </c>
      <c r="D97" s="2" t="s">
        <v>1706</v>
      </c>
      <c r="E97" s="2" t="s">
        <v>74</v>
      </c>
      <c r="F97" s="25" t="s">
        <v>1707</v>
      </c>
      <c r="G97" s="2" t="s">
        <v>1704</v>
      </c>
      <c r="H97" s="2" t="s">
        <v>1708</v>
      </c>
      <c r="I97" s="2" t="s">
        <v>152</v>
      </c>
      <c r="J97" s="2" t="s">
        <v>1709</v>
      </c>
      <c r="K97" s="2" t="s">
        <v>608</v>
      </c>
      <c r="L97" s="2" t="s">
        <v>1710</v>
      </c>
      <c r="M97" s="2" t="s">
        <v>118</v>
      </c>
      <c r="N97" s="23">
        <v>2008</v>
      </c>
      <c r="O97" s="2" t="s">
        <v>82</v>
      </c>
      <c r="P97" s="2" t="s">
        <v>74</v>
      </c>
      <c r="Q97" s="2" t="s">
        <v>720</v>
      </c>
      <c r="R97" s="2" t="s">
        <v>84</v>
      </c>
      <c r="S97" s="2" t="s">
        <v>258</v>
      </c>
      <c r="T97" s="2" t="s">
        <v>74</v>
      </c>
      <c r="U97" s="2" t="s">
        <v>1711</v>
      </c>
      <c r="V97" s="2" t="s">
        <v>190</v>
      </c>
      <c r="W97" s="2" t="s">
        <v>261</v>
      </c>
      <c r="X97" s="2" t="s">
        <v>83</v>
      </c>
      <c r="Y97" s="2"/>
      <c r="Z97" s="2" t="s">
        <v>205</v>
      </c>
      <c r="AA97" s="2" t="s">
        <v>90</v>
      </c>
      <c r="AB97" s="2" t="s">
        <v>999</v>
      </c>
      <c r="AC97" s="2" t="s">
        <v>128</v>
      </c>
      <c r="AD97" s="2" t="s">
        <v>284</v>
      </c>
      <c r="AE97" s="2" t="s">
        <v>94</v>
      </c>
      <c r="AF97" s="2" t="s">
        <v>95</v>
      </c>
      <c r="AG97" s="2" t="s">
        <v>83</v>
      </c>
      <c r="AH97" s="2" t="s">
        <v>284</v>
      </c>
      <c r="AI97" s="2" t="s">
        <v>74</v>
      </c>
      <c r="AJ97" s="2" t="s">
        <v>74</v>
      </c>
      <c r="AK97" s="2" t="s">
        <v>74</v>
      </c>
      <c r="AL97" s="2" t="s">
        <v>83</v>
      </c>
      <c r="AM97" s="2" t="s">
        <v>74</v>
      </c>
      <c r="AN97" s="2" t="s">
        <v>97</v>
      </c>
      <c r="AO97" s="2" t="s">
        <v>233</v>
      </c>
      <c r="AP97" s="2" t="s">
        <v>725</v>
      </c>
      <c r="AQ97" s="2" t="s">
        <v>1712</v>
      </c>
      <c r="AR97" s="2" t="s">
        <v>83</v>
      </c>
      <c r="AS97" s="2" t="s">
        <v>101</v>
      </c>
      <c r="AT97" s="2" t="s">
        <v>107</v>
      </c>
      <c r="AU97" s="2" t="s">
        <v>83</v>
      </c>
      <c r="AV97" s="2"/>
      <c r="AW97" s="2" t="s">
        <v>1713</v>
      </c>
      <c r="AX97" s="2" t="s">
        <v>761</v>
      </c>
      <c r="AY97" s="2" t="s">
        <v>233</v>
      </c>
      <c r="AZ97" s="2" t="s">
        <v>136</v>
      </c>
      <c r="BA97" s="2"/>
      <c r="BB97" s="2" t="s">
        <v>233</v>
      </c>
      <c r="BC97" s="2" t="s">
        <v>108</v>
      </c>
      <c r="BD97" s="2" t="s">
        <v>801</v>
      </c>
      <c r="BE97" s="2" t="s">
        <v>233</v>
      </c>
      <c r="BF97" s="2" t="s">
        <v>233</v>
      </c>
      <c r="BG97" s="2"/>
      <c r="BH97" s="2" t="s">
        <v>233</v>
      </c>
      <c r="BI97" s="2" t="s">
        <v>233</v>
      </c>
      <c r="BJ97" s="2"/>
      <c r="BK97" s="2" t="s">
        <v>74</v>
      </c>
      <c r="BL97" s="2"/>
      <c r="BM97" s="2"/>
    </row>
    <row r="98" spans="1:65" ht="12.5">
      <c r="A98" s="22">
        <v>43854.375155624999</v>
      </c>
      <c r="B98" s="2" t="s">
        <v>1715</v>
      </c>
      <c r="C98" s="2" t="s">
        <v>1716</v>
      </c>
      <c r="D98" s="2" t="s">
        <v>1717</v>
      </c>
      <c r="E98" s="2" t="s">
        <v>74</v>
      </c>
      <c r="F98" s="2" t="s">
        <v>1718</v>
      </c>
      <c r="G98" s="2" t="s">
        <v>1715</v>
      </c>
      <c r="H98" s="2" t="s">
        <v>1719</v>
      </c>
      <c r="I98" s="2" t="s">
        <v>152</v>
      </c>
      <c r="J98" s="2" t="s">
        <v>680</v>
      </c>
      <c r="K98" s="2" t="s">
        <v>608</v>
      </c>
      <c r="L98" s="2" t="s">
        <v>1720</v>
      </c>
      <c r="M98" s="2" t="s">
        <v>118</v>
      </c>
      <c r="N98" s="23">
        <v>2013</v>
      </c>
      <c r="O98" s="23">
        <v>2018</v>
      </c>
      <c r="P98" s="2" t="s">
        <v>74</v>
      </c>
      <c r="Q98" s="2" t="s">
        <v>119</v>
      </c>
      <c r="R98" s="2" t="s">
        <v>1721</v>
      </c>
      <c r="S98" s="2" t="s">
        <v>120</v>
      </c>
      <c r="T98" s="2" t="s">
        <v>158</v>
      </c>
      <c r="U98" s="2" t="s">
        <v>582</v>
      </c>
      <c r="V98" s="2" t="s">
        <v>232</v>
      </c>
      <c r="W98" s="2" t="s">
        <v>499</v>
      </c>
      <c r="X98" s="2" t="s">
        <v>83</v>
      </c>
      <c r="Y98" s="2"/>
      <c r="Z98" s="2" t="s">
        <v>107</v>
      </c>
      <c r="AA98" s="2" t="s">
        <v>90</v>
      </c>
      <c r="AB98" s="2" t="s">
        <v>263</v>
      </c>
      <c r="AC98" s="2" t="s">
        <v>128</v>
      </c>
      <c r="AD98" s="2" t="s">
        <v>93</v>
      </c>
      <c r="AE98" s="2" t="s">
        <v>163</v>
      </c>
      <c r="AF98" s="2" t="s">
        <v>74</v>
      </c>
      <c r="AG98" s="2" t="s">
        <v>74</v>
      </c>
      <c r="AH98" s="2" t="s">
        <v>96</v>
      </c>
      <c r="AI98" s="2" t="s">
        <v>74</v>
      </c>
      <c r="AJ98" s="2" t="s">
        <v>74</v>
      </c>
      <c r="AK98" s="2" t="s">
        <v>74</v>
      </c>
      <c r="AL98" s="2" t="s">
        <v>74</v>
      </c>
      <c r="AM98" s="2" t="s">
        <v>74</v>
      </c>
      <c r="AN98" s="2" t="s">
        <v>97</v>
      </c>
      <c r="AO98" s="2" t="s">
        <v>130</v>
      </c>
      <c r="AP98" s="2" t="s">
        <v>308</v>
      </c>
      <c r="AQ98" s="2" t="s">
        <v>631</v>
      </c>
      <c r="AR98" s="2" t="s">
        <v>83</v>
      </c>
      <c r="AS98" s="2" t="s">
        <v>107</v>
      </c>
      <c r="AT98" s="2" t="s">
        <v>107</v>
      </c>
      <c r="AU98" s="2" t="s">
        <v>83</v>
      </c>
      <c r="AV98" s="2"/>
      <c r="AW98" s="2" t="s">
        <v>107</v>
      </c>
      <c r="AX98" s="2" t="s">
        <v>368</v>
      </c>
      <c r="AY98" s="2" t="s">
        <v>1722</v>
      </c>
      <c r="AZ98" s="30" t="s">
        <v>1723</v>
      </c>
      <c r="BA98" s="2" t="s">
        <v>1724</v>
      </c>
      <c r="BB98" s="2" t="s">
        <v>775</v>
      </c>
      <c r="BC98" s="2" t="s">
        <v>341</v>
      </c>
      <c r="BD98" s="2" t="s">
        <v>140</v>
      </c>
      <c r="BE98" s="2" t="s">
        <v>233</v>
      </c>
      <c r="BF98" s="2" t="s">
        <v>270</v>
      </c>
      <c r="BG98" s="25" t="s">
        <v>1725</v>
      </c>
      <c r="BH98" s="2" t="s">
        <v>143</v>
      </c>
      <c r="BI98" s="2" t="s">
        <v>238</v>
      </c>
      <c r="BJ98" s="2"/>
      <c r="BK98" s="2" t="s">
        <v>74</v>
      </c>
      <c r="BL98" s="2"/>
      <c r="BM98" s="2"/>
    </row>
    <row r="99" spans="1:65" ht="12.5">
      <c r="A99" s="22">
        <v>43856.388195706022</v>
      </c>
      <c r="B99" s="2" t="s">
        <v>1726</v>
      </c>
      <c r="C99" s="2" t="s">
        <v>1727</v>
      </c>
      <c r="D99" s="2" t="s">
        <v>1728</v>
      </c>
      <c r="E99" s="2" t="s">
        <v>74</v>
      </c>
      <c r="F99" s="25" t="s">
        <v>1729</v>
      </c>
      <c r="G99" s="2" t="s">
        <v>1727</v>
      </c>
      <c r="H99" s="2" t="s">
        <v>2077</v>
      </c>
      <c r="I99" s="2" t="s">
        <v>152</v>
      </c>
      <c r="J99" s="2" t="s">
        <v>680</v>
      </c>
      <c r="K99" s="2" t="s">
        <v>608</v>
      </c>
      <c r="L99" s="2" t="s">
        <v>1542</v>
      </c>
      <c r="M99" s="2" t="s">
        <v>118</v>
      </c>
      <c r="N99" s="23">
        <v>2017</v>
      </c>
      <c r="O99" s="2" t="s">
        <v>82</v>
      </c>
      <c r="P99" s="2" t="s">
        <v>95</v>
      </c>
      <c r="Q99" s="2" t="s">
        <v>119</v>
      </c>
      <c r="R99" s="2" t="s">
        <v>84</v>
      </c>
      <c r="S99" s="2" t="s">
        <v>258</v>
      </c>
      <c r="T99" s="2" t="s">
        <v>74</v>
      </c>
      <c r="U99" s="2" t="s">
        <v>386</v>
      </c>
      <c r="V99" s="2" t="s">
        <v>260</v>
      </c>
      <c r="W99" s="2" t="s">
        <v>499</v>
      </c>
      <c r="X99" s="2" t="s">
        <v>74</v>
      </c>
      <c r="Y99" s="2" t="s">
        <v>1731</v>
      </c>
      <c r="Z99" s="2" t="s">
        <v>89</v>
      </c>
      <c r="AA99" s="2" t="s">
        <v>90</v>
      </c>
      <c r="AB99" s="2" t="s">
        <v>1732</v>
      </c>
      <c r="AC99" s="2" t="s">
        <v>128</v>
      </c>
      <c r="AD99" s="2" t="s">
        <v>284</v>
      </c>
      <c r="AE99" s="2" t="s">
        <v>1733</v>
      </c>
      <c r="AF99" s="2" t="s">
        <v>74</v>
      </c>
      <c r="AG99" s="2" t="s">
        <v>74</v>
      </c>
      <c r="AH99" s="2" t="s">
        <v>96</v>
      </c>
      <c r="AI99" s="2" t="s">
        <v>74</v>
      </c>
      <c r="AJ99" s="2" t="s">
        <v>74</v>
      </c>
      <c r="AK99" s="2" t="s">
        <v>74</v>
      </c>
      <c r="AL99" s="2" t="s">
        <v>74</v>
      </c>
      <c r="AM99" s="2" t="s">
        <v>74</v>
      </c>
      <c r="AN99" s="2" t="s">
        <v>358</v>
      </c>
      <c r="AO99" s="2" t="s">
        <v>1734</v>
      </c>
      <c r="AP99" s="2" t="s">
        <v>1735</v>
      </c>
      <c r="AQ99" s="2" t="s">
        <v>1736</v>
      </c>
      <c r="AR99" s="2" t="s">
        <v>74</v>
      </c>
      <c r="AS99" s="2" t="s">
        <v>1737</v>
      </c>
      <c r="AT99" s="2" t="s">
        <v>780</v>
      </c>
      <c r="AU99" s="2" t="s">
        <v>74</v>
      </c>
      <c r="AV99" s="2"/>
      <c r="AW99" s="2" t="s">
        <v>1738</v>
      </c>
      <c r="AX99" s="2" t="s">
        <v>761</v>
      </c>
      <c r="AY99" s="2" t="s">
        <v>288</v>
      </c>
      <c r="AZ99" s="2" t="s">
        <v>136</v>
      </c>
      <c r="BA99" s="2" t="s">
        <v>1739</v>
      </c>
      <c r="BB99" s="2" t="s">
        <v>107</v>
      </c>
      <c r="BC99" s="2" t="s">
        <v>108</v>
      </c>
      <c r="BD99" s="2" t="s">
        <v>171</v>
      </c>
      <c r="BE99" s="2" t="s">
        <v>83</v>
      </c>
      <c r="BF99" s="2" t="s">
        <v>270</v>
      </c>
      <c r="BG99" s="2"/>
      <c r="BH99" s="2" t="s">
        <v>572</v>
      </c>
      <c r="BI99" s="2" t="s">
        <v>551</v>
      </c>
      <c r="BJ99" s="2"/>
      <c r="BK99" s="2" t="s">
        <v>74</v>
      </c>
      <c r="BL99" s="2"/>
      <c r="BM99" s="2"/>
    </row>
    <row r="100" spans="1:65" ht="12.5">
      <c r="A100" s="22">
        <v>43856.524759155094</v>
      </c>
      <c r="B100" s="2" t="s">
        <v>1741</v>
      </c>
      <c r="C100" s="2" t="s">
        <v>1742</v>
      </c>
      <c r="D100" s="2" t="s">
        <v>1743</v>
      </c>
      <c r="E100" s="2" t="s">
        <v>74</v>
      </c>
      <c r="F100" s="25" t="s">
        <v>1744</v>
      </c>
      <c r="G100" s="2" t="s">
        <v>1745</v>
      </c>
      <c r="H100" s="2" t="s">
        <v>1746</v>
      </c>
      <c r="I100" s="2" t="s">
        <v>152</v>
      </c>
      <c r="J100" s="2" t="s">
        <v>680</v>
      </c>
      <c r="K100" s="2" t="s">
        <v>608</v>
      </c>
      <c r="L100" s="2" t="s">
        <v>1747</v>
      </c>
      <c r="M100" s="2" t="s">
        <v>118</v>
      </c>
      <c r="N100" s="23">
        <v>2019</v>
      </c>
      <c r="O100" s="2" t="s">
        <v>82</v>
      </c>
      <c r="P100" s="2" t="s">
        <v>83</v>
      </c>
      <c r="Q100" s="2"/>
      <c r="R100" s="2" t="s">
        <v>1748</v>
      </c>
      <c r="S100" s="2" t="s">
        <v>729</v>
      </c>
      <c r="T100" s="2" t="s">
        <v>95</v>
      </c>
      <c r="U100" s="2" t="s">
        <v>1749</v>
      </c>
      <c r="V100" s="2" t="s">
        <v>87</v>
      </c>
      <c r="W100" s="2" t="s">
        <v>499</v>
      </c>
      <c r="X100" s="2" t="s">
        <v>74</v>
      </c>
      <c r="Y100" s="2" t="s">
        <v>1750</v>
      </c>
      <c r="Z100" s="2" t="s">
        <v>89</v>
      </c>
      <c r="AA100" s="2" t="s">
        <v>90</v>
      </c>
      <c r="AB100" s="2" t="s">
        <v>409</v>
      </c>
      <c r="AC100" s="2" t="s">
        <v>305</v>
      </c>
      <c r="AD100" s="2" t="s">
        <v>1751</v>
      </c>
      <c r="AE100" s="2" t="s">
        <v>1752</v>
      </c>
      <c r="AF100" s="2" t="s">
        <v>95</v>
      </c>
      <c r="AG100" s="2" t="s">
        <v>74</v>
      </c>
      <c r="AH100" s="2" t="s">
        <v>164</v>
      </c>
      <c r="AI100" s="2" t="s">
        <v>208</v>
      </c>
      <c r="AJ100" s="2" t="s">
        <v>74</v>
      </c>
      <c r="AK100" s="2" t="s">
        <v>74</v>
      </c>
      <c r="AL100" s="2" t="s">
        <v>74</v>
      </c>
      <c r="AM100" s="2" t="s">
        <v>95</v>
      </c>
      <c r="AN100" s="2" t="s">
        <v>97</v>
      </c>
      <c r="AO100" s="2" t="s">
        <v>130</v>
      </c>
      <c r="AP100" s="2" t="s">
        <v>1378</v>
      </c>
      <c r="AQ100" s="2" t="s">
        <v>1753</v>
      </c>
      <c r="AR100" s="2" t="s">
        <v>74</v>
      </c>
      <c r="AS100" s="2" t="s">
        <v>1754</v>
      </c>
      <c r="AT100" s="2" t="s">
        <v>107</v>
      </c>
      <c r="AU100" s="24" t="s">
        <v>1755</v>
      </c>
      <c r="AV100" s="2"/>
      <c r="AW100" s="2" t="s">
        <v>233</v>
      </c>
      <c r="AX100" s="2" t="s">
        <v>761</v>
      </c>
      <c r="AY100" s="2" t="s">
        <v>105</v>
      </c>
      <c r="AZ100" s="2" t="s">
        <v>593</v>
      </c>
      <c r="BA100" s="2" t="s">
        <v>1756</v>
      </c>
      <c r="BB100" s="2" t="s">
        <v>107</v>
      </c>
      <c r="BC100" s="2" t="s">
        <v>108</v>
      </c>
      <c r="BD100" s="2" t="s">
        <v>108</v>
      </c>
      <c r="BE100" s="2" t="s">
        <v>233</v>
      </c>
      <c r="BF100" s="2" t="s">
        <v>233</v>
      </c>
      <c r="BG100" s="2"/>
      <c r="BH100" s="2" t="s">
        <v>1757</v>
      </c>
      <c r="BI100" s="2" t="s">
        <v>282</v>
      </c>
      <c r="BJ100" s="2"/>
      <c r="BK100" s="2" t="s">
        <v>83</v>
      </c>
      <c r="BL100" s="24" t="s">
        <v>1758</v>
      </c>
      <c r="BM100" s="24"/>
    </row>
    <row r="101" spans="1:65" ht="12.5">
      <c r="A101" s="22">
        <v>43857.650160914352</v>
      </c>
      <c r="B101" s="2" t="s">
        <v>1759</v>
      </c>
      <c r="C101" s="2" t="s">
        <v>1760</v>
      </c>
      <c r="D101" s="2" t="s">
        <v>1761</v>
      </c>
      <c r="E101" s="2" t="s">
        <v>74</v>
      </c>
      <c r="F101" s="25" t="s">
        <v>1762</v>
      </c>
      <c r="G101" s="2" t="s">
        <v>1763</v>
      </c>
      <c r="H101" s="2" t="s">
        <v>1764</v>
      </c>
      <c r="I101" s="2" t="s">
        <v>152</v>
      </c>
      <c r="J101" s="2" t="s">
        <v>682</v>
      </c>
      <c r="K101" s="2" t="s">
        <v>1276</v>
      </c>
      <c r="L101" s="2" t="s">
        <v>1765</v>
      </c>
      <c r="M101" s="2" t="s">
        <v>418</v>
      </c>
      <c r="N101" s="23">
        <v>2014</v>
      </c>
      <c r="O101" s="2" t="s">
        <v>82</v>
      </c>
      <c r="P101" s="2" t="s">
        <v>95</v>
      </c>
      <c r="Q101" s="2" t="s">
        <v>119</v>
      </c>
      <c r="R101" s="2" t="s">
        <v>84</v>
      </c>
      <c r="S101" s="2" t="s">
        <v>258</v>
      </c>
      <c r="T101" s="2" t="s">
        <v>74</v>
      </c>
      <c r="U101" s="2" t="s">
        <v>1766</v>
      </c>
      <c r="V101" s="2" t="s">
        <v>260</v>
      </c>
      <c r="W101" s="2" t="s">
        <v>261</v>
      </c>
      <c r="X101" s="2" t="s">
        <v>74</v>
      </c>
      <c r="Y101" s="2" t="s">
        <v>1767</v>
      </c>
      <c r="Z101" s="2" t="s">
        <v>205</v>
      </c>
      <c r="AA101" s="2" t="s">
        <v>90</v>
      </c>
      <c r="AB101" s="2" t="s">
        <v>999</v>
      </c>
      <c r="AC101" s="2" t="s">
        <v>284</v>
      </c>
      <c r="AD101" s="2" t="s">
        <v>284</v>
      </c>
      <c r="AE101" s="2" t="s">
        <v>94</v>
      </c>
      <c r="AF101" s="2" t="s">
        <v>95</v>
      </c>
      <c r="AG101" s="2" t="s">
        <v>83</v>
      </c>
      <c r="AH101" s="2" t="s">
        <v>284</v>
      </c>
      <c r="AI101" s="2" t="s">
        <v>74</v>
      </c>
      <c r="AJ101" s="2" t="s">
        <v>95</v>
      </c>
      <c r="AK101" s="2" t="s">
        <v>74</v>
      </c>
      <c r="AL101" s="2" t="s">
        <v>74</v>
      </c>
      <c r="AM101" s="2" t="s">
        <v>74</v>
      </c>
      <c r="AN101" s="2" t="s">
        <v>97</v>
      </c>
      <c r="AO101" s="2" t="s">
        <v>130</v>
      </c>
      <c r="AP101" s="2" t="s">
        <v>725</v>
      </c>
      <c r="AQ101" s="2" t="s">
        <v>365</v>
      </c>
      <c r="AR101" s="2" t="s">
        <v>83</v>
      </c>
      <c r="AS101" s="2" t="s">
        <v>101</v>
      </c>
      <c r="AT101" s="2" t="s">
        <v>107</v>
      </c>
      <c r="AU101" s="2" t="s">
        <v>83</v>
      </c>
      <c r="AV101" s="2"/>
      <c r="AW101" s="2" t="s">
        <v>107</v>
      </c>
      <c r="AX101" s="2" t="s">
        <v>398</v>
      </c>
      <c r="AY101" s="2" t="s">
        <v>168</v>
      </c>
      <c r="AZ101" s="2" t="s">
        <v>136</v>
      </c>
      <c r="BA101" s="2" t="s">
        <v>1768</v>
      </c>
      <c r="BB101" s="2" t="s">
        <v>233</v>
      </c>
      <c r="BC101" s="2" t="s">
        <v>314</v>
      </c>
      <c r="BD101" s="2" t="s">
        <v>315</v>
      </c>
      <c r="BE101" s="2" t="s">
        <v>83</v>
      </c>
      <c r="BF101" s="23">
        <v>0</v>
      </c>
      <c r="BG101" s="2"/>
      <c r="BH101" s="2" t="s">
        <v>233</v>
      </c>
      <c r="BI101" s="2" t="s">
        <v>233</v>
      </c>
      <c r="BJ101" s="2"/>
      <c r="BK101" s="2" t="s">
        <v>74</v>
      </c>
      <c r="BL101" s="2"/>
      <c r="BM101" s="2"/>
    </row>
    <row r="102" spans="1:65" ht="12.5">
      <c r="A102" s="22">
        <v>43858.45363418982</v>
      </c>
      <c r="B102" s="2" t="s">
        <v>1769</v>
      </c>
      <c r="C102" s="2" t="s">
        <v>1770</v>
      </c>
      <c r="D102" s="25" t="s">
        <v>1771</v>
      </c>
      <c r="E102" s="2" t="s">
        <v>83</v>
      </c>
      <c r="F102" s="25" t="s">
        <v>1772</v>
      </c>
      <c r="G102" s="2" t="s">
        <v>1769</v>
      </c>
      <c r="H102" s="2" t="s">
        <v>2078</v>
      </c>
      <c r="I102" s="2" t="s">
        <v>77</v>
      </c>
      <c r="J102" s="2" t="s">
        <v>682</v>
      </c>
      <c r="K102" s="2" t="s">
        <v>1276</v>
      </c>
      <c r="L102" s="2" t="s">
        <v>1774</v>
      </c>
      <c r="M102" s="2" t="s">
        <v>1775</v>
      </c>
      <c r="N102" s="23">
        <v>2016</v>
      </c>
      <c r="O102" s="2" t="s">
        <v>107</v>
      </c>
      <c r="P102" s="2" t="s">
        <v>83</v>
      </c>
      <c r="Q102" s="2" t="s">
        <v>256</v>
      </c>
      <c r="R102" s="2" t="s">
        <v>84</v>
      </c>
      <c r="S102" s="2" t="s">
        <v>385</v>
      </c>
      <c r="T102" s="2" t="s">
        <v>74</v>
      </c>
      <c r="U102" s="2" t="s">
        <v>1395</v>
      </c>
      <c r="V102" s="2" t="s">
        <v>1581</v>
      </c>
      <c r="W102" s="2" t="s">
        <v>261</v>
      </c>
      <c r="X102" s="2" t="s">
        <v>83</v>
      </c>
      <c r="Y102" s="2"/>
      <c r="Z102" s="2" t="s">
        <v>205</v>
      </c>
      <c r="AA102" s="2" t="s">
        <v>126</v>
      </c>
      <c r="AB102" s="2" t="s">
        <v>999</v>
      </c>
      <c r="AC102" s="2" t="s">
        <v>1776</v>
      </c>
      <c r="AD102" s="2" t="s">
        <v>284</v>
      </c>
      <c r="AE102" s="2" t="s">
        <v>163</v>
      </c>
      <c r="AF102" s="2" t="s">
        <v>83</v>
      </c>
      <c r="AG102" s="2" t="s">
        <v>83</v>
      </c>
      <c r="AH102" s="2" t="s">
        <v>284</v>
      </c>
      <c r="AI102" s="2" t="s">
        <v>74</v>
      </c>
      <c r="AJ102" s="2" t="s">
        <v>83</v>
      </c>
      <c r="AK102" s="2" t="s">
        <v>74</v>
      </c>
      <c r="AL102" s="2" t="s">
        <v>83</v>
      </c>
      <c r="AM102" s="2" t="s">
        <v>74</v>
      </c>
      <c r="AN102" s="2" t="s">
        <v>1777</v>
      </c>
      <c r="AO102" s="2" t="s">
        <v>130</v>
      </c>
      <c r="AP102" s="2" t="s">
        <v>725</v>
      </c>
      <c r="AQ102" s="2" t="s">
        <v>631</v>
      </c>
      <c r="AR102" s="2" t="s">
        <v>74</v>
      </c>
      <c r="AS102" s="2" t="s">
        <v>101</v>
      </c>
      <c r="AT102" s="2" t="s">
        <v>857</v>
      </c>
      <c r="AU102" s="24" t="s">
        <v>1778</v>
      </c>
      <c r="AV102" s="2"/>
      <c r="AW102" s="2" t="s">
        <v>1779</v>
      </c>
      <c r="AX102" s="2" t="s">
        <v>167</v>
      </c>
      <c r="AY102" s="2" t="s">
        <v>339</v>
      </c>
      <c r="AZ102" s="24" t="s">
        <v>1780</v>
      </c>
      <c r="BA102" s="2"/>
      <c r="BB102" s="2" t="s">
        <v>107</v>
      </c>
      <c r="BC102" s="2" t="s">
        <v>234</v>
      </c>
      <c r="BD102" s="2" t="s">
        <v>341</v>
      </c>
      <c r="BE102" s="2" t="s">
        <v>83</v>
      </c>
      <c r="BF102" s="23">
        <v>0</v>
      </c>
      <c r="BG102" s="2"/>
      <c r="BH102" s="2" t="s">
        <v>1781</v>
      </c>
      <c r="BI102" s="2" t="s">
        <v>107</v>
      </c>
      <c r="BJ102" s="2"/>
      <c r="BK102" s="2" t="s">
        <v>74</v>
      </c>
      <c r="BL102" s="24" t="s">
        <v>1782</v>
      </c>
      <c r="BM102" s="24"/>
    </row>
    <row r="103" spans="1:65" ht="12.5">
      <c r="A103" s="22">
        <v>43858.65454131944</v>
      </c>
      <c r="B103" s="2" t="s">
        <v>1783</v>
      </c>
      <c r="C103" s="2" t="s">
        <v>1784</v>
      </c>
      <c r="D103" s="2" t="s">
        <v>1785</v>
      </c>
      <c r="E103" s="2" t="s">
        <v>74</v>
      </c>
      <c r="F103" s="25" t="s">
        <v>1786</v>
      </c>
      <c r="G103" s="2" t="s">
        <v>1783</v>
      </c>
      <c r="H103" s="2" t="s">
        <v>1787</v>
      </c>
      <c r="I103" s="2" t="s">
        <v>152</v>
      </c>
      <c r="J103" s="2" t="s">
        <v>682</v>
      </c>
      <c r="K103" s="2" t="s">
        <v>1276</v>
      </c>
      <c r="L103" s="2" t="s">
        <v>1788</v>
      </c>
      <c r="M103" s="2" t="s">
        <v>513</v>
      </c>
      <c r="N103" s="23">
        <v>2006</v>
      </c>
      <c r="O103" s="2" t="s">
        <v>82</v>
      </c>
      <c r="P103" s="2" t="s">
        <v>74</v>
      </c>
      <c r="Q103" s="2" t="s">
        <v>223</v>
      </c>
      <c r="R103" s="2" t="s">
        <v>84</v>
      </c>
      <c r="S103" s="2" t="s">
        <v>1789</v>
      </c>
      <c r="T103" s="2" t="s">
        <v>74</v>
      </c>
      <c r="U103" s="2" t="s">
        <v>1790</v>
      </c>
      <c r="V103" s="2" t="s">
        <v>1791</v>
      </c>
      <c r="W103" s="2" t="s">
        <v>261</v>
      </c>
      <c r="X103" s="2" t="s">
        <v>74</v>
      </c>
      <c r="Y103" s="2" t="s">
        <v>1792</v>
      </c>
      <c r="Z103" s="2" t="s">
        <v>303</v>
      </c>
      <c r="AA103" s="2" t="s">
        <v>90</v>
      </c>
      <c r="AB103" s="2" t="s">
        <v>1793</v>
      </c>
      <c r="AC103" s="2" t="s">
        <v>773</v>
      </c>
      <c r="AD103" s="2" t="s">
        <v>284</v>
      </c>
      <c r="AE103" s="2" t="s">
        <v>163</v>
      </c>
      <c r="AF103" s="2" t="s">
        <v>74</v>
      </c>
      <c r="AG103" s="2" t="s">
        <v>74</v>
      </c>
      <c r="AH103" s="2" t="s">
        <v>284</v>
      </c>
      <c r="AI103" s="2" t="s">
        <v>74</v>
      </c>
      <c r="AJ103" s="2" t="s">
        <v>74</v>
      </c>
      <c r="AK103" s="2" t="s">
        <v>74</v>
      </c>
      <c r="AL103" s="2" t="s">
        <v>74</v>
      </c>
      <c r="AM103" s="2" t="s">
        <v>74</v>
      </c>
      <c r="AN103" s="2" t="s">
        <v>97</v>
      </c>
      <c r="AO103" s="2" t="s">
        <v>233</v>
      </c>
      <c r="AP103" s="2" t="s">
        <v>975</v>
      </c>
      <c r="AQ103" s="2" t="s">
        <v>1736</v>
      </c>
      <c r="AR103" s="2" t="s">
        <v>83</v>
      </c>
      <c r="AS103" s="2" t="s">
        <v>1794</v>
      </c>
      <c r="AT103" s="2" t="s">
        <v>107</v>
      </c>
      <c r="AU103" s="29" t="s">
        <v>1795</v>
      </c>
      <c r="AV103" s="2"/>
      <c r="AW103" s="2" t="s">
        <v>103</v>
      </c>
      <c r="AX103" s="2" t="s">
        <v>522</v>
      </c>
      <c r="AY103" s="2" t="s">
        <v>288</v>
      </c>
      <c r="AZ103" s="2" t="s">
        <v>313</v>
      </c>
      <c r="BA103" s="2" t="s">
        <v>1796</v>
      </c>
      <c r="BB103" s="2" t="s">
        <v>233</v>
      </c>
      <c r="BC103" s="2" t="s">
        <v>314</v>
      </c>
      <c r="BD103" s="2" t="s">
        <v>235</v>
      </c>
      <c r="BE103" s="2" t="s">
        <v>83</v>
      </c>
      <c r="BF103" s="2" t="s">
        <v>814</v>
      </c>
      <c r="BG103" s="25" t="s">
        <v>1797</v>
      </c>
      <c r="BH103" s="2" t="s">
        <v>143</v>
      </c>
      <c r="BI103" s="2" t="s">
        <v>282</v>
      </c>
      <c r="BJ103" s="2"/>
      <c r="BK103" s="2" t="s">
        <v>74</v>
      </c>
      <c r="BL103" s="2"/>
      <c r="BM103" s="2"/>
    </row>
    <row r="104" spans="1:65" ht="12.5">
      <c r="A104" s="22">
        <v>43859.60638809028</v>
      </c>
      <c r="B104" s="2" t="s">
        <v>1800</v>
      </c>
      <c r="C104" s="2" t="s">
        <v>1801</v>
      </c>
      <c r="D104" s="2" t="s">
        <v>1802</v>
      </c>
      <c r="E104" s="2" t="s">
        <v>83</v>
      </c>
      <c r="F104" s="25" t="s">
        <v>1803</v>
      </c>
      <c r="G104" s="25" t="s">
        <v>1804</v>
      </c>
      <c r="H104" s="2" t="s">
        <v>1805</v>
      </c>
      <c r="I104" s="2" t="s">
        <v>77</v>
      </c>
      <c r="J104" s="2" t="s">
        <v>1806</v>
      </c>
      <c r="K104" s="2" t="s">
        <v>1807</v>
      </c>
      <c r="L104" s="2" t="s">
        <v>1808</v>
      </c>
      <c r="M104" s="2" t="s">
        <v>418</v>
      </c>
      <c r="N104" s="23">
        <v>2018</v>
      </c>
      <c r="O104" s="2" t="s">
        <v>82</v>
      </c>
      <c r="P104" s="2" t="s">
        <v>95</v>
      </c>
      <c r="Q104" s="2" t="s">
        <v>282</v>
      </c>
      <c r="R104" s="2" t="s">
        <v>84</v>
      </c>
      <c r="S104" s="2" t="s">
        <v>120</v>
      </c>
      <c r="T104" s="2" t="s">
        <v>158</v>
      </c>
      <c r="U104" s="2" t="s">
        <v>1810</v>
      </c>
      <c r="V104" s="2" t="s">
        <v>1811</v>
      </c>
      <c r="W104" s="2" t="s">
        <v>366</v>
      </c>
      <c r="X104" s="2" t="s">
        <v>107</v>
      </c>
      <c r="Y104" s="2"/>
      <c r="Z104" s="2" t="s">
        <v>125</v>
      </c>
      <c r="AA104" s="2" t="s">
        <v>126</v>
      </c>
      <c r="AB104" s="2" t="s">
        <v>107</v>
      </c>
      <c r="AC104" s="2" t="s">
        <v>107</v>
      </c>
      <c r="AD104" s="2" t="s">
        <v>107</v>
      </c>
      <c r="AE104" s="2" t="s">
        <v>107</v>
      </c>
      <c r="AF104" s="2" t="s">
        <v>107</v>
      </c>
      <c r="AG104" s="2" t="s">
        <v>107</v>
      </c>
      <c r="AH104" s="2" t="s">
        <v>107</v>
      </c>
      <c r="AI104" s="2" t="s">
        <v>107</v>
      </c>
      <c r="AJ104" s="2" t="s">
        <v>107</v>
      </c>
      <c r="AK104" s="2" t="s">
        <v>107</v>
      </c>
      <c r="AL104" s="2" t="s">
        <v>107</v>
      </c>
      <c r="AM104" s="2" t="s">
        <v>107</v>
      </c>
      <c r="AN104" s="2" t="s">
        <v>107</v>
      </c>
      <c r="AO104" s="2" t="s">
        <v>107</v>
      </c>
      <c r="AP104" s="2" t="s">
        <v>107</v>
      </c>
      <c r="AQ104" s="2" t="s">
        <v>107</v>
      </c>
      <c r="AR104" s="2" t="s">
        <v>107</v>
      </c>
      <c r="AS104" s="2" t="s">
        <v>107</v>
      </c>
      <c r="AT104" s="2" t="s">
        <v>107</v>
      </c>
      <c r="AU104" s="2" t="s">
        <v>107</v>
      </c>
      <c r="AV104" s="2"/>
      <c r="AW104" s="2" t="s">
        <v>107</v>
      </c>
      <c r="AX104" s="2" t="s">
        <v>107</v>
      </c>
      <c r="AY104" s="2" t="s">
        <v>168</v>
      </c>
      <c r="AZ104" s="2" t="s">
        <v>168</v>
      </c>
      <c r="BA104" s="2"/>
      <c r="BB104" s="2" t="s">
        <v>107</v>
      </c>
      <c r="BC104" s="2" t="s">
        <v>108</v>
      </c>
      <c r="BD104" s="2" t="s">
        <v>108</v>
      </c>
      <c r="BE104" s="2" t="s">
        <v>107</v>
      </c>
      <c r="BF104" s="2" t="s">
        <v>107</v>
      </c>
      <c r="BG104" s="2"/>
      <c r="BH104" s="2" t="s">
        <v>107</v>
      </c>
      <c r="BI104" s="2" t="s">
        <v>107</v>
      </c>
      <c r="BJ104" s="2"/>
      <c r="BK104" s="2" t="s">
        <v>83</v>
      </c>
      <c r="BL104" s="24" t="s">
        <v>1812</v>
      </c>
      <c r="BM104" s="2"/>
    </row>
    <row r="105" spans="1:65" ht="12.5">
      <c r="A105" s="22">
        <v>43859.623147719903</v>
      </c>
      <c r="B105" s="2" t="s">
        <v>1800</v>
      </c>
      <c r="C105" s="2" t="s">
        <v>1801</v>
      </c>
      <c r="D105" s="2" t="s">
        <v>1813</v>
      </c>
      <c r="E105" s="2" t="s">
        <v>83</v>
      </c>
      <c r="F105" s="25" t="s">
        <v>1814</v>
      </c>
      <c r="G105" s="2" t="s">
        <v>1815</v>
      </c>
      <c r="H105" s="2" t="s">
        <v>1816</v>
      </c>
      <c r="I105" s="2" t="s">
        <v>750</v>
      </c>
      <c r="J105" s="2" t="s">
        <v>1817</v>
      </c>
      <c r="K105" s="2" t="s">
        <v>1488</v>
      </c>
      <c r="L105" s="2" t="s">
        <v>1818</v>
      </c>
      <c r="M105" s="2" t="s">
        <v>418</v>
      </c>
      <c r="N105" s="23">
        <v>2018</v>
      </c>
      <c r="O105" s="23">
        <v>2019</v>
      </c>
      <c r="P105" s="2" t="s">
        <v>95</v>
      </c>
      <c r="Q105" s="2" t="s">
        <v>282</v>
      </c>
      <c r="R105" s="2" t="s">
        <v>84</v>
      </c>
      <c r="S105" s="2" t="s">
        <v>120</v>
      </c>
      <c r="T105" s="2" t="s">
        <v>158</v>
      </c>
      <c r="U105" s="2" t="s">
        <v>1810</v>
      </c>
      <c r="V105" s="2" t="s">
        <v>1819</v>
      </c>
      <c r="W105" s="2" t="s">
        <v>499</v>
      </c>
      <c r="X105" s="2" t="s">
        <v>107</v>
      </c>
      <c r="Y105" s="2"/>
      <c r="Z105" s="2" t="s">
        <v>125</v>
      </c>
      <c r="AA105" s="2" t="s">
        <v>107</v>
      </c>
      <c r="AB105" s="2" t="s">
        <v>107</v>
      </c>
      <c r="AC105" s="2" t="s">
        <v>107</v>
      </c>
      <c r="AD105" s="2" t="s">
        <v>107</v>
      </c>
      <c r="AE105" s="2" t="s">
        <v>107</v>
      </c>
      <c r="AF105" s="2" t="s">
        <v>107</v>
      </c>
      <c r="AG105" s="2" t="s">
        <v>107</v>
      </c>
      <c r="AH105" s="2" t="s">
        <v>107</v>
      </c>
      <c r="AI105" s="2" t="s">
        <v>107</v>
      </c>
      <c r="AJ105" s="2" t="s">
        <v>107</v>
      </c>
      <c r="AK105" s="2" t="s">
        <v>107</v>
      </c>
      <c r="AL105" s="2" t="s">
        <v>107</v>
      </c>
      <c r="AM105" s="2" t="s">
        <v>107</v>
      </c>
      <c r="AN105" s="2" t="s">
        <v>107</v>
      </c>
      <c r="AO105" s="2" t="s">
        <v>107</v>
      </c>
      <c r="AP105" s="2" t="s">
        <v>107</v>
      </c>
      <c r="AQ105" s="2" t="s">
        <v>107</v>
      </c>
      <c r="AR105" s="2" t="s">
        <v>107</v>
      </c>
      <c r="AS105" s="2" t="s">
        <v>107</v>
      </c>
      <c r="AT105" s="2" t="s">
        <v>107</v>
      </c>
      <c r="AU105" s="2" t="s">
        <v>107</v>
      </c>
      <c r="AV105" s="2"/>
      <c r="AW105" s="2" t="s">
        <v>107</v>
      </c>
      <c r="AX105" s="2" t="s">
        <v>107</v>
      </c>
      <c r="AY105" s="2" t="s">
        <v>107</v>
      </c>
      <c r="AZ105" s="2" t="s">
        <v>107</v>
      </c>
      <c r="BA105" s="2"/>
      <c r="BB105" s="2" t="s">
        <v>107</v>
      </c>
      <c r="BC105" s="2" t="s">
        <v>108</v>
      </c>
      <c r="BD105" s="2" t="s">
        <v>108</v>
      </c>
      <c r="BE105" s="2" t="s">
        <v>107</v>
      </c>
      <c r="BF105" s="2" t="s">
        <v>107</v>
      </c>
      <c r="BG105" s="2"/>
      <c r="BH105" s="2" t="s">
        <v>107</v>
      </c>
      <c r="BI105" s="2" t="s">
        <v>107</v>
      </c>
      <c r="BJ105" s="2"/>
      <c r="BK105" s="2" t="s">
        <v>83</v>
      </c>
      <c r="BL105" s="24" t="s">
        <v>1820</v>
      </c>
      <c r="BM105" s="24"/>
    </row>
    <row r="106" spans="1:65" ht="12.5">
      <c r="A106" s="22">
        <v>43860.401878321762</v>
      </c>
      <c r="B106" s="2" t="s">
        <v>1823</v>
      </c>
      <c r="C106" s="2" t="s">
        <v>1824</v>
      </c>
      <c r="D106" s="2" t="s">
        <v>1825</v>
      </c>
      <c r="E106" s="2" t="s">
        <v>74</v>
      </c>
      <c r="F106" s="25" t="s">
        <v>1826</v>
      </c>
      <c r="G106" s="2" t="s">
        <v>1823</v>
      </c>
      <c r="H106" s="2" t="s">
        <v>1827</v>
      </c>
      <c r="I106" s="2" t="s">
        <v>616</v>
      </c>
      <c r="J106" s="2" t="s">
        <v>696</v>
      </c>
      <c r="K106" s="2" t="s">
        <v>608</v>
      </c>
      <c r="L106" s="2" t="s">
        <v>1828</v>
      </c>
      <c r="M106" s="2" t="s">
        <v>513</v>
      </c>
      <c r="N106" s="23">
        <v>2018</v>
      </c>
      <c r="O106" s="23">
        <v>2019</v>
      </c>
      <c r="P106" s="2" t="s">
        <v>74</v>
      </c>
      <c r="Q106" s="2" t="s">
        <v>282</v>
      </c>
      <c r="R106" s="2" t="s">
        <v>1829</v>
      </c>
      <c r="S106" s="2" t="s">
        <v>731</v>
      </c>
      <c r="T106" s="2" t="s">
        <v>74</v>
      </c>
      <c r="U106" s="2" t="s">
        <v>1830</v>
      </c>
      <c r="V106" s="2" t="s">
        <v>1831</v>
      </c>
      <c r="W106" s="2" t="s">
        <v>366</v>
      </c>
      <c r="X106" s="2" t="s">
        <v>83</v>
      </c>
      <c r="Y106" s="2"/>
      <c r="Z106" s="2" t="s">
        <v>125</v>
      </c>
      <c r="AA106" s="2" t="s">
        <v>90</v>
      </c>
      <c r="AB106" s="2" t="s">
        <v>1832</v>
      </c>
      <c r="AC106" s="2" t="s">
        <v>1833</v>
      </c>
      <c r="AD106" s="2" t="s">
        <v>353</v>
      </c>
      <c r="AE106" s="2" t="s">
        <v>264</v>
      </c>
      <c r="AF106" s="2" t="s">
        <v>83</v>
      </c>
      <c r="AG106" s="2" t="s">
        <v>83</v>
      </c>
      <c r="AH106" s="2" t="s">
        <v>284</v>
      </c>
      <c r="AI106" s="2" t="s">
        <v>83</v>
      </c>
      <c r="AJ106" s="2" t="s">
        <v>74</v>
      </c>
      <c r="AK106" s="2" t="s">
        <v>74</v>
      </c>
      <c r="AL106" s="2" t="s">
        <v>74</v>
      </c>
      <c r="AM106" s="2" t="s">
        <v>74</v>
      </c>
      <c r="AN106" s="2" t="s">
        <v>97</v>
      </c>
      <c r="AO106" s="2" t="s">
        <v>107</v>
      </c>
      <c r="AP106" s="2" t="s">
        <v>520</v>
      </c>
      <c r="AQ106" s="2" t="s">
        <v>166</v>
      </c>
      <c r="AR106" s="2" t="s">
        <v>74</v>
      </c>
      <c r="AS106" s="2" t="s">
        <v>101</v>
      </c>
      <c r="AT106" s="2" t="s">
        <v>107</v>
      </c>
      <c r="AU106" s="2" t="s">
        <v>83</v>
      </c>
      <c r="AV106" s="2"/>
      <c r="AW106" s="2" t="s">
        <v>107</v>
      </c>
      <c r="AX106" s="2" t="s">
        <v>761</v>
      </c>
      <c r="AY106" s="2" t="s">
        <v>168</v>
      </c>
      <c r="AZ106" s="2" t="s">
        <v>313</v>
      </c>
      <c r="BA106" s="2" t="s">
        <v>1834</v>
      </c>
      <c r="BB106" s="23">
        <v>0</v>
      </c>
      <c r="BC106" s="2" t="s">
        <v>171</v>
      </c>
      <c r="BD106" s="2" t="s">
        <v>235</v>
      </c>
      <c r="BE106" s="2" t="s">
        <v>74</v>
      </c>
      <c r="BF106" s="23">
        <v>0</v>
      </c>
      <c r="BG106" s="2"/>
      <c r="BH106" s="2" t="s">
        <v>107</v>
      </c>
      <c r="BI106" s="2" t="s">
        <v>107</v>
      </c>
      <c r="BJ106" s="2"/>
      <c r="BK106" s="2" t="s">
        <v>74</v>
      </c>
      <c r="BL106" s="2"/>
      <c r="BM106" s="2"/>
    </row>
    <row r="107" spans="1:65" ht="12.5">
      <c r="A107" s="22">
        <v>43871.687573854171</v>
      </c>
      <c r="B107" s="2" t="s">
        <v>1835</v>
      </c>
      <c r="C107" s="2" t="s">
        <v>1835</v>
      </c>
      <c r="D107" s="2" t="s">
        <v>1836</v>
      </c>
      <c r="E107" s="2" t="s">
        <v>83</v>
      </c>
      <c r="F107" s="2" t="s">
        <v>322</v>
      </c>
      <c r="G107" s="2" t="s">
        <v>1837</v>
      </c>
      <c r="H107" s="2" t="s">
        <v>1838</v>
      </c>
      <c r="I107" s="2" t="s">
        <v>328</v>
      </c>
      <c r="J107" s="2" t="s">
        <v>1839</v>
      </c>
      <c r="K107" s="2" t="s">
        <v>1840</v>
      </c>
      <c r="L107" s="2" t="s">
        <v>1841</v>
      </c>
      <c r="M107" s="2" t="s">
        <v>1842</v>
      </c>
      <c r="N107" s="23">
        <v>2019</v>
      </c>
      <c r="O107" s="2" t="s">
        <v>82</v>
      </c>
      <c r="P107" s="2" t="s">
        <v>74</v>
      </c>
      <c r="Q107" s="2" t="s">
        <v>282</v>
      </c>
      <c r="R107" s="2" t="s">
        <v>1843</v>
      </c>
      <c r="S107" s="2" t="s">
        <v>85</v>
      </c>
      <c r="T107" s="2" t="s">
        <v>74</v>
      </c>
      <c r="U107" s="2" t="s">
        <v>1844</v>
      </c>
      <c r="V107" s="2" t="s">
        <v>491</v>
      </c>
      <c r="W107" s="2" t="s">
        <v>123</v>
      </c>
      <c r="X107" s="2" t="s">
        <v>83</v>
      </c>
      <c r="Y107" s="2"/>
      <c r="Z107" s="2" t="s">
        <v>125</v>
      </c>
      <c r="AA107" s="2" t="s">
        <v>126</v>
      </c>
      <c r="AB107" s="2" t="s">
        <v>1845</v>
      </c>
      <c r="AC107" s="2" t="s">
        <v>567</v>
      </c>
      <c r="AD107" s="2" t="s">
        <v>93</v>
      </c>
      <c r="AE107" s="2" t="s">
        <v>264</v>
      </c>
      <c r="AF107" s="2" t="s">
        <v>74</v>
      </c>
      <c r="AG107" s="2" t="s">
        <v>74</v>
      </c>
      <c r="AH107" s="2" t="s">
        <v>265</v>
      </c>
      <c r="AI107" s="2" t="s">
        <v>233</v>
      </c>
      <c r="AJ107" s="2" t="s">
        <v>74</v>
      </c>
      <c r="AK107" s="2" t="s">
        <v>74</v>
      </c>
      <c r="AL107" s="2" t="s">
        <v>74</v>
      </c>
      <c r="AM107" s="2" t="s">
        <v>74</v>
      </c>
      <c r="AN107" s="2" t="s">
        <v>97</v>
      </c>
      <c r="AO107" s="2" t="s">
        <v>98</v>
      </c>
      <c r="AP107" s="2" t="s">
        <v>233</v>
      </c>
      <c r="AQ107" s="2" t="s">
        <v>631</v>
      </c>
      <c r="AR107" s="2" t="s">
        <v>74</v>
      </c>
      <c r="AS107" s="2" t="s">
        <v>107</v>
      </c>
      <c r="AT107" s="2" t="s">
        <v>107</v>
      </c>
      <c r="AU107" s="2" t="s">
        <v>107</v>
      </c>
      <c r="AV107" s="2"/>
      <c r="AW107" s="2" t="s">
        <v>107</v>
      </c>
      <c r="AX107" s="2" t="s">
        <v>1847</v>
      </c>
      <c r="AY107" s="2" t="s">
        <v>136</v>
      </c>
      <c r="AZ107" s="2" t="s">
        <v>1068</v>
      </c>
      <c r="BA107" s="2"/>
      <c r="BB107" s="2" t="s">
        <v>107</v>
      </c>
      <c r="BC107" s="2" t="s">
        <v>108</v>
      </c>
      <c r="BD107" s="2" t="s">
        <v>108</v>
      </c>
      <c r="BE107" s="2" t="s">
        <v>107</v>
      </c>
      <c r="BF107" s="2" t="s">
        <v>107</v>
      </c>
      <c r="BG107" s="2"/>
      <c r="BH107" s="2" t="s">
        <v>107</v>
      </c>
      <c r="BI107" s="2" t="s">
        <v>107</v>
      </c>
      <c r="BJ107" s="2"/>
      <c r="BK107" s="2" t="s">
        <v>83</v>
      </c>
      <c r="BL107" s="24" t="s">
        <v>1848</v>
      </c>
      <c r="BM107" s="24"/>
    </row>
    <row r="108" spans="1:65" ht="12.5">
      <c r="A108" s="22">
        <v>43886.705631284727</v>
      </c>
      <c r="B108" s="2" t="s">
        <v>1851</v>
      </c>
      <c r="C108" s="2" t="s">
        <v>1852</v>
      </c>
      <c r="D108" s="2" t="s">
        <v>2079</v>
      </c>
      <c r="E108" s="2" t="s">
        <v>83</v>
      </c>
      <c r="F108" s="2" t="s">
        <v>2080</v>
      </c>
      <c r="G108" s="2" t="s">
        <v>1855</v>
      </c>
      <c r="H108" s="2" t="s">
        <v>2081</v>
      </c>
      <c r="I108" s="2" t="s">
        <v>152</v>
      </c>
      <c r="J108" s="2" t="s">
        <v>680</v>
      </c>
      <c r="K108" s="2" t="s">
        <v>608</v>
      </c>
      <c r="L108" s="2" t="s">
        <v>1857</v>
      </c>
      <c r="M108" s="2" t="s">
        <v>118</v>
      </c>
      <c r="N108" s="23">
        <v>2007</v>
      </c>
      <c r="O108" s="2" t="s">
        <v>82</v>
      </c>
      <c r="P108" s="2" t="s">
        <v>83</v>
      </c>
      <c r="Q108" s="2"/>
      <c r="R108" s="2" t="s">
        <v>84</v>
      </c>
      <c r="S108" s="2" t="s">
        <v>1858</v>
      </c>
      <c r="T108" s="2" t="s">
        <v>158</v>
      </c>
      <c r="U108" s="2" t="s">
        <v>582</v>
      </c>
      <c r="V108" s="2" t="s">
        <v>190</v>
      </c>
      <c r="W108" s="2" t="s">
        <v>88</v>
      </c>
      <c r="X108" s="2" t="s">
        <v>83</v>
      </c>
      <c r="Y108" s="2"/>
      <c r="Z108" s="2" t="s">
        <v>125</v>
      </c>
      <c r="AA108" s="2" t="s">
        <v>126</v>
      </c>
      <c r="AB108" s="2" t="s">
        <v>1859</v>
      </c>
      <c r="AC108" s="2" t="s">
        <v>305</v>
      </c>
      <c r="AD108" s="2" t="s">
        <v>93</v>
      </c>
      <c r="AE108" s="2" t="s">
        <v>163</v>
      </c>
      <c r="AF108" s="2" t="s">
        <v>74</v>
      </c>
      <c r="AG108" s="2" t="s">
        <v>74</v>
      </c>
      <c r="AH108" s="2" t="s">
        <v>96</v>
      </c>
      <c r="AI108" s="2" t="s">
        <v>83</v>
      </c>
      <c r="AJ108" s="2" t="s">
        <v>95</v>
      </c>
      <c r="AK108" s="2" t="s">
        <v>74</v>
      </c>
      <c r="AL108" s="2" t="s">
        <v>74</v>
      </c>
      <c r="AM108" s="2" t="s">
        <v>74</v>
      </c>
      <c r="AN108" s="2" t="s">
        <v>97</v>
      </c>
      <c r="AO108" s="2" t="s">
        <v>130</v>
      </c>
      <c r="AP108" s="2" t="s">
        <v>1378</v>
      </c>
      <c r="AQ108" s="2" t="s">
        <v>1096</v>
      </c>
      <c r="AR108" s="2" t="s">
        <v>83</v>
      </c>
      <c r="AS108" s="2" t="s">
        <v>1860</v>
      </c>
      <c r="AT108" s="2" t="s">
        <v>107</v>
      </c>
      <c r="AU108" s="2" t="s">
        <v>233</v>
      </c>
      <c r="AV108" s="2"/>
      <c r="AW108" s="2" t="s">
        <v>1861</v>
      </c>
      <c r="AX108" s="2" t="s">
        <v>167</v>
      </c>
      <c r="AY108" s="2" t="s">
        <v>339</v>
      </c>
      <c r="AZ108" s="2" t="s">
        <v>233</v>
      </c>
      <c r="BA108" s="2"/>
      <c r="BB108" s="2" t="s">
        <v>233</v>
      </c>
      <c r="BC108" s="2" t="s">
        <v>172</v>
      </c>
      <c r="BD108" s="2" t="s">
        <v>108</v>
      </c>
      <c r="BE108" s="2" t="s">
        <v>83</v>
      </c>
      <c r="BF108" s="2" t="s">
        <v>107</v>
      </c>
      <c r="BG108" s="2"/>
      <c r="BH108" s="2" t="s">
        <v>107</v>
      </c>
      <c r="BI108" s="2" t="s">
        <v>107</v>
      </c>
      <c r="BJ108" s="2"/>
      <c r="BK108" s="2" t="s">
        <v>83</v>
      </c>
      <c r="BL108" s="24" t="s">
        <v>1862</v>
      </c>
      <c r="BM108" s="24"/>
    </row>
    <row r="109" spans="1:65" ht="12.5">
      <c r="A109" s="22">
        <v>43889.550806817133</v>
      </c>
      <c r="B109" s="2" t="s">
        <v>1863</v>
      </c>
      <c r="C109" s="2" t="s">
        <v>1864</v>
      </c>
      <c r="D109" s="2" t="s">
        <v>1865</v>
      </c>
      <c r="E109" s="2" t="s">
        <v>74</v>
      </c>
      <c r="F109" s="25" t="s">
        <v>1866</v>
      </c>
      <c r="G109" s="2" t="s">
        <v>1863</v>
      </c>
      <c r="H109" s="2" t="s">
        <v>1867</v>
      </c>
      <c r="I109" s="2" t="s">
        <v>77</v>
      </c>
      <c r="J109" s="2" t="s">
        <v>680</v>
      </c>
      <c r="K109" s="2" t="s">
        <v>608</v>
      </c>
      <c r="L109" s="2" t="s">
        <v>1868</v>
      </c>
      <c r="M109" s="2" t="s">
        <v>1869</v>
      </c>
      <c r="N109" s="23">
        <v>2008</v>
      </c>
      <c r="O109" s="2" t="s">
        <v>82</v>
      </c>
      <c r="P109" s="2" t="s">
        <v>83</v>
      </c>
      <c r="Q109" s="2"/>
      <c r="R109" s="2" t="s">
        <v>84</v>
      </c>
      <c r="S109" s="2" t="s">
        <v>729</v>
      </c>
      <c r="T109" s="2" t="s">
        <v>74</v>
      </c>
      <c r="U109" s="2" t="s">
        <v>614</v>
      </c>
      <c r="V109" s="2" t="s">
        <v>829</v>
      </c>
      <c r="W109" s="2" t="s">
        <v>499</v>
      </c>
      <c r="X109" s="2" t="s">
        <v>74</v>
      </c>
      <c r="Y109" s="2" t="s">
        <v>1870</v>
      </c>
      <c r="Z109" s="2" t="s">
        <v>303</v>
      </c>
      <c r="AA109" s="2" t="s">
        <v>126</v>
      </c>
      <c r="AB109" s="2" t="s">
        <v>566</v>
      </c>
      <c r="AC109" s="2" t="s">
        <v>305</v>
      </c>
      <c r="AD109" s="2" t="s">
        <v>353</v>
      </c>
      <c r="AE109" s="2" t="s">
        <v>1871</v>
      </c>
      <c r="AF109" s="2" t="s">
        <v>74</v>
      </c>
      <c r="AG109" s="2" t="s">
        <v>74</v>
      </c>
      <c r="AH109" s="2" t="s">
        <v>96</v>
      </c>
      <c r="AI109" s="2" t="s">
        <v>208</v>
      </c>
      <c r="AJ109" s="2" t="s">
        <v>83</v>
      </c>
      <c r="AK109" s="2" t="s">
        <v>74</v>
      </c>
      <c r="AL109" s="2" t="s">
        <v>74</v>
      </c>
      <c r="AM109" s="2" t="s">
        <v>74</v>
      </c>
      <c r="AN109" s="2" t="s">
        <v>358</v>
      </c>
      <c r="AO109" s="2" t="s">
        <v>130</v>
      </c>
      <c r="AP109" s="2" t="s">
        <v>725</v>
      </c>
      <c r="AQ109" s="2" t="s">
        <v>166</v>
      </c>
      <c r="AR109" s="2" t="s">
        <v>83</v>
      </c>
      <c r="AS109" s="2" t="s">
        <v>101</v>
      </c>
      <c r="AT109" s="2" t="s">
        <v>107</v>
      </c>
      <c r="AU109" s="2" t="s">
        <v>233</v>
      </c>
      <c r="AV109" s="2"/>
      <c r="AW109" s="2" t="s">
        <v>233</v>
      </c>
      <c r="AX109" s="2" t="s">
        <v>104</v>
      </c>
      <c r="AY109" s="2" t="s">
        <v>288</v>
      </c>
      <c r="AZ109" s="24" t="s">
        <v>861</v>
      </c>
      <c r="BA109" s="2"/>
      <c r="BB109" s="2" t="s">
        <v>233</v>
      </c>
      <c r="BC109" s="2" t="s">
        <v>140</v>
      </c>
      <c r="BD109" s="2" t="s">
        <v>806</v>
      </c>
      <c r="BE109" s="2" t="s">
        <v>233</v>
      </c>
      <c r="BF109" s="2" t="s">
        <v>816</v>
      </c>
      <c r="BG109" s="2"/>
      <c r="BH109" s="2" t="s">
        <v>925</v>
      </c>
      <c r="BI109" s="2" t="s">
        <v>282</v>
      </c>
      <c r="BJ109" s="2"/>
      <c r="BK109" s="2" t="s">
        <v>83</v>
      </c>
      <c r="BL109" s="2"/>
      <c r="BM109" s="2"/>
    </row>
    <row r="110" spans="1:65" ht="12.5">
      <c r="A110" s="22">
        <v>43889.617511574077</v>
      </c>
      <c r="B110" s="2" t="s">
        <v>1872</v>
      </c>
      <c r="C110" s="2" t="s">
        <v>1873</v>
      </c>
      <c r="D110" s="2" t="s">
        <v>1874</v>
      </c>
      <c r="E110" s="2" t="s">
        <v>74</v>
      </c>
      <c r="F110" s="25" t="s">
        <v>1875</v>
      </c>
      <c r="G110" s="2" t="s">
        <v>1876</v>
      </c>
      <c r="H110" s="2" t="s">
        <v>1877</v>
      </c>
      <c r="I110" s="2" t="s">
        <v>328</v>
      </c>
      <c r="J110" s="2" t="s">
        <v>1878</v>
      </c>
      <c r="K110" s="2" t="s">
        <v>1879</v>
      </c>
      <c r="L110" s="2" t="s">
        <v>1880</v>
      </c>
      <c r="M110" s="2" t="s">
        <v>1881</v>
      </c>
      <c r="N110" s="23">
        <v>2013</v>
      </c>
      <c r="O110" s="2" t="s">
        <v>82</v>
      </c>
      <c r="P110" s="2" t="s">
        <v>74</v>
      </c>
      <c r="Q110" s="2" t="s">
        <v>119</v>
      </c>
      <c r="R110" s="2" t="s">
        <v>1882</v>
      </c>
      <c r="S110" s="2" t="s">
        <v>120</v>
      </c>
      <c r="T110" s="2" t="s">
        <v>74</v>
      </c>
      <c r="U110" s="2" t="s">
        <v>1883</v>
      </c>
      <c r="V110" s="2" t="s">
        <v>1884</v>
      </c>
      <c r="W110" s="2" t="s">
        <v>261</v>
      </c>
      <c r="X110" s="2" t="s">
        <v>74</v>
      </c>
      <c r="Y110" s="2" t="s">
        <v>1885</v>
      </c>
      <c r="Z110" s="2" t="s">
        <v>89</v>
      </c>
      <c r="AA110" s="2" t="s">
        <v>90</v>
      </c>
      <c r="AB110" s="2" t="s">
        <v>1886</v>
      </c>
      <c r="AC110" s="2" t="s">
        <v>284</v>
      </c>
      <c r="AD110" s="2" t="s">
        <v>93</v>
      </c>
      <c r="AE110" s="2" t="s">
        <v>163</v>
      </c>
      <c r="AF110" s="2" t="s">
        <v>95</v>
      </c>
      <c r="AG110" s="2" t="s">
        <v>74</v>
      </c>
      <c r="AH110" s="2" t="s">
        <v>96</v>
      </c>
      <c r="AI110" s="2" t="s">
        <v>74</v>
      </c>
      <c r="AJ110" s="2" t="s">
        <v>95</v>
      </c>
      <c r="AK110" s="2" t="s">
        <v>74</v>
      </c>
      <c r="AL110" s="2" t="s">
        <v>74</v>
      </c>
      <c r="AM110" s="2" t="s">
        <v>74</v>
      </c>
      <c r="AN110" s="2" t="s">
        <v>1340</v>
      </c>
      <c r="AO110" s="2" t="s">
        <v>130</v>
      </c>
      <c r="AP110" s="2" t="s">
        <v>229</v>
      </c>
      <c r="AQ110" s="2" t="s">
        <v>365</v>
      </c>
      <c r="AR110" s="2" t="s">
        <v>74</v>
      </c>
      <c r="AS110" s="2" t="s">
        <v>1887</v>
      </c>
      <c r="AT110" s="2" t="s">
        <v>107</v>
      </c>
      <c r="AU110" s="2" t="s">
        <v>1888</v>
      </c>
      <c r="AV110" s="25" t="s">
        <v>1889</v>
      </c>
      <c r="AW110" s="2" t="s">
        <v>107</v>
      </c>
      <c r="AX110" s="2" t="s">
        <v>1890</v>
      </c>
      <c r="AY110" s="2" t="s">
        <v>1891</v>
      </c>
      <c r="AZ110" s="24" t="s">
        <v>1892</v>
      </c>
      <c r="BA110" s="2"/>
      <c r="BB110" s="2" t="s">
        <v>212</v>
      </c>
      <c r="BC110" s="2" t="s">
        <v>234</v>
      </c>
      <c r="BD110" s="2" t="s">
        <v>803</v>
      </c>
      <c r="BE110" s="2" t="s">
        <v>233</v>
      </c>
      <c r="BF110" s="2" t="s">
        <v>107</v>
      </c>
      <c r="BG110" s="2"/>
      <c r="BH110" s="2" t="s">
        <v>233</v>
      </c>
      <c r="BI110" s="2" t="s">
        <v>233</v>
      </c>
      <c r="BJ110" s="2"/>
      <c r="BK110" s="2" t="s">
        <v>74</v>
      </c>
      <c r="BL110" s="2"/>
      <c r="BM110" s="2"/>
    </row>
    <row r="111" spans="1:65" ht="12.5">
      <c r="A111" s="22">
        <v>43892.46154981482</v>
      </c>
      <c r="B111" s="2" t="s">
        <v>1893</v>
      </c>
      <c r="C111" s="2" t="s">
        <v>1894</v>
      </c>
      <c r="D111" s="2" t="s">
        <v>1895</v>
      </c>
      <c r="E111" s="2" t="s">
        <v>83</v>
      </c>
      <c r="F111" s="2" t="s">
        <v>1896</v>
      </c>
      <c r="G111" s="2" t="s">
        <v>1896</v>
      </c>
      <c r="H111" s="2" t="s">
        <v>1897</v>
      </c>
      <c r="I111" s="2" t="s">
        <v>152</v>
      </c>
      <c r="J111" s="2" t="s">
        <v>680</v>
      </c>
      <c r="K111" s="2" t="s">
        <v>608</v>
      </c>
      <c r="L111" s="2" t="s">
        <v>1898</v>
      </c>
      <c r="M111" s="2" t="s">
        <v>1899</v>
      </c>
      <c r="N111" s="23">
        <v>2015</v>
      </c>
      <c r="O111" s="23">
        <v>2018</v>
      </c>
      <c r="P111" s="2" t="s">
        <v>83</v>
      </c>
      <c r="Q111" s="2"/>
      <c r="R111" s="2" t="s">
        <v>1900</v>
      </c>
      <c r="S111" s="2" t="s">
        <v>85</v>
      </c>
      <c r="T111" s="2" t="s">
        <v>95</v>
      </c>
      <c r="U111" s="2" t="s">
        <v>715</v>
      </c>
      <c r="V111" s="2" t="s">
        <v>451</v>
      </c>
      <c r="W111" s="2" t="s">
        <v>161</v>
      </c>
      <c r="X111" s="2" t="s">
        <v>107</v>
      </c>
      <c r="Y111" s="2"/>
      <c r="Z111" s="2" t="s">
        <v>89</v>
      </c>
      <c r="AA111" s="2" t="s">
        <v>90</v>
      </c>
      <c r="AB111" s="2" t="s">
        <v>999</v>
      </c>
      <c r="AC111" s="2" t="s">
        <v>284</v>
      </c>
      <c r="AD111" s="2" t="s">
        <v>93</v>
      </c>
      <c r="AE111" s="2" t="s">
        <v>94</v>
      </c>
      <c r="AF111" s="2" t="s">
        <v>74</v>
      </c>
      <c r="AG111" s="2" t="s">
        <v>83</v>
      </c>
      <c r="AH111" s="2" t="s">
        <v>284</v>
      </c>
      <c r="AI111" s="2" t="s">
        <v>74</v>
      </c>
      <c r="AJ111" s="2" t="s">
        <v>74</v>
      </c>
      <c r="AK111" s="2" t="s">
        <v>233</v>
      </c>
      <c r="AL111" s="2" t="s">
        <v>74</v>
      </c>
      <c r="AM111" s="2" t="s">
        <v>74</v>
      </c>
      <c r="AN111" s="2" t="s">
        <v>97</v>
      </c>
      <c r="AO111" s="2" t="s">
        <v>130</v>
      </c>
      <c r="AP111" s="2" t="s">
        <v>308</v>
      </c>
      <c r="AQ111" s="2" t="s">
        <v>100</v>
      </c>
      <c r="AR111" s="2" t="s">
        <v>74</v>
      </c>
      <c r="AS111" s="2" t="s">
        <v>1901</v>
      </c>
      <c r="AT111" s="2" t="s">
        <v>102</v>
      </c>
      <c r="AU111" s="2" t="s">
        <v>83</v>
      </c>
      <c r="AV111" s="2"/>
      <c r="AW111" s="2" t="s">
        <v>1902</v>
      </c>
      <c r="AX111" s="2" t="s">
        <v>1903</v>
      </c>
      <c r="AY111" s="2" t="s">
        <v>339</v>
      </c>
      <c r="AZ111" s="2" t="s">
        <v>168</v>
      </c>
      <c r="BA111" s="2"/>
      <c r="BB111" s="2" t="s">
        <v>107</v>
      </c>
      <c r="BC111" s="2" t="s">
        <v>108</v>
      </c>
      <c r="BD111" s="2" t="s">
        <v>139</v>
      </c>
      <c r="BE111" s="2" t="s">
        <v>83</v>
      </c>
      <c r="BF111" s="2" t="s">
        <v>107</v>
      </c>
      <c r="BG111" s="2"/>
      <c r="BH111" s="2" t="s">
        <v>233</v>
      </c>
      <c r="BI111" s="2" t="s">
        <v>233</v>
      </c>
      <c r="BJ111" s="2"/>
      <c r="BK111" s="2" t="s">
        <v>74</v>
      </c>
      <c r="BL111" s="2"/>
      <c r="BM111" s="2"/>
    </row>
    <row r="112" spans="1:65" ht="12.5">
      <c r="A112" s="22">
        <v>43892.467398310182</v>
      </c>
      <c r="B112" s="2" t="s">
        <v>1893</v>
      </c>
      <c r="C112" s="2" t="s">
        <v>1894</v>
      </c>
      <c r="D112" s="2" t="s">
        <v>1904</v>
      </c>
      <c r="E112" s="2" t="s">
        <v>74</v>
      </c>
      <c r="F112" s="25" t="s">
        <v>1905</v>
      </c>
      <c r="G112" s="2" t="s">
        <v>1894</v>
      </c>
      <c r="H112" s="2" t="s">
        <v>1906</v>
      </c>
      <c r="I112" s="2" t="s">
        <v>152</v>
      </c>
      <c r="J112" s="2" t="s">
        <v>680</v>
      </c>
      <c r="K112" s="2" t="s">
        <v>608</v>
      </c>
      <c r="L112" s="2" t="s">
        <v>1898</v>
      </c>
      <c r="M112" s="2" t="s">
        <v>1907</v>
      </c>
      <c r="N112" s="23">
        <v>2013</v>
      </c>
      <c r="O112" s="2" t="s">
        <v>82</v>
      </c>
      <c r="P112" s="2" t="s">
        <v>83</v>
      </c>
      <c r="Q112" s="2"/>
      <c r="R112" s="2" t="s">
        <v>84</v>
      </c>
      <c r="S112" s="2" t="s">
        <v>120</v>
      </c>
      <c r="T112" s="2" t="s">
        <v>74</v>
      </c>
      <c r="U112" s="2" t="s">
        <v>674</v>
      </c>
      <c r="V112" s="2" t="s">
        <v>190</v>
      </c>
      <c r="W112" s="2" t="s">
        <v>123</v>
      </c>
      <c r="X112" s="2" t="s">
        <v>107</v>
      </c>
      <c r="Y112" s="2"/>
      <c r="Z112" s="2" t="s">
        <v>303</v>
      </c>
      <c r="AA112" s="2" t="s">
        <v>126</v>
      </c>
      <c r="AB112" s="2" t="s">
        <v>409</v>
      </c>
      <c r="AC112" s="2" t="s">
        <v>305</v>
      </c>
      <c r="AD112" s="2" t="s">
        <v>93</v>
      </c>
      <c r="AE112" s="2" t="s">
        <v>163</v>
      </c>
      <c r="AF112" s="2" t="s">
        <v>74</v>
      </c>
      <c r="AG112" s="2" t="s">
        <v>74</v>
      </c>
      <c r="AH112" s="2" t="s">
        <v>284</v>
      </c>
      <c r="AI112" s="2" t="s">
        <v>74</v>
      </c>
      <c r="AJ112" s="2" t="s">
        <v>74</v>
      </c>
      <c r="AK112" s="2" t="s">
        <v>83</v>
      </c>
      <c r="AL112" s="2" t="s">
        <v>74</v>
      </c>
      <c r="AM112" s="2" t="s">
        <v>95</v>
      </c>
      <c r="AN112" s="2" t="s">
        <v>97</v>
      </c>
      <c r="AO112" s="2" t="s">
        <v>130</v>
      </c>
      <c r="AP112" s="2" t="s">
        <v>229</v>
      </c>
      <c r="AQ112" s="2" t="s">
        <v>777</v>
      </c>
      <c r="AR112" s="2" t="s">
        <v>74</v>
      </c>
      <c r="AS112" s="2" t="s">
        <v>1908</v>
      </c>
      <c r="AT112" s="2" t="s">
        <v>102</v>
      </c>
      <c r="AU112" s="2" t="s">
        <v>83</v>
      </c>
      <c r="AV112" s="2"/>
      <c r="AW112" s="2" t="s">
        <v>1909</v>
      </c>
      <c r="AX112" s="2" t="s">
        <v>761</v>
      </c>
      <c r="AY112" s="2" t="s">
        <v>370</v>
      </c>
      <c r="AZ112" s="2" t="s">
        <v>168</v>
      </c>
      <c r="BA112" s="2"/>
      <c r="BB112" s="2" t="s">
        <v>107</v>
      </c>
      <c r="BC112" s="2" t="s">
        <v>315</v>
      </c>
      <c r="BD112" s="2" t="s">
        <v>235</v>
      </c>
      <c r="BE112" s="2" t="s">
        <v>83</v>
      </c>
      <c r="BF112" s="2" t="s">
        <v>107</v>
      </c>
      <c r="BG112" s="2"/>
      <c r="BH112" s="2" t="s">
        <v>233</v>
      </c>
      <c r="BI112" s="2" t="s">
        <v>233</v>
      </c>
      <c r="BJ112" s="2"/>
      <c r="BK112" s="2" t="s">
        <v>74</v>
      </c>
      <c r="BL112" s="2"/>
      <c r="BM112" s="2"/>
    </row>
    <row r="113" spans="1:65" ht="12.5">
      <c r="A113" s="22">
        <v>43892.513783773145</v>
      </c>
      <c r="B113" s="2" t="s">
        <v>1910</v>
      </c>
      <c r="C113" s="2" t="s">
        <v>1911</v>
      </c>
      <c r="D113" s="2" t="s">
        <v>1912</v>
      </c>
      <c r="E113" s="2" t="s">
        <v>83</v>
      </c>
      <c r="F113" s="25" t="s">
        <v>1913</v>
      </c>
      <c r="G113" s="2" t="s">
        <v>1914</v>
      </c>
      <c r="H113" s="2" t="s">
        <v>2082</v>
      </c>
      <c r="I113" s="2" t="s">
        <v>152</v>
      </c>
      <c r="J113" s="2" t="s">
        <v>539</v>
      </c>
      <c r="K113" s="2" t="s">
        <v>1916</v>
      </c>
      <c r="L113" s="2" t="s">
        <v>1917</v>
      </c>
      <c r="M113" s="2" t="s">
        <v>298</v>
      </c>
      <c r="N113" s="23">
        <v>2019</v>
      </c>
      <c r="O113" s="2" t="s">
        <v>82</v>
      </c>
      <c r="P113" s="2" t="s">
        <v>74</v>
      </c>
      <c r="Q113" s="2" t="s">
        <v>119</v>
      </c>
      <c r="R113" s="2" t="s">
        <v>84</v>
      </c>
      <c r="S113" s="2" t="s">
        <v>1918</v>
      </c>
      <c r="T113" s="2" t="s">
        <v>74</v>
      </c>
      <c r="U113" s="2" t="s">
        <v>1919</v>
      </c>
      <c r="V113" s="2" t="s">
        <v>451</v>
      </c>
      <c r="W113" s="2" t="s">
        <v>1920</v>
      </c>
      <c r="X113" s="2" t="s">
        <v>107</v>
      </c>
      <c r="Y113" s="2"/>
      <c r="Z113" s="2" t="s">
        <v>303</v>
      </c>
      <c r="AA113" s="2" t="s">
        <v>90</v>
      </c>
      <c r="AB113" s="2" t="s">
        <v>1921</v>
      </c>
      <c r="AC113" s="2" t="s">
        <v>284</v>
      </c>
      <c r="AD113" s="2" t="s">
        <v>284</v>
      </c>
      <c r="AE113" s="2" t="s">
        <v>163</v>
      </c>
      <c r="AF113" s="2" t="s">
        <v>74</v>
      </c>
      <c r="AG113" s="2" t="s">
        <v>74</v>
      </c>
      <c r="AH113" s="2" t="s">
        <v>164</v>
      </c>
      <c r="AI113" s="2" t="s">
        <v>233</v>
      </c>
      <c r="AJ113" s="2" t="s">
        <v>74</v>
      </c>
      <c r="AK113" s="2" t="s">
        <v>233</v>
      </c>
      <c r="AL113" s="2" t="s">
        <v>74</v>
      </c>
      <c r="AM113" s="2" t="s">
        <v>74</v>
      </c>
      <c r="AN113" s="2" t="s">
        <v>97</v>
      </c>
      <c r="AO113" s="2" t="s">
        <v>130</v>
      </c>
      <c r="AP113" s="2" t="s">
        <v>229</v>
      </c>
      <c r="AQ113" s="2" t="s">
        <v>1922</v>
      </c>
      <c r="AR113" s="2" t="s">
        <v>107</v>
      </c>
      <c r="AS113" s="2" t="s">
        <v>1923</v>
      </c>
      <c r="AT113" s="2" t="s">
        <v>1924</v>
      </c>
      <c r="AU113" s="2" t="s">
        <v>107</v>
      </c>
      <c r="AV113" s="2"/>
      <c r="AW113" s="2" t="s">
        <v>107</v>
      </c>
      <c r="AX113" s="2" t="s">
        <v>368</v>
      </c>
      <c r="AY113" s="24" t="s">
        <v>288</v>
      </c>
      <c r="AZ113" s="2"/>
      <c r="BA113" s="2"/>
      <c r="BB113" s="2" t="s">
        <v>107</v>
      </c>
      <c r="BC113" s="2" t="s">
        <v>108</v>
      </c>
      <c r="BD113" s="2" t="s">
        <v>108</v>
      </c>
      <c r="BE113" s="2" t="s">
        <v>107</v>
      </c>
      <c r="BF113" s="2" t="s">
        <v>107</v>
      </c>
      <c r="BG113" s="2"/>
      <c r="BH113" s="2" t="s">
        <v>1925</v>
      </c>
      <c r="BI113" s="2" t="s">
        <v>107</v>
      </c>
      <c r="BJ113" s="2"/>
      <c r="BK113" s="2" t="s">
        <v>74</v>
      </c>
      <c r="BL113" s="2"/>
      <c r="BM113" s="2"/>
    </row>
    <row r="114" spans="1:65" ht="12.5">
      <c r="A114" s="22">
        <v>43893.701796932874</v>
      </c>
      <c r="B114" s="2" t="s">
        <v>1312</v>
      </c>
      <c r="C114" s="2" t="s">
        <v>1314</v>
      </c>
      <c r="D114" s="2" t="s">
        <v>1315</v>
      </c>
      <c r="E114" s="2" t="s">
        <v>74</v>
      </c>
      <c r="F114" s="25" t="s">
        <v>1316</v>
      </c>
      <c r="G114" s="2" t="s">
        <v>1320</v>
      </c>
      <c r="H114" s="2" t="s">
        <v>1321</v>
      </c>
      <c r="I114" s="2" t="s">
        <v>152</v>
      </c>
      <c r="J114" s="2" t="s">
        <v>680</v>
      </c>
      <c r="K114" s="2" t="s">
        <v>608</v>
      </c>
      <c r="L114" s="2" t="s">
        <v>1322</v>
      </c>
      <c r="M114" s="2" t="s">
        <v>1323</v>
      </c>
      <c r="N114" s="23">
        <v>1999</v>
      </c>
      <c r="O114" s="2" t="s">
        <v>82</v>
      </c>
      <c r="P114" s="2" t="s">
        <v>95</v>
      </c>
      <c r="Q114" s="2" t="s">
        <v>119</v>
      </c>
      <c r="R114" s="2" t="s">
        <v>84</v>
      </c>
      <c r="S114" s="2" t="s">
        <v>85</v>
      </c>
      <c r="T114" s="2" t="s">
        <v>95</v>
      </c>
      <c r="U114" s="2" t="s">
        <v>1327</v>
      </c>
      <c r="V114" s="2" t="s">
        <v>364</v>
      </c>
      <c r="W114" s="2" t="s">
        <v>161</v>
      </c>
      <c r="X114" s="2" t="s">
        <v>83</v>
      </c>
      <c r="Y114" s="2"/>
      <c r="Z114" s="2" t="s">
        <v>89</v>
      </c>
      <c r="AA114" s="2" t="s">
        <v>126</v>
      </c>
      <c r="AB114" s="2" t="s">
        <v>1328</v>
      </c>
      <c r="AC114" s="2" t="s">
        <v>305</v>
      </c>
      <c r="AD114" s="2" t="s">
        <v>284</v>
      </c>
      <c r="AE114" s="2" t="s">
        <v>94</v>
      </c>
      <c r="AF114" s="2" t="s">
        <v>74</v>
      </c>
      <c r="AG114" s="2" t="s">
        <v>74</v>
      </c>
      <c r="AH114" s="2" t="s">
        <v>461</v>
      </c>
      <c r="AI114" s="2" t="s">
        <v>74</v>
      </c>
      <c r="AJ114" s="2" t="s">
        <v>74</v>
      </c>
      <c r="AK114" s="2" t="s">
        <v>74</v>
      </c>
      <c r="AL114" s="2" t="s">
        <v>74</v>
      </c>
      <c r="AM114" s="2" t="s">
        <v>74</v>
      </c>
      <c r="AN114" s="2" t="s">
        <v>97</v>
      </c>
      <c r="AO114" s="2" t="s">
        <v>130</v>
      </c>
      <c r="AP114" s="2" t="s">
        <v>1338</v>
      </c>
      <c r="AQ114" s="2" t="s">
        <v>1339</v>
      </c>
      <c r="AR114" s="2" t="s">
        <v>74</v>
      </c>
      <c r="AS114" s="2" t="s">
        <v>779</v>
      </c>
      <c r="AT114" s="2" t="s">
        <v>102</v>
      </c>
      <c r="AU114" s="24" t="s">
        <v>1343</v>
      </c>
      <c r="AV114" s="2"/>
      <c r="AW114" s="2" t="s">
        <v>103</v>
      </c>
      <c r="AX114" s="2" t="s">
        <v>1344</v>
      </c>
      <c r="AY114" s="2" t="s">
        <v>288</v>
      </c>
      <c r="AZ114" s="2" t="s">
        <v>593</v>
      </c>
      <c r="BA114" s="2" t="s">
        <v>1346</v>
      </c>
      <c r="BB114" s="2" t="s">
        <v>233</v>
      </c>
      <c r="BC114" s="2" t="s">
        <v>341</v>
      </c>
      <c r="BD114" s="2" t="s">
        <v>108</v>
      </c>
      <c r="BE114" s="2" t="s">
        <v>83</v>
      </c>
      <c r="BF114" s="2" t="s">
        <v>107</v>
      </c>
      <c r="BG114" s="2"/>
      <c r="BH114" s="2" t="s">
        <v>925</v>
      </c>
      <c r="BI114" s="2" t="s">
        <v>238</v>
      </c>
      <c r="BJ114" s="2"/>
      <c r="BK114" s="2" t="s">
        <v>74</v>
      </c>
      <c r="BL114" s="24" t="s">
        <v>1347</v>
      </c>
      <c r="BM114" s="24"/>
    </row>
    <row r="115" spans="1:65" ht="12.5">
      <c r="A115" s="22">
        <v>43900.751824895837</v>
      </c>
      <c r="B115" s="2" t="s">
        <v>1684</v>
      </c>
      <c r="C115" s="2" t="s">
        <v>1695</v>
      </c>
      <c r="D115" s="2" t="s">
        <v>1926</v>
      </c>
      <c r="E115" s="2" t="s">
        <v>83</v>
      </c>
      <c r="F115" s="25" t="s">
        <v>1927</v>
      </c>
      <c r="G115" s="2" t="s">
        <v>1893</v>
      </c>
      <c r="H115" s="2" t="s">
        <v>1928</v>
      </c>
      <c r="I115" s="2" t="s">
        <v>152</v>
      </c>
      <c r="J115" s="2" t="s">
        <v>680</v>
      </c>
      <c r="K115" s="2" t="s">
        <v>608</v>
      </c>
      <c r="L115" s="2" t="s">
        <v>1929</v>
      </c>
      <c r="M115" s="2" t="s">
        <v>418</v>
      </c>
      <c r="N115" s="23">
        <v>2012</v>
      </c>
      <c r="O115" s="23">
        <v>2019</v>
      </c>
      <c r="P115" s="2" t="s">
        <v>74</v>
      </c>
      <c r="Q115" s="2" t="s">
        <v>119</v>
      </c>
      <c r="R115" s="2" t="s">
        <v>84</v>
      </c>
      <c r="S115" s="2" t="s">
        <v>1930</v>
      </c>
      <c r="T115" s="2" t="s">
        <v>74</v>
      </c>
      <c r="U115" s="2" t="s">
        <v>849</v>
      </c>
      <c r="V115" s="2" t="s">
        <v>260</v>
      </c>
      <c r="W115" s="2" t="s">
        <v>366</v>
      </c>
      <c r="X115" s="2" t="s">
        <v>74</v>
      </c>
      <c r="Y115" s="2" t="s">
        <v>241</v>
      </c>
      <c r="Z115" s="2" t="s">
        <v>89</v>
      </c>
      <c r="AA115" s="2" t="s">
        <v>90</v>
      </c>
      <c r="AB115" s="2" t="s">
        <v>931</v>
      </c>
      <c r="AC115" s="2" t="s">
        <v>107</v>
      </c>
      <c r="AD115" s="2" t="s">
        <v>284</v>
      </c>
      <c r="AE115" s="2" t="s">
        <v>94</v>
      </c>
      <c r="AF115" s="2" t="s">
        <v>74</v>
      </c>
      <c r="AG115" s="2" t="s">
        <v>74</v>
      </c>
      <c r="AH115" s="2" t="s">
        <v>284</v>
      </c>
      <c r="AI115" s="2" t="s">
        <v>74</v>
      </c>
      <c r="AJ115" s="2" t="s">
        <v>74</v>
      </c>
      <c r="AK115" s="2" t="s">
        <v>74</v>
      </c>
      <c r="AL115" s="2" t="s">
        <v>74</v>
      </c>
      <c r="AM115" s="2" t="s">
        <v>74</v>
      </c>
      <c r="AN115" s="2" t="s">
        <v>97</v>
      </c>
      <c r="AO115" s="2" t="s">
        <v>107</v>
      </c>
      <c r="AP115" s="2" t="s">
        <v>308</v>
      </c>
      <c r="AQ115" s="2" t="s">
        <v>777</v>
      </c>
      <c r="AR115" s="2" t="s">
        <v>107</v>
      </c>
      <c r="AS115" s="2" t="s">
        <v>107</v>
      </c>
      <c r="AT115" s="2" t="s">
        <v>102</v>
      </c>
      <c r="AU115" s="2" t="s">
        <v>107</v>
      </c>
      <c r="AV115" s="2"/>
      <c r="AW115" s="2" t="s">
        <v>103</v>
      </c>
      <c r="AX115" s="2" t="s">
        <v>1903</v>
      </c>
      <c r="AY115" s="2" t="s">
        <v>339</v>
      </c>
      <c r="AZ115" s="2" t="s">
        <v>107</v>
      </c>
      <c r="BA115" s="2"/>
      <c r="BB115" s="2" t="s">
        <v>107</v>
      </c>
      <c r="BC115" s="2" t="s">
        <v>172</v>
      </c>
      <c r="BD115" s="2" t="s">
        <v>139</v>
      </c>
      <c r="BE115" s="2" t="s">
        <v>83</v>
      </c>
      <c r="BF115" s="2" t="s">
        <v>316</v>
      </c>
      <c r="BG115" s="25" t="s">
        <v>1931</v>
      </c>
      <c r="BH115" s="2" t="s">
        <v>107</v>
      </c>
      <c r="BI115" s="2" t="s">
        <v>107</v>
      </c>
      <c r="BJ115" s="2"/>
      <c r="BK115" s="2" t="s">
        <v>74</v>
      </c>
      <c r="BL115" s="2"/>
      <c r="BM115" s="2"/>
    </row>
    <row r="116" spans="1:65" ht="12.5">
      <c r="A116" s="22">
        <v>43900.743199421297</v>
      </c>
      <c r="B116" s="2" t="s">
        <v>1684</v>
      </c>
      <c r="C116" s="2" t="s">
        <v>1695</v>
      </c>
      <c r="D116" s="2" t="s">
        <v>1932</v>
      </c>
      <c r="E116" s="2" t="s">
        <v>83</v>
      </c>
      <c r="F116" s="25" t="s">
        <v>1933</v>
      </c>
      <c r="G116" s="2" t="s">
        <v>1934</v>
      </c>
      <c r="H116" s="2" t="s">
        <v>1935</v>
      </c>
      <c r="I116" s="2" t="s">
        <v>152</v>
      </c>
      <c r="J116" s="2" t="s">
        <v>1709</v>
      </c>
      <c r="K116" s="2" t="s">
        <v>608</v>
      </c>
      <c r="L116" s="2" t="s">
        <v>1936</v>
      </c>
      <c r="M116" s="2" t="s">
        <v>81</v>
      </c>
      <c r="N116" s="23">
        <v>2015</v>
      </c>
      <c r="O116" s="23">
        <v>2017</v>
      </c>
      <c r="P116" s="2" t="s">
        <v>74</v>
      </c>
      <c r="Q116" s="2" t="s">
        <v>1937</v>
      </c>
      <c r="R116" s="2" t="s">
        <v>84</v>
      </c>
      <c r="S116" s="2" t="s">
        <v>1938</v>
      </c>
      <c r="T116" s="2" t="s">
        <v>74</v>
      </c>
      <c r="U116" s="2" t="s">
        <v>674</v>
      </c>
      <c r="V116" s="2" t="s">
        <v>190</v>
      </c>
      <c r="W116" s="2" t="s">
        <v>499</v>
      </c>
      <c r="X116" s="2" t="s">
        <v>74</v>
      </c>
      <c r="Y116" s="2" t="s">
        <v>1939</v>
      </c>
      <c r="Z116" s="2" t="s">
        <v>205</v>
      </c>
      <c r="AA116" s="2" t="s">
        <v>90</v>
      </c>
      <c r="AB116" s="2" t="s">
        <v>409</v>
      </c>
      <c r="AC116" s="2" t="s">
        <v>107</v>
      </c>
      <c r="AD116" s="2" t="s">
        <v>284</v>
      </c>
      <c r="AE116" s="2" t="s">
        <v>94</v>
      </c>
      <c r="AF116" s="2" t="s">
        <v>74</v>
      </c>
      <c r="AG116" s="2" t="s">
        <v>74</v>
      </c>
      <c r="AH116" s="2" t="s">
        <v>164</v>
      </c>
      <c r="AI116" s="2" t="s">
        <v>74</v>
      </c>
      <c r="AJ116" s="2" t="s">
        <v>74</v>
      </c>
      <c r="AK116" s="2" t="s">
        <v>74</v>
      </c>
      <c r="AL116" s="2" t="s">
        <v>74</v>
      </c>
      <c r="AM116" s="2" t="s">
        <v>74</v>
      </c>
      <c r="AN116" s="2" t="s">
        <v>97</v>
      </c>
      <c r="AO116" s="2" t="s">
        <v>130</v>
      </c>
      <c r="AP116" s="2" t="s">
        <v>725</v>
      </c>
      <c r="AQ116" s="2" t="s">
        <v>777</v>
      </c>
      <c r="AR116" s="2" t="s">
        <v>107</v>
      </c>
      <c r="AS116" s="2" t="s">
        <v>107</v>
      </c>
      <c r="AT116" s="2" t="s">
        <v>102</v>
      </c>
      <c r="AU116" s="2" t="s">
        <v>107</v>
      </c>
      <c r="AV116" s="2"/>
      <c r="AW116" s="2" t="s">
        <v>103</v>
      </c>
      <c r="AX116" s="2" t="s">
        <v>398</v>
      </c>
      <c r="AY116" s="2" t="s">
        <v>339</v>
      </c>
      <c r="AZ116" s="2" t="s">
        <v>107</v>
      </c>
      <c r="BA116" s="2"/>
      <c r="BB116" s="2" t="s">
        <v>233</v>
      </c>
      <c r="BC116" s="2" t="s">
        <v>108</v>
      </c>
      <c r="BD116" s="2" t="s">
        <v>234</v>
      </c>
      <c r="BE116" s="2" t="s">
        <v>83</v>
      </c>
      <c r="BF116" s="2" t="s">
        <v>107</v>
      </c>
      <c r="BG116" s="2"/>
      <c r="BH116" s="2" t="s">
        <v>107</v>
      </c>
      <c r="BI116" s="2" t="s">
        <v>107</v>
      </c>
      <c r="BJ116" s="2"/>
      <c r="BK116" s="2" t="s">
        <v>74</v>
      </c>
      <c r="BL116" s="2"/>
      <c r="BM116" s="2"/>
    </row>
    <row r="117" spans="1:65" ht="12.5">
      <c r="A117" s="22">
        <v>43901.446358148147</v>
      </c>
      <c r="B117" s="2" t="s">
        <v>1684</v>
      </c>
      <c r="C117" s="2" t="s">
        <v>1695</v>
      </c>
      <c r="D117" s="2" t="s">
        <v>1940</v>
      </c>
      <c r="E117" s="2" t="s">
        <v>83</v>
      </c>
      <c r="F117" s="25" t="s">
        <v>1941</v>
      </c>
      <c r="G117" s="2" t="s">
        <v>1320</v>
      </c>
      <c r="H117" s="2" t="s">
        <v>1942</v>
      </c>
      <c r="I117" s="2" t="s">
        <v>152</v>
      </c>
      <c r="J117" s="2" t="s">
        <v>680</v>
      </c>
      <c r="K117" s="2" t="s">
        <v>608</v>
      </c>
      <c r="L117" s="2" t="s">
        <v>1322</v>
      </c>
      <c r="M117" s="2" t="s">
        <v>118</v>
      </c>
      <c r="N117" s="23">
        <v>2011</v>
      </c>
      <c r="O117" s="2" t="s">
        <v>82</v>
      </c>
      <c r="P117" s="2" t="s">
        <v>74</v>
      </c>
      <c r="Q117" s="2" t="s">
        <v>1943</v>
      </c>
      <c r="R117" s="2" t="s">
        <v>1900</v>
      </c>
      <c r="S117" s="2" t="s">
        <v>1944</v>
      </c>
      <c r="T117" s="2" t="s">
        <v>74</v>
      </c>
      <c r="U117" s="2" t="s">
        <v>421</v>
      </c>
      <c r="V117" s="2" t="s">
        <v>190</v>
      </c>
      <c r="W117" s="2" t="s">
        <v>366</v>
      </c>
      <c r="X117" s="2" t="s">
        <v>74</v>
      </c>
      <c r="Y117" s="2" t="s">
        <v>1945</v>
      </c>
      <c r="Z117" s="2" t="s">
        <v>303</v>
      </c>
      <c r="AA117" s="2" t="s">
        <v>90</v>
      </c>
      <c r="AB117" s="2" t="s">
        <v>999</v>
      </c>
      <c r="AC117" s="2" t="s">
        <v>107</v>
      </c>
      <c r="AD117" s="2" t="s">
        <v>93</v>
      </c>
      <c r="AE117" s="2" t="s">
        <v>94</v>
      </c>
      <c r="AF117" s="2" t="s">
        <v>74</v>
      </c>
      <c r="AG117" s="2" t="s">
        <v>74</v>
      </c>
      <c r="AH117" s="2" t="s">
        <v>164</v>
      </c>
      <c r="AI117" s="2" t="s">
        <v>74</v>
      </c>
      <c r="AJ117" s="2" t="s">
        <v>95</v>
      </c>
      <c r="AK117" s="2" t="s">
        <v>107</v>
      </c>
      <c r="AL117" s="2" t="s">
        <v>74</v>
      </c>
      <c r="AM117" s="2" t="s">
        <v>74</v>
      </c>
      <c r="AN117" s="2" t="s">
        <v>97</v>
      </c>
      <c r="AO117" s="2" t="s">
        <v>130</v>
      </c>
      <c r="AP117" s="2" t="s">
        <v>1946</v>
      </c>
      <c r="AQ117" s="2" t="s">
        <v>365</v>
      </c>
      <c r="AR117" s="2" t="s">
        <v>107</v>
      </c>
      <c r="AS117" s="2" t="s">
        <v>107</v>
      </c>
      <c r="AT117" s="2" t="s">
        <v>102</v>
      </c>
      <c r="AU117" s="2" t="s">
        <v>107</v>
      </c>
      <c r="AV117" s="2"/>
      <c r="AW117" s="2" t="s">
        <v>103</v>
      </c>
      <c r="AX117" s="2" t="s">
        <v>1947</v>
      </c>
      <c r="AY117" s="2" t="s">
        <v>339</v>
      </c>
      <c r="AZ117" s="2" t="s">
        <v>107</v>
      </c>
      <c r="BA117" s="2"/>
      <c r="BB117" s="2" t="s">
        <v>233</v>
      </c>
      <c r="BC117" s="2" t="s">
        <v>139</v>
      </c>
      <c r="BD117" s="2" t="s">
        <v>139</v>
      </c>
      <c r="BE117" s="2" t="s">
        <v>83</v>
      </c>
      <c r="BF117" s="2" t="s">
        <v>316</v>
      </c>
      <c r="BG117" s="25" t="s">
        <v>1948</v>
      </c>
      <c r="BH117" s="2" t="s">
        <v>213</v>
      </c>
      <c r="BI117" s="2" t="s">
        <v>173</v>
      </c>
      <c r="BJ117" s="2"/>
      <c r="BK117" s="2" t="s">
        <v>74</v>
      </c>
      <c r="BL117" s="24" t="s">
        <v>1949</v>
      </c>
      <c r="BM117" s="24"/>
    </row>
    <row r="118" spans="1:65" ht="12.5">
      <c r="A118" s="22">
        <v>43901.659812187499</v>
      </c>
      <c r="B118" s="2" t="s">
        <v>1684</v>
      </c>
      <c r="C118" s="2" t="s">
        <v>1695</v>
      </c>
      <c r="D118" s="2" t="s">
        <v>1950</v>
      </c>
      <c r="E118" s="2" t="s">
        <v>83</v>
      </c>
      <c r="F118" s="25" t="s">
        <v>1951</v>
      </c>
      <c r="G118" s="2" t="s">
        <v>1952</v>
      </c>
      <c r="H118" s="2" t="s">
        <v>1953</v>
      </c>
      <c r="I118" s="2" t="s">
        <v>152</v>
      </c>
      <c r="J118" s="2" t="s">
        <v>680</v>
      </c>
      <c r="K118" s="2" t="s">
        <v>608</v>
      </c>
      <c r="L118" s="2" t="s">
        <v>1954</v>
      </c>
      <c r="M118" s="2" t="s">
        <v>418</v>
      </c>
      <c r="N118" s="23">
        <v>2008</v>
      </c>
      <c r="O118" s="23">
        <v>2014</v>
      </c>
      <c r="P118" s="2" t="s">
        <v>74</v>
      </c>
      <c r="Q118" s="2" t="s">
        <v>119</v>
      </c>
      <c r="R118" s="2" t="s">
        <v>84</v>
      </c>
      <c r="S118" s="2" t="s">
        <v>1938</v>
      </c>
      <c r="T118" s="2" t="s">
        <v>74</v>
      </c>
      <c r="U118" s="2" t="s">
        <v>1453</v>
      </c>
      <c r="V118" s="2" t="s">
        <v>190</v>
      </c>
      <c r="W118" s="2" t="s">
        <v>499</v>
      </c>
      <c r="X118" s="2" t="s">
        <v>74</v>
      </c>
      <c r="Y118" s="2" t="s">
        <v>1939</v>
      </c>
      <c r="Z118" s="2" t="s">
        <v>303</v>
      </c>
      <c r="AA118" s="2" t="s">
        <v>90</v>
      </c>
      <c r="AB118" s="2" t="s">
        <v>999</v>
      </c>
      <c r="AC118" s="2" t="s">
        <v>284</v>
      </c>
      <c r="AD118" s="2" t="s">
        <v>93</v>
      </c>
      <c r="AE118" s="2" t="s">
        <v>94</v>
      </c>
      <c r="AF118" s="2" t="s">
        <v>74</v>
      </c>
      <c r="AG118" s="2" t="s">
        <v>74</v>
      </c>
      <c r="AH118" s="2" t="s">
        <v>284</v>
      </c>
      <c r="AI118" s="2" t="s">
        <v>83</v>
      </c>
      <c r="AJ118" s="2" t="s">
        <v>107</v>
      </c>
      <c r="AK118" s="2" t="s">
        <v>107</v>
      </c>
      <c r="AL118" s="2" t="s">
        <v>107</v>
      </c>
      <c r="AM118" s="2" t="s">
        <v>74</v>
      </c>
      <c r="AN118" s="2" t="s">
        <v>97</v>
      </c>
      <c r="AO118" s="2" t="s">
        <v>130</v>
      </c>
      <c r="AP118" s="2" t="s">
        <v>725</v>
      </c>
      <c r="AQ118" s="2" t="s">
        <v>365</v>
      </c>
      <c r="AR118" s="2" t="s">
        <v>107</v>
      </c>
      <c r="AS118" s="2" t="s">
        <v>107</v>
      </c>
      <c r="AT118" s="2" t="s">
        <v>102</v>
      </c>
      <c r="AU118" s="2" t="s">
        <v>107</v>
      </c>
      <c r="AV118" s="2"/>
      <c r="AW118" s="2" t="s">
        <v>1955</v>
      </c>
      <c r="AX118" s="2" t="s">
        <v>1903</v>
      </c>
      <c r="AY118" s="2" t="s">
        <v>339</v>
      </c>
      <c r="AZ118" s="2" t="s">
        <v>107</v>
      </c>
      <c r="BA118" s="2"/>
      <c r="BB118" s="2" t="s">
        <v>233</v>
      </c>
      <c r="BC118" s="2" t="s">
        <v>234</v>
      </c>
      <c r="BD118" s="2" t="s">
        <v>234</v>
      </c>
      <c r="BE118" s="2" t="s">
        <v>83</v>
      </c>
      <c r="BF118" s="2" t="s">
        <v>141</v>
      </c>
      <c r="BG118" s="25" t="s">
        <v>1956</v>
      </c>
      <c r="BH118" s="2" t="s">
        <v>213</v>
      </c>
      <c r="BI118" s="2" t="s">
        <v>173</v>
      </c>
      <c r="BJ118" s="2"/>
      <c r="BK118" s="2" t="s">
        <v>74</v>
      </c>
      <c r="BL118" s="24" t="s">
        <v>1957</v>
      </c>
      <c r="BM118" s="24"/>
    </row>
    <row r="119" spans="1:65" ht="12.5">
      <c r="A119" s="22">
        <v>43902.826662233798</v>
      </c>
      <c r="B119" s="2" t="s">
        <v>1684</v>
      </c>
      <c r="C119" s="2" t="s">
        <v>1695</v>
      </c>
      <c r="D119" s="2" t="s">
        <v>1958</v>
      </c>
      <c r="E119" s="2" t="s">
        <v>83</v>
      </c>
      <c r="F119" s="25" t="s">
        <v>1959</v>
      </c>
      <c r="G119" s="2" t="s">
        <v>1960</v>
      </c>
      <c r="H119" s="2" t="s">
        <v>1961</v>
      </c>
      <c r="I119" s="2" t="s">
        <v>114</v>
      </c>
      <c r="J119" s="2" t="s">
        <v>680</v>
      </c>
      <c r="K119" s="2" t="s">
        <v>1962</v>
      </c>
      <c r="L119" s="2" t="s">
        <v>1954</v>
      </c>
      <c r="M119" s="2" t="s">
        <v>418</v>
      </c>
      <c r="N119" s="23">
        <v>2017</v>
      </c>
      <c r="O119" s="2" t="s">
        <v>82</v>
      </c>
      <c r="P119" s="2" t="s">
        <v>74</v>
      </c>
      <c r="Q119" s="2" t="s">
        <v>1963</v>
      </c>
      <c r="R119" s="2" t="s">
        <v>1964</v>
      </c>
      <c r="S119" s="2" t="s">
        <v>1965</v>
      </c>
      <c r="T119" s="2" t="s">
        <v>74</v>
      </c>
      <c r="U119" s="2" t="s">
        <v>1966</v>
      </c>
      <c r="V119" s="2" t="s">
        <v>260</v>
      </c>
      <c r="W119" s="2" t="s">
        <v>88</v>
      </c>
      <c r="X119" s="2" t="s">
        <v>1967</v>
      </c>
      <c r="Y119" s="2"/>
      <c r="Z119" s="2" t="s">
        <v>89</v>
      </c>
      <c r="AA119" s="2" t="s">
        <v>107</v>
      </c>
      <c r="AB119" s="2" t="s">
        <v>1181</v>
      </c>
      <c r="AC119" s="2" t="s">
        <v>162</v>
      </c>
      <c r="AD119" s="2" t="s">
        <v>284</v>
      </c>
      <c r="AE119" s="2" t="s">
        <v>163</v>
      </c>
      <c r="AF119" s="2" t="s">
        <v>74</v>
      </c>
      <c r="AG119" s="2" t="s">
        <v>74</v>
      </c>
      <c r="AH119" s="2" t="s">
        <v>265</v>
      </c>
      <c r="AI119" s="2" t="s">
        <v>107</v>
      </c>
      <c r="AJ119" s="2" t="s">
        <v>95</v>
      </c>
      <c r="AK119" s="2" t="s">
        <v>107</v>
      </c>
      <c r="AL119" s="2" t="s">
        <v>107</v>
      </c>
      <c r="AM119" s="2" t="s">
        <v>74</v>
      </c>
      <c r="AN119" s="2" t="s">
        <v>97</v>
      </c>
      <c r="AO119" s="2" t="s">
        <v>233</v>
      </c>
      <c r="AP119" s="2" t="s">
        <v>520</v>
      </c>
      <c r="AQ119" s="2" t="s">
        <v>107</v>
      </c>
      <c r="AR119" s="2" t="s">
        <v>107</v>
      </c>
      <c r="AS119" s="2" t="s">
        <v>107</v>
      </c>
      <c r="AT119" s="2" t="s">
        <v>107</v>
      </c>
      <c r="AU119" s="2" t="s">
        <v>107</v>
      </c>
      <c r="AV119" s="2"/>
      <c r="AW119" s="2" t="s">
        <v>107</v>
      </c>
      <c r="AX119" s="2" t="s">
        <v>1903</v>
      </c>
      <c r="AY119" s="2" t="s">
        <v>168</v>
      </c>
      <c r="AZ119" s="2" t="s">
        <v>107</v>
      </c>
      <c r="BA119" s="2"/>
      <c r="BB119" s="2" t="s">
        <v>233</v>
      </c>
      <c r="BC119" s="2" t="s">
        <v>108</v>
      </c>
      <c r="BD119" s="2" t="s">
        <v>108</v>
      </c>
      <c r="BE119" s="2" t="s">
        <v>107</v>
      </c>
      <c r="BF119" s="2" t="s">
        <v>107</v>
      </c>
      <c r="BG119" s="2"/>
      <c r="BH119" s="2" t="s">
        <v>107</v>
      </c>
      <c r="BI119" s="2" t="s">
        <v>107</v>
      </c>
      <c r="BJ119" s="2"/>
      <c r="BK119" s="2" t="s">
        <v>74</v>
      </c>
      <c r="BL119" s="2"/>
      <c r="BM119" s="2"/>
    </row>
    <row r="120" spans="1:65" ht="12.5">
      <c r="A120" s="22">
        <v>43923.49413806713</v>
      </c>
      <c r="B120" s="2" t="s">
        <v>1970</v>
      </c>
      <c r="C120" s="2" t="s">
        <v>1971</v>
      </c>
      <c r="D120" s="2" t="s">
        <v>1972</v>
      </c>
      <c r="E120" s="2" t="s">
        <v>74</v>
      </c>
      <c r="F120" s="25" t="s">
        <v>1973</v>
      </c>
      <c r="G120" s="2" t="s">
        <v>1974</v>
      </c>
      <c r="H120" s="2" t="s">
        <v>2083</v>
      </c>
      <c r="I120" s="2" t="s">
        <v>616</v>
      </c>
      <c r="J120" s="2" t="s">
        <v>115</v>
      </c>
      <c r="K120" s="2" t="s">
        <v>1976</v>
      </c>
      <c r="L120" s="2" t="s">
        <v>1977</v>
      </c>
      <c r="M120" s="2" t="s">
        <v>118</v>
      </c>
      <c r="N120" s="23">
        <v>2014</v>
      </c>
      <c r="O120" s="23">
        <v>2016</v>
      </c>
      <c r="P120" s="2" t="s">
        <v>74</v>
      </c>
      <c r="Q120" s="2" t="s">
        <v>720</v>
      </c>
      <c r="R120" s="2" t="s">
        <v>1978</v>
      </c>
      <c r="S120" s="2" t="s">
        <v>120</v>
      </c>
      <c r="T120" s="2" t="s">
        <v>158</v>
      </c>
      <c r="U120" s="2" t="s">
        <v>1621</v>
      </c>
      <c r="V120" s="2" t="s">
        <v>190</v>
      </c>
      <c r="W120" s="2" t="s">
        <v>261</v>
      </c>
      <c r="X120" s="2" t="s">
        <v>107</v>
      </c>
      <c r="Y120" s="2"/>
      <c r="Z120" s="2" t="s">
        <v>89</v>
      </c>
      <c r="AA120" s="2" t="s">
        <v>1979</v>
      </c>
      <c r="AB120" s="2" t="s">
        <v>1980</v>
      </c>
      <c r="AC120" s="2" t="s">
        <v>305</v>
      </c>
      <c r="AD120" s="2" t="s">
        <v>93</v>
      </c>
      <c r="AE120" s="2" t="s">
        <v>163</v>
      </c>
      <c r="AF120" s="2" t="s">
        <v>83</v>
      </c>
      <c r="AG120" s="2" t="s">
        <v>74</v>
      </c>
      <c r="AH120" s="2" t="s">
        <v>1981</v>
      </c>
      <c r="AI120" s="2" t="s">
        <v>208</v>
      </c>
      <c r="AJ120" s="2" t="s">
        <v>74</v>
      </c>
      <c r="AK120" s="2" t="s">
        <v>74</v>
      </c>
      <c r="AL120" s="2" t="s">
        <v>74</v>
      </c>
      <c r="AM120" s="2" t="s">
        <v>74</v>
      </c>
      <c r="AN120" s="2" t="s">
        <v>97</v>
      </c>
      <c r="AO120" s="2" t="s">
        <v>1982</v>
      </c>
      <c r="AP120" s="2" t="s">
        <v>1983</v>
      </c>
      <c r="AQ120" s="2" t="s">
        <v>1984</v>
      </c>
      <c r="AR120" s="2" t="s">
        <v>74</v>
      </c>
      <c r="AS120" s="2" t="s">
        <v>1985</v>
      </c>
      <c r="AT120" s="2" t="s">
        <v>107</v>
      </c>
      <c r="AU120" s="2" t="s">
        <v>83</v>
      </c>
      <c r="AV120" s="2"/>
      <c r="AW120" s="2" t="s">
        <v>103</v>
      </c>
      <c r="AX120" s="2" t="s">
        <v>104</v>
      </c>
      <c r="AY120" s="2" t="s">
        <v>339</v>
      </c>
      <c r="AZ120" s="24" t="s">
        <v>593</v>
      </c>
      <c r="BA120" s="2"/>
      <c r="BB120" s="2" t="s">
        <v>107</v>
      </c>
      <c r="BC120" s="2" t="s">
        <v>171</v>
      </c>
      <c r="BD120" s="2" t="s">
        <v>341</v>
      </c>
      <c r="BE120" s="2" t="s">
        <v>74</v>
      </c>
      <c r="BF120" s="2" t="s">
        <v>141</v>
      </c>
      <c r="BG120" s="2"/>
      <c r="BH120" s="2" t="s">
        <v>271</v>
      </c>
      <c r="BI120" s="2" t="s">
        <v>471</v>
      </c>
      <c r="BJ120" s="2"/>
      <c r="BK120" s="2" t="s">
        <v>74</v>
      </c>
      <c r="BL120" s="2"/>
      <c r="BM120" s="2"/>
    </row>
    <row r="121" spans="1:65" ht="12.5">
      <c r="A121" s="22">
        <v>43924.66843503472</v>
      </c>
      <c r="B121" s="2" t="s">
        <v>1986</v>
      </c>
      <c r="C121" s="2" t="s">
        <v>1987</v>
      </c>
      <c r="D121" s="2" t="s">
        <v>1988</v>
      </c>
      <c r="E121" s="2" t="s">
        <v>74</v>
      </c>
      <c r="F121" s="2" t="s">
        <v>2084</v>
      </c>
      <c r="G121" s="2" t="s">
        <v>1986</v>
      </c>
      <c r="H121" s="2" t="s">
        <v>1990</v>
      </c>
      <c r="I121" s="2" t="s">
        <v>152</v>
      </c>
      <c r="J121" s="2" t="s">
        <v>690</v>
      </c>
      <c r="K121" s="2" t="s">
        <v>608</v>
      </c>
      <c r="L121" s="2" t="s">
        <v>1991</v>
      </c>
      <c r="M121" s="2" t="s">
        <v>418</v>
      </c>
      <c r="N121" s="23">
        <v>2016</v>
      </c>
      <c r="O121" s="2" t="s">
        <v>82</v>
      </c>
      <c r="P121" s="2" t="s">
        <v>74</v>
      </c>
      <c r="Q121" s="2" t="s">
        <v>119</v>
      </c>
      <c r="R121" s="2" t="s">
        <v>84</v>
      </c>
      <c r="S121" s="2" t="s">
        <v>120</v>
      </c>
      <c r="T121" s="2" t="s">
        <v>74</v>
      </c>
      <c r="U121" s="2" t="s">
        <v>1453</v>
      </c>
      <c r="V121" s="2" t="s">
        <v>190</v>
      </c>
      <c r="W121" s="2" t="s">
        <v>499</v>
      </c>
      <c r="X121" s="2" t="s">
        <v>74</v>
      </c>
      <c r="Y121" s="2" t="s">
        <v>1992</v>
      </c>
      <c r="Z121" s="2" t="s">
        <v>89</v>
      </c>
      <c r="AA121" s="2" t="s">
        <v>126</v>
      </c>
      <c r="AB121" s="2" t="s">
        <v>1993</v>
      </c>
      <c r="AC121" s="2" t="s">
        <v>305</v>
      </c>
      <c r="AD121" s="2" t="s">
        <v>93</v>
      </c>
      <c r="AE121" s="2" t="s">
        <v>1994</v>
      </c>
      <c r="AF121" s="2" t="s">
        <v>74</v>
      </c>
      <c r="AG121" s="2" t="s">
        <v>74</v>
      </c>
      <c r="AH121" s="2" t="s">
        <v>96</v>
      </c>
      <c r="AI121" s="2" t="s">
        <v>74</v>
      </c>
      <c r="AJ121" s="2" t="s">
        <v>74</v>
      </c>
      <c r="AK121" s="2" t="s">
        <v>74</v>
      </c>
      <c r="AL121" s="2" t="s">
        <v>74</v>
      </c>
      <c r="AM121" s="2" t="s">
        <v>74</v>
      </c>
      <c r="AN121" s="2" t="s">
        <v>97</v>
      </c>
      <c r="AO121" s="2" t="s">
        <v>1995</v>
      </c>
      <c r="AP121" s="2" t="s">
        <v>308</v>
      </c>
      <c r="AQ121" s="2" t="s">
        <v>365</v>
      </c>
      <c r="AR121" s="2" t="s">
        <v>74</v>
      </c>
      <c r="AS121" s="2" t="s">
        <v>1996</v>
      </c>
      <c r="AT121" s="2" t="s">
        <v>107</v>
      </c>
      <c r="AU121" s="2" t="s">
        <v>83</v>
      </c>
      <c r="AV121" s="2"/>
      <c r="AW121" s="2" t="s">
        <v>233</v>
      </c>
      <c r="AX121" s="2" t="s">
        <v>398</v>
      </c>
      <c r="AY121" s="2" t="s">
        <v>168</v>
      </c>
      <c r="AZ121" s="2" t="s">
        <v>168</v>
      </c>
      <c r="BA121" s="2" t="s">
        <v>1997</v>
      </c>
      <c r="BB121" s="2" t="s">
        <v>107</v>
      </c>
      <c r="BC121" s="2" t="s">
        <v>139</v>
      </c>
      <c r="BD121" s="2" t="s">
        <v>341</v>
      </c>
      <c r="BE121" s="2" t="s">
        <v>83</v>
      </c>
      <c r="BF121" s="2" t="s">
        <v>233</v>
      </c>
      <c r="BG121" s="2"/>
      <c r="BH121" s="2" t="s">
        <v>233</v>
      </c>
      <c r="BI121" s="2" t="s">
        <v>233</v>
      </c>
      <c r="BJ121" s="2"/>
      <c r="BK121" s="2" t="s">
        <v>74</v>
      </c>
      <c r="BL121" s="2"/>
      <c r="BM121" s="2"/>
    </row>
    <row r="122" spans="1:65" ht="12.5">
      <c r="A122" s="2"/>
      <c r="B122" s="2" t="s">
        <v>1998</v>
      </c>
      <c r="C122" s="2" t="s">
        <v>1999</v>
      </c>
      <c r="D122" s="2" t="s">
        <v>2000</v>
      </c>
      <c r="E122" s="2" t="s">
        <v>83</v>
      </c>
      <c r="F122" s="25" t="s">
        <v>2001</v>
      </c>
      <c r="G122" s="2" t="s">
        <v>2002</v>
      </c>
      <c r="H122" s="2" t="s">
        <v>2003</v>
      </c>
      <c r="I122" s="2" t="s">
        <v>152</v>
      </c>
      <c r="J122" s="2" t="s">
        <v>278</v>
      </c>
      <c r="K122" s="2" t="s">
        <v>936</v>
      </c>
      <c r="L122" s="2" t="s">
        <v>2004</v>
      </c>
      <c r="M122" s="2" t="s">
        <v>81</v>
      </c>
      <c r="N122" s="23">
        <v>2014</v>
      </c>
      <c r="O122" s="23">
        <v>2017</v>
      </c>
      <c r="P122" s="2" t="s">
        <v>74</v>
      </c>
      <c r="Q122" s="2" t="s">
        <v>719</v>
      </c>
      <c r="R122" s="2" t="s">
        <v>2005</v>
      </c>
      <c r="S122" s="2" t="s">
        <v>85</v>
      </c>
      <c r="T122" s="2" t="s">
        <v>95</v>
      </c>
      <c r="U122" s="2" t="s">
        <v>2006</v>
      </c>
      <c r="V122" s="2" t="s">
        <v>2007</v>
      </c>
      <c r="W122" s="2" t="s">
        <v>85</v>
      </c>
      <c r="X122" s="2" t="s">
        <v>107</v>
      </c>
      <c r="Y122" s="2"/>
      <c r="Z122" s="2" t="s">
        <v>89</v>
      </c>
      <c r="AA122" s="2" t="s">
        <v>126</v>
      </c>
      <c r="AB122" s="2" t="s">
        <v>1328</v>
      </c>
      <c r="AC122" s="2" t="s">
        <v>92</v>
      </c>
      <c r="AD122" s="2" t="s">
        <v>284</v>
      </c>
      <c r="AE122" s="2" t="s">
        <v>1204</v>
      </c>
      <c r="AF122" s="2" t="s">
        <v>74</v>
      </c>
      <c r="AG122" s="2" t="s">
        <v>74</v>
      </c>
      <c r="AH122" s="2" t="s">
        <v>96</v>
      </c>
      <c r="AI122" s="2" t="s">
        <v>74</v>
      </c>
      <c r="AJ122" s="2" t="s">
        <v>74</v>
      </c>
      <c r="AK122" s="2" t="s">
        <v>107</v>
      </c>
      <c r="AL122" s="2" t="s">
        <v>74</v>
      </c>
      <c r="AM122" s="2" t="s">
        <v>74</v>
      </c>
      <c r="AN122" s="2" t="s">
        <v>97</v>
      </c>
      <c r="AO122" s="2" t="s">
        <v>2008</v>
      </c>
      <c r="AP122" s="2" t="s">
        <v>2009</v>
      </c>
      <c r="AQ122" s="2" t="s">
        <v>2010</v>
      </c>
      <c r="AR122" s="2" t="s">
        <v>107</v>
      </c>
      <c r="AS122" s="2" t="s">
        <v>107</v>
      </c>
      <c r="AT122" s="2" t="s">
        <v>107</v>
      </c>
      <c r="AU122" s="2" t="s">
        <v>107</v>
      </c>
      <c r="AV122" s="2"/>
      <c r="AW122" s="2" t="s">
        <v>107</v>
      </c>
      <c r="AX122" s="2" t="s">
        <v>85</v>
      </c>
      <c r="AY122" s="2" t="s">
        <v>339</v>
      </c>
      <c r="AZ122" s="2"/>
      <c r="BA122" s="2"/>
      <c r="BB122" s="2" t="s">
        <v>107</v>
      </c>
      <c r="BC122" s="2" t="s">
        <v>140</v>
      </c>
      <c r="BD122" s="2" t="s">
        <v>140</v>
      </c>
      <c r="BE122" s="2"/>
      <c r="BF122" s="2" t="s">
        <v>107</v>
      </c>
      <c r="BG122" s="2"/>
      <c r="BH122" s="2"/>
      <c r="BI122" s="2"/>
      <c r="BJ122" s="2"/>
      <c r="BK122" s="2" t="s">
        <v>74</v>
      </c>
      <c r="BL122" s="2"/>
      <c r="BM122" s="2"/>
    </row>
    <row r="123" spans="1:65" ht="12.5">
      <c r="A123" s="2"/>
      <c r="B123" s="2" t="s">
        <v>1998</v>
      </c>
      <c r="C123" s="2" t="s">
        <v>1999</v>
      </c>
      <c r="D123" s="2" t="s">
        <v>2011</v>
      </c>
      <c r="E123" s="2" t="s">
        <v>83</v>
      </c>
      <c r="F123" s="25" t="s">
        <v>2012</v>
      </c>
      <c r="G123" s="2" t="s">
        <v>2013</v>
      </c>
      <c r="H123" s="2" t="s">
        <v>2014</v>
      </c>
      <c r="I123" s="2" t="s">
        <v>152</v>
      </c>
      <c r="J123" s="2" t="s">
        <v>278</v>
      </c>
      <c r="K123" s="2" t="s">
        <v>936</v>
      </c>
      <c r="L123" s="2" t="s">
        <v>2015</v>
      </c>
      <c r="M123" s="2" t="s">
        <v>2016</v>
      </c>
      <c r="N123" s="23">
        <v>2016</v>
      </c>
      <c r="O123" s="2" t="s">
        <v>82</v>
      </c>
      <c r="P123" s="2" t="s">
        <v>74</v>
      </c>
      <c r="Q123" s="2" t="s">
        <v>719</v>
      </c>
      <c r="R123" s="2" t="s">
        <v>2005</v>
      </c>
      <c r="S123" s="2" t="s">
        <v>85</v>
      </c>
      <c r="T123" s="2" t="s">
        <v>74</v>
      </c>
      <c r="U123" s="2" t="s">
        <v>1453</v>
      </c>
      <c r="V123" s="2" t="s">
        <v>2007</v>
      </c>
      <c r="W123" s="2" t="s">
        <v>85</v>
      </c>
      <c r="X123" s="2" t="s">
        <v>74</v>
      </c>
      <c r="Y123" s="2" t="s">
        <v>2018</v>
      </c>
      <c r="Z123" s="2" t="s">
        <v>89</v>
      </c>
      <c r="AA123" s="2" t="s">
        <v>126</v>
      </c>
      <c r="AB123" s="2" t="s">
        <v>1328</v>
      </c>
      <c r="AC123" s="2" t="s">
        <v>162</v>
      </c>
      <c r="AD123" s="2" t="s">
        <v>284</v>
      </c>
      <c r="AE123" s="2" t="s">
        <v>1994</v>
      </c>
      <c r="AF123" s="2" t="s">
        <v>74</v>
      </c>
      <c r="AG123" s="2" t="s">
        <v>74</v>
      </c>
      <c r="AH123" s="24" t="s">
        <v>96</v>
      </c>
      <c r="AI123" s="2"/>
      <c r="AJ123" s="2" t="s">
        <v>74</v>
      </c>
      <c r="AK123" s="2"/>
      <c r="AL123" s="2"/>
      <c r="AM123" s="2" t="s">
        <v>74</v>
      </c>
      <c r="AN123" s="2" t="s">
        <v>97</v>
      </c>
      <c r="AO123" s="2" t="s">
        <v>2019</v>
      </c>
      <c r="AP123" s="2" t="s">
        <v>308</v>
      </c>
      <c r="AQ123" s="24" t="s">
        <v>2020</v>
      </c>
      <c r="AR123" s="2"/>
      <c r="AS123" s="2"/>
      <c r="AT123" s="2"/>
      <c r="AU123" s="2"/>
      <c r="AV123" s="2"/>
      <c r="AW123" s="2"/>
      <c r="AX123" s="2" t="s">
        <v>85</v>
      </c>
      <c r="AY123" s="2" t="s">
        <v>339</v>
      </c>
      <c r="AZ123" s="2"/>
      <c r="BA123" s="2"/>
      <c r="BB123" s="2"/>
      <c r="BC123" s="2"/>
      <c r="BD123" s="2"/>
      <c r="BE123" s="2"/>
      <c r="BF123" s="2" t="s">
        <v>233</v>
      </c>
      <c r="BG123" s="2"/>
      <c r="BH123" s="2"/>
      <c r="BI123" s="2"/>
      <c r="BJ123" s="2"/>
      <c r="BK123" s="2" t="s">
        <v>74</v>
      </c>
      <c r="BL123" s="2"/>
      <c r="BM123" s="2"/>
    </row>
    <row r="124" spans="1:65" ht="12.5">
      <c r="A124" s="2"/>
      <c r="B124" s="2" t="s">
        <v>1998</v>
      </c>
      <c r="C124" s="2" t="s">
        <v>1999</v>
      </c>
      <c r="D124" s="2" t="s">
        <v>2021</v>
      </c>
      <c r="E124" s="2" t="s">
        <v>83</v>
      </c>
      <c r="F124" s="25" t="s">
        <v>2023</v>
      </c>
      <c r="G124" s="2" t="s">
        <v>2025</v>
      </c>
      <c r="H124" s="2" t="s">
        <v>2026</v>
      </c>
      <c r="I124" s="2" t="s">
        <v>152</v>
      </c>
      <c r="J124" s="2" t="s">
        <v>278</v>
      </c>
      <c r="K124" s="2" t="s">
        <v>936</v>
      </c>
      <c r="L124" s="2" t="s">
        <v>2027</v>
      </c>
      <c r="M124" s="2" t="s">
        <v>81</v>
      </c>
      <c r="N124" s="23">
        <v>2014</v>
      </c>
      <c r="O124" s="2" t="s">
        <v>82</v>
      </c>
      <c r="P124" s="2" t="s">
        <v>74</v>
      </c>
      <c r="Q124" s="2" t="s">
        <v>282</v>
      </c>
      <c r="R124" s="2" t="s">
        <v>2005</v>
      </c>
      <c r="S124" s="2" t="s">
        <v>735</v>
      </c>
      <c r="T124" s="2" t="s">
        <v>74</v>
      </c>
      <c r="U124" s="2" t="s">
        <v>1453</v>
      </c>
      <c r="V124" s="2" t="s">
        <v>2028</v>
      </c>
      <c r="W124" s="2" t="s">
        <v>366</v>
      </c>
      <c r="X124" s="2" t="s">
        <v>74</v>
      </c>
      <c r="Y124" s="2" t="s">
        <v>2018</v>
      </c>
      <c r="Z124" s="2" t="s">
        <v>89</v>
      </c>
      <c r="AA124" s="2" t="s">
        <v>126</v>
      </c>
      <c r="AB124" s="2" t="s">
        <v>999</v>
      </c>
      <c r="AC124" s="2" t="s">
        <v>92</v>
      </c>
      <c r="AD124" s="2" t="s">
        <v>284</v>
      </c>
      <c r="AE124" s="2" t="s">
        <v>1994</v>
      </c>
      <c r="AF124" s="2" t="s">
        <v>74</v>
      </c>
      <c r="AG124" s="2" t="s">
        <v>74</v>
      </c>
      <c r="AH124" s="2" t="s">
        <v>284</v>
      </c>
      <c r="AI124" s="2" t="s">
        <v>74</v>
      </c>
      <c r="AJ124" s="2" t="s">
        <v>74</v>
      </c>
      <c r="AK124" s="2" t="s">
        <v>74</v>
      </c>
      <c r="AL124" s="2" t="s">
        <v>74</v>
      </c>
      <c r="AM124" s="2" t="s">
        <v>74</v>
      </c>
      <c r="AN124" s="2" t="s">
        <v>97</v>
      </c>
      <c r="AO124" s="31" t="s">
        <v>130</v>
      </c>
      <c r="AP124" s="2" t="s">
        <v>725</v>
      </c>
      <c r="AQ124" s="2" t="s">
        <v>365</v>
      </c>
      <c r="AR124" s="2" t="s">
        <v>107</v>
      </c>
      <c r="AS124" s="2" t="s">
        <v>107</v>
      </c>
      <c r="AT124" s="2" t="s">
        <v>107</v>
      </c>
      <c r="AU124" s="2" t="s">
        <v>107</v>
      </c>
      <c r="AV124" s="2"/>
      <c r="AW124" s="2" t="s">
        <v>107</v>
      </c>
      <c r="AX124" s="2" t="s">
        <v>85</v>
      </c>
      <c r="AY124" s="2" t="s">
        <v>339</v>
      </c>
      <c r="AZ124" s="2"/>
      <c r="BA124" s="2"/>
      <c r="BB124" s="2" t="s">
        <v>233</v>
      </c>
      <c r="BC124" s="2" t="s">
        <v>172</v>
      </c>
      <c r="BD124" s="2" t="s">
        <v>2030</v>
      </c>
      <c r="BE124" s="2"/>
      <c r="BF124" s="2" t="s">
        <v>233</v>
      </c>
      <c r="BG124" s="2"/>
      <c r="BH124" s="2"/>
      <c r="BI124" s="2"/>
      <c r="BJ124" s="2"/>
      <c r="BK124" s="2" t="s">
        <v>74</v>
      </c>
      <c r="BL124" s="2"/>
      <c r="BM124" s="2"/>
    </row>
    <row r="125" spans="1:65" ht="15.5">
      <c r="A125" s="2"/>
      <c r="B125" s="2" t="s">
        <v>1998</v>
      </c>
      <c r="C125" s="2" t="s">
        <v>1999</v>
      </c>
      <c r="D125" s="2" t="s">
        <v>2031</v>
      </c>
      <c r="E125" s="2" t="s">
        <v>83</v>
      </c>
      <c r="F125" s="25" t="s">
        <v>2032</v>
      </c>
      <c r="G125" s="2" t="s">
        <v>2033</v>
      </c>
      <c r="H125" s="2" t="s">
        <v>2034</v>
      </c>
      <c r="I125" s="2" t="s">
        <v>152</v>
      </c>
      <c r="J125" s="2" t="s">
        <v>278</v>
      </c>
      <c r="K125" s="2" t="s">
        <v>936</v>
      </c>
      <c r="L125" s="32" t="s">
        <v>2035</v>
      </c>
      <c r="M125" s="31" t="s">
        <v>298</v>
      </c>
      <c r="N125" s="23">
        <v>2017</v>
      </c>
      <c r="O125" s="2" t="s">
        <v>82</v>
      </c>
      <c r="P125" s="2" t="s">
        <v>74</v>
      </c>
      <c r="Q125" s="2" t="s">
        <v>2036</v>
      </c>
      <c r="R125" s="2" t="s">
        <v>2005</v>
      </c>
      <c r="S125" s="2" t="s">
        <v>258</v>
      </c>
      <c r="T125" s="2" t="s">
        <v>74</v>
      </c>
      <c r="U125" s="2" t="s">
        <v>1966</v>
      </c>
      <c r="V125" s="2" t="s">
        <v>2037</v>
      </c>
      <c r="W125" s="2" t="s">
        <v>499</v>
      </c>
      <c r="X125" s="2" t="s">
        <v>74</v>
      </c>
      <c r="Y125" s="2" t="s">
        <v>2038</v>
      </c>
      <c r="Z125" s="2" t="s">
        <v>89</v>
      </c>
      <c r="AA125" s="2" t="s">
        <v>126</v>
      </c>
      <c r="AB125" s="2" t="s">
        <v>999</v>
      </c>
      <c r="AC125" s="2" t="s">
        <v>92</v>
      </c>
      <c r="AD125" s="2" t="s">
        <v>284</v>
      </c>
      <c r="AE125" s="2" t="s">
        <v>1994</v>
      </c>
      <c r="AF125" s="2" t="s">
        <v>74</v>
      </c>
      <c r="AG125" s="2" t="s">
        <v>74</v>
      </c>
      <c r="AH125" s="2" t="s">
        <v>96</v>
      </c>
      <c r="AI125" s="2" t="s">
        <v>74</v>
      </c>
      <c r="AJ125" s="2" t="s">
        <v>74</v>
      </c>
      <c r="AK125" s="2" t="s">
        <v>74</v>
      </c>
      <c r="AL125" s="2" t="s">
        <v>74</v>
      </c>
      <c r="AM125" s="2" t="s">
        <v>74</v>
      </c>
      <c r="AN125" s="2" t="s">
        <v>97</v>
      </c>
      <c r="AO125" s="31" t="s">
        <v>130</v>
      </c>
      <c r="AP125" s="2" t="s">
        <v>725</v>
      </c>
      <c r="AQ125" s="2" t="s">
        <v>365</v>
      </c>
      <c r="AR125" s="2" t="s">
        <v>74</v>
      </c>
      <c r="AS125" s="2" t="s">
        <v>107</v>
      </c>
      <c r="AT125" s="2" t="s">
        <v>107</v>
      </c>
      <c r="AU125" s="2" t="s">
        <v>107</v>
      </c>
      <c r="AV125" s="2"/>
      <c r="AW125" s="2" t="s">
        <v>107</v>
      </c>
      <c r="AX125" s="2" t="s">
        <v>85</v>
      </c>
      <c r="AY125" s="2" t="s">
        <v>339</v>
      </c>
      <c r="AZ125" s="2"/>
      <c r="BA125" s="2"/>
      <c r="BB125" s="2" t="s">
        <v>233</v>
      </c>
      <c r="BC125" s="2"/>
      <c r="BD125" s="2"/>
      <c r="BE125" s="2"/>
      <c r="BF125" s="2" t="s">
        <v>107</v>
      </c>
      <c r="BG125" s="2"/>
      <c r="BH125" s="2"/>
      <c r="BI125" s="2"/>
      <c r="BJ125" s="2"/>
      <c r="BK125" s="2" t="s">
        <v>74</v>
      </c>
      <c r="BL125" s="2"/>
      <c r="BM125" s="2"/>
    </row>
    <row r="126" spans="1:65" ht="12.5">
      <c r="A126" s="2"/>
      <c r="B126" s="2" t="s">
        <v>1998</v>
      </c>
      <c r="C126" s="2" t="s">
        <v>1999</v>
      </c>
      <c r="D126" s="2" t="s">
        <v>2039</v>
      </c>
      <c r="E126" s="2" t="s">
        <v>83</v>
      </c>
      <c r="F126" s="25" t="s">
        <v>2040</v>
      </c>
      <c r="G126" s="2" t="s">
        <v>2041</v>
      </c>
      <c r="H126" s="2" t="s">
        <v>2085</v>
      </c>
      <c r="I126" s="2" t="s">
        <v>152</v>
      </c>
      <c r="J126" s="2" t="s">
        <v>278</v>
      </c>
      <c r="K126" s="2" t="s">
        <v>936</v>
      </c>
      <c r="L126" s="2" t="s">
        <v>2015</v>
      </c>
      <c r="M126" s="2" t="s">
        <v>2016</v>
      </c>
      <c r="N126" s="23">
        <v>2014</v>
      </c>
      <c r="O126" s="23">
        <v>2018</v>
      </c>
      <c r="P126" s="2" t="s">
        <v>74</v>
      </c>
      <c r="Q126" s="2" t="s">
        <v>719</v>
      </c>
      <c r="R126" s="2" t="s">
        <v>2005</v>
      </c>
      <c r="S126" s="2" t="s">
        <v>729</v>
      </c>
      <c r="T126" s="2" t="s">
        <v>95</v>
      </c>
      <c r="U126" s="2" t="s">
        <v>2043</v>
      </c>
      <c r="V126" s="2" t="s">
        <v>2007</v>
      </c>
      <c r="W126" s="2" t="s">
        <v>499</v>
      </c>
      <c r="X126" s="2" t="s">
        <v>74</v>
      </c>
      <c r="Y126" s="2" t="s">
        <v>2038</v>
      </c>
      <c r="Z126" s="2" t="s">
        <v>89</v>
      </c>
      <c r="AA126" s="2" t="s">
        <v>126</v>
      </c>
      <c r="AB126" s="2" t="s">
        <v>2044</v>
      </c>
      <c r="AC126" s="2" t="s">
        <v>92</v>
      </c>
      <c r="AD126" s="2" t="s">
        <v>284</v>
      </c>
      <c r="AE126" s="2" t="s">
        <v>1994</v>
      </c>
      <c r="AF126" s="2" t="s">
        <v>74</v>
      </c>
      <c r="AG126" s="2" t="s">
        <v>74</v>
      </c>
      <c r="AH126" s="2" t="s">
        <v>107</v>
      </c>
      <c r="AI126" s="2" t="s">
        <v>74</v>
      </c>
      <c r="AJ126" s="2" t="s">
        <v>74</v>
      </c>
      <c r="AK126" s="2" t="s">
        <v>74</v>
      </c>
      <c r="AL126" s="2" t="s">
        <v>74</v>
      </c>
      <c r="AM126" s="2" t="s">
        <v>74</v>
      </c>
      <c r="AN126" s="2" t="s">
        <v>97</v>
      </c>
      <c r="AO126" s="2" t="s">
        <v>2045</v>
      </c>
      <c r="AP126" s="31" t="s">
        <v>2009</v>
      </c>
      <c r="AQ126" s="2" t="s">
        <v>365</v>
      </c>
      <c r="AR126" s="2" t="s">
        <v>107</v>
      </c>
      <c r="AS126" s="2" t="s">
        <v>107</v>
      </c>
      <c r="AT126" s="2" t="s">
        <v>107</v>
      </c>
      <c r="AU126" s="2" t="s">
        <v>107</v>
      </c>
      <c r="AV126" s="2"/>
      <c r="AW126" s="2" t="s">
        <v>107</v>
      </c>
      <c r="AX126" s="2" t="s">
        <v>2046</v>
      </c>
      <c r="AY126" s="2" t="s">
        <v>339</v>
      </c>
      <c r="AZ126" s="2"/>
      <c r="BA126" s="2"/>
      <c r="BB126" s="2" t="s">
        <v>233</v>
      </c>
      <c r="BC126" s="2"/>
      <c r="BD126" s="2"/>
      <c r="BE126" s="2"/>
      <c r="BF126" s="2" t="s">
        <v>107</v>
      </c>
      <c r="BG126" s="2"/>
      <c r="BH126" s="2"/>
      <c r="BI126" s="2"/>
      <c r="BJ126" s="2"/>
      <c r="BK126" s="2" t="s">
        <v>74</v>
      </c>
      <c r="BL126" s="2"/>
      <c r="BM126" s="2"/>
    </row>
    <row r="127" spans="1:65" ht="12.5">
      <c r="A127" s="2"/>
      <c r="B127" s="2" t="s">
        <v>1998</v>
      </c>
      <c r="C127" s="2" t="s">
        <v>1999</v>
      </c>
      <c r="D127" s="2" t="s">
        <v>2047</v>
      </c>
      <c r="E127" s="2" t="s">
        <v>83</v>
      </c>
      <c r="F127" s="25" t="s">
        <v>2048</v>
      </c>
      <c r="G127" s="25" t="s">
        <v>2049</v>
      </c>
      <c r="H127" s="2" t="s">
        <v>2086</v>
      </c>
      <c r="I127" s="2" t="s">
        <v>152</v>
      </c>
      <c r="J127" s="2" t="s">
        <v>278</v>
      </c>
      <c r="K127" s="2" t="s">
        <v>936</v>
      </c>
      <c r="L127" s="2" t="s">
        <v>2051</v>
      </c>
      <c r="M127" s="2" t="s">
        <v>1775</v>
      </c>
      <c r="N127" s="23">
        <v>2010</v>
      </c>
      <c r="O127" s="23">
        <v>2015</v>
      </c>
      <c r="P127" s="2" t="s">
        <v>74</v>
      </c>
      <c r="Q127" s="2" t="s">
        <v>719</v>
      </c>
      <c r="R127" s="2" t="s">
        <v>2005</v>
      </c>
      <c r="S127" s="2" t="s">
        <v>729</v>
      </c>
      <c r="T127" s="2" t="s">
        <v>74</v>
      </c>
      <c r="U127" s="2" t="s">
        <v>2052</v>
      </c>
      <c r="V127" s="2" t="s">
        <v>2007</v>
      </c>
      <c r="W127" s="2" t="s">
        <v>499</v>
      </c>
      <c r="X127" s="2" t="s">
        <v>74</v>
      </c>
      <c r="Y127" s="2" t="s">
        <v>2038</v>
      </c>
      <c r="Z127" s="2" t="s">
        <v>89</v>
      </c>
      <c r="AA127" s="2" t="s">
        <v>126</v>
      </c>
      <c r="AB127" s="2" t="s">
        <v>999</v>
      </c>
      <c r="AC127" s="2" t="s">
        <v>284</v>
      </c>
      <c r="AD127" s="2" t="s">
        <v>284</v>
      </c>
      <c r="AE127" s="2" t="s">
        <v>1994</v>
      </c>
      <c r="AF127" s="2" t="s">
        <v>74</v>
      </c>
      <c r="AG127" s="2" t="s">
        <v>74</v>
      </c>
      <c r="AH127" s="2" t="s">
        <v>107</v>
      </c>
      <c r="AI127" s="2" t="s">
        <v>83</v>
      </c>
      <c r="AJ127" s="2" t="s">
        <v>74</v>
      </c>
      <c r="AK127" s="2" t="s">
        <v>74</v>
      </c>
      <c r="AL127" s="2" t="s">
        <v>74</v>
      </c>
      <c r="AM127" s="2" t="s">
        <v>74</v>
      </c>
      <c r="AN127" s="2" t="s">
        <v>97</v>
      </c>
      <c r="AO127" s="2" t="s">
        <v>130</v>
      </c>
      <c r="AP127" s="2" t="s">
        <v>725</v>
      </c>
      <c r="AQ127" s="2" t="s">
        <v>365</v>
      </c>
      <c r="AR127" s="2" t="s">
        <v>107</v>
      </c>
      <c r="AS127" s="2" t="s">
        <v>107</v>
      </c>
      <c r="AT127" s="2" t="s">
        <v>107</v>
      </c>
      <c r="AU127" s="2" t="s">
        <v>107</v>
      </c>
      <c r="AV127" s="2"/>
      <c r="AW127" s="2" t="s">
        <v>107</v>
      </c>
      <c r="AX127" s="2" t="s">
        <v>167</v>
      </c>
      <c r="AY127" s="2" t="s">
        <v>339</v>
      </c>
      <c r="AZ127" s="2"/>
      <c r="BA127" s="2"/>
      <c r="BB127" s="2" t="s">
        <v>233</v>
      </c>
      <c r="BC127" s="2"/>
      <c r="BD127" s="2"/>
      <c r="BE127" s="2"/>
      <c r="BF127" s="2" t="s">
        <v>107</v>
      </c>
      <c r="BG127" s="2"/>
      <c r="BH127" s="2"/>
      <c r="BI127" s="2"/>
      <c r="BJ127" s="2"/>
      <c r="BK127" s="2" t="s">
        <v>74</v>
      </c>
      <c r="BL127" s="2"/>
      <c r="BM127" s="2"/>
    </row>
    <row r="128" spans="1:65" ht="12.5">
      <c r="A128" s="2"/>
      <c r="B128" s="2" t="s">
        <v>1998</v>
      </c>
      <c r="C128" s="2" t="s">
        <v>1999</v>
      </c>
      <c r="D128" s="2" t="s">
        <v>2053</v>
      </c>
      <c r="E128" s="2" t="s">
        <v>83</v>
      </c>
      <c r="F128" s="25" t="s">
        <v>2054</v>
      </c>
      <c r="G128" s="2" t="s">
        <v>2055</v>
      </c>
      <c r="H128" s="2" t="s">
        <v>2034</v>
      </c>
      <c r="I128" s="2" t="s">
        <v>152</v>
      </c>
      <c r="J128" s="2" t="s">
        <v>278</v>
      </c>
      <c r="K128" s="2" t="s">
        <v>936</v>
      </c>
      <c r="L128" s="2" t="s">
        <v>2056</v>
      </c>
      <c r="M128" s="2" t="s">
        <v>81</v>
      </c>
      <c r="N128" s="23">
        <v>2015</v>
      </c>
      <c r="O128" s="23">
        <v>2019</v>
      </c>
      <c r="P128" s="2" t="s">
        <v>74</v>
      </c>
      <c r="Q128" s="2" t="s">
        <v>719</v>
      </c>
      <c r="R128" s="2" t="s">
        <v>2005</v>
      </c>
      <c r="S128" s="2" t="s">
        <v>258</v>
      </c>
      <c r="T128" s="2" t="s">
        <v>74</v>
      </c>
      <c r="U128" s="2" t="s">
        <v>2057</v>
      </c>
      <c r="V128" s="2" t="s">
        <v>2007</v>
      </c>
      <c r="W128" s="2" t="s">
        <v>499</v>
      </c>
      <c r="X128" s="2" t="s">
        <v>74</v>
      </c>
      <c r="Y128" s="2" t="s">
        <v>2038</v>
      </c>
      <c r="Z128" s="2" t="s">
        <v>89</v>
      </c>
      <c r="AA128" s="2" t="s">
        <v>126</v>
      </c>
      <c r="AB128" s="2" t="s">
        <v>2044</v>
      </c>
      <c r="AC128" s="2" t="s">
        <v>2058</v>
      </c>
      <c r="AD128" s="2" t="s">
        <v>284</v>
      </c>
      <c r="AE128" s="2" t="s">
        <v>1994</v>
      </c>
      <c r="AF128" s="2" t="s">
        <v>74</v>
      </c>
      <c r="AG128" s="2" t="s">
        <v>74</v>
      </c>
      <c r="AH128" s="2" t="s">
        <v>96</v>
      </c>
      <c r="AI128" s="2" t="s">
        <v>83</v>
      </c>
      <c r="AJ128" s="2" t="s">
        <v>74</v>
      </c>
      <c r="AK128" s="2" t="s">
        <v>74</v>
      </c>
      <c r="AL128" s="2" t="s">
        <v>74</v>
      </c>
      <c r="AM128" s="2" t="s">
        <v>74</v>
      </c>
      <c r="AN128" s="2" t="s">
        <v>97</v>
      </c>
      <c r="AO128" s="2" t="s">
        <v>130</v>
      </c>
      <c r="AP128" s="2" t="s">
        <v>725</v>
      </c>
      <c r="AQ128" s="2" t="s">
        <v>365</v>
      </c>
      <c r="AR128" s="2" t="s">
        <v>107</v>
      </c>
      <c r="AS128" s="2" t="s">
        <v>107</v>
      </c>
      <c r="AT128" s="2" t="s">
        <v>107</v>
      </c>
      <c r="AU128" s="2" t="s">
        <v>107</v>
      </c>
      <c r="AV128" s="2"/>
      <c r="AW128" s="2" t="s">
        <v>107</v>
      </c>
      <c r="AX128" s="2" t="s">
        <v>167</v>
      </c>
      <c r="AY128" s="2" t="s">
        <v>339</v>
      </c>
      <c r="AZ128" s="2"/>
      <c r="BA128" s="2"/>
      <c r="BB128" s="2" t="s">
        <v>233</v>
      </c>
      <c r="BC128" s="2"/>
      <c r="BD128" s="2"/>
      <c r="BE128" s="2"/>
      <c r="BF128" s="2" t="s">
        <v>107</v>
      </c>
      <c r="BG128" s="2"/>
      <c r="BH128" s="2"/>
      <c r="BI128" s="2"/>
      <c r="BJ128" s="2"/>
      <c r="BK128" s="2" t="s">
        <v>74</v>
      </c>
      <c r="BL128" s="2"/>
      <c r="BM128" s="2"/>
    </row>
    <row r="129" spans="1:65" ht="15" customHeight="1">
      <c r="A129" s="33">
        <v>43941</v>
      </c>
      <c r="B129" s="34" t="s">
        <v>2059</v>
      </c>
      <c r="C129" s="34" t="s">
        <v>2060</v>
      </c>
      <c r="D129" s="34" t="s">
        <v>2061</v>
      </c>
      <c r="E129" s="34" t="s">
        <v>74</v>
      </c>
      <c r="F129" s="34" t="s">
        <v>2062</v>
      </c>
      <c r="G129" s="34" t="s">
        <v>2059</v>
      </c>
      <c r="H129" s="34" t="s">
        <v>2063</v>
      </c>
      <c r="I129" s="34" t="s">
        <v>616</v>
      </c>
      <c r="J129" s="34" t="s">
        <v>115</v>
      </c>
      <c r="K129" s="34" t="s">
        <v>116</v>
      </c>
      <c r="L129" s="34" t="s">
        <v>2064</v>
      </c>
      <c r="M129" s="34" t="s">
        <v>118</v>
      </c>
      <c r="N129" s="35">
        <v>2019</v>
      </c>
      <c r="O129" s="34" t="s">
        <v>82</v>
      </c>
      <c r="P129" s="34" t="s">
        <v>74</v>
      </c>
      <c r="Q129" s="34" t="s">
        <v>119</v>
      </c>
      <c r="R129" s="34" t="s">
        <v>84</v>
      </c>
      <c r="S129" s="34" t="s">
        <v>120</v>
      </c>
      <c r="T129" s="34" t="s">
        <v>74</v>
      </c>
      <c r="U129" s="34" t="s">
        <v>2065</v>
      </c>
      <c r="V129" s="34" t="s">
        <v>2066</v>
      </c>
      <c r="W129" s="34" t="s">
        <v>499</v>
      </c>
      <c r="X129" s="34" t="s">
        <v>74</v>
      </c>
      <c r="Y129" s="34" t="s">
        <v>2067</v>
      </c>
      <c r="Z129" s="34" t="s">
        <v>125</v>
      </c>
      <c r="AA129" s="34" t="s">
        <v>126</v>
      </c>
      <c r="AB129" s="34" t="s">
        <v>1886</v>
      </c>
      <c r="AC129" s="34" t="s">
        <v>2068</v>
      </c>
      <c r="AD129" s="34" t="s">
        <v>284</v>
      </c>
      <c r="AE129" s="34" t="s">
        <v>163</v>
      </c>
      <c r="AF129" s="34" t="s">
        <v>95</v>
      </c>
      <c r="AG129" s="34" t="s">
        <v>74</v>
      </c>
      <c r="AH129" s="34" t="s">
        <v>96</v>
      </c>
      <c r="AI129" s="34" t="s">
        <v>208</v>
      </c>
      <c r="AJ129" s="34" t="s">
        <v>74</v>
      </c>
      <c r="AK129" s="34" t="s">
        <v>74</v>
      </c>
      <c r="AL129" s="34" t="s">
        <v>74</v>
      </c>
      <c r="AM129" s="34" t="s">
        <v>74</v>
      </c>
      <c r="AN129" s="34" t="s">
        <v>358</v>
      </c>
      <c r="AO129" s="34" t="s">
        <v>2069</v>
      </c>
      <c r="AP129" s="34" t="s">
        <v>520</v>
      </c>
      <c r="AQ129" s="34" t="s">
        <v>1096</v>
      </c>
      <c r="AR129" s="34" t="s">
        <v>83</v>
      </c>
      <c r="AS129" s="34" t="s">
        <v>2070</v>
      </c>
      <c r="AT129" s="34" t="s">
        <v>2071</v>
      </c>
      <c r="AU129" s="34" t="s">
        <v>83</v>
      </c>
      <c r="AV129" s="34"/>
      <c r="AW129" s="34" t="s">
        <v>107</v>
      </c>
      <c r="AX129" s="34" t="s">
        <v>2072</v>
      </c>
      <c r="AY129" s="34" t="s">
        <v>2073</v>
      </c>
      <c r="AZ129" s="34" t="s">
        <v>168</v>
      </c>
      <c r="BA129" s="34" t="s">
        <v>2074</v>
      </c>
      <c r="BB129" s="34" t="s">
        <v>233</v>
      </c>
      <c r="BC129" s="34" t="s">
        <v>233</v>
      </c>
      <c r="BD129" s="34" t="s">
        <v>108</v>
      </c>
      <c r="BE129" s="34" t="s">
        <v>83</v>
      </c>
      <c r="BF129" s="35">
        <v>0</v>
      </c>
      <c r="BG129" s="34"/>
      <c r="BH129" s="34"/>
      <c r="BI129" s="34"/>
      <c r="BJ129" s="34"/>
      <c r="BK129" s="34" t="s">
        <v>74</v>
      </c>
      <c r="BL129" s="36" t="s">
        <v>2075</v>
      </c>
      <c r="BM129" s="34"/>
    </row>
  </sheetData>
  <hyperlinks>
    <hyperlink ref="F3" r:id="rId1" xr:uid="{00000000-0004-0000-0500-000000000000}"/>
    <hyperlink ref="BG3" r:id="rId2" xr:uid="{00000000-0004-0000-0500-000001000000}"/>
    <hyperlink ref="F4" r:id="rId3" xr:uid="{00000000-0004-0000-0500-000002000000}"/>
    <hyperlink ref="F5" r:id="rId4" xr:uid="{00000000-0004-0000-0500-000003000000}"/>
    <hyperlink ref="D6" r:id="rId5" xr:uid="{00000000-0004-0000-0500-000004000000}"/>
    <hyperlink ref="BG6" r:id="rId6" xr:uid="{00000000-0004-0000-0500-000005000000}"/>
    <hyperlink ref="F7" r:id="rId7" xr:uid="{00000000-0004-0000-0500-000006000000}"/>
    <hyperlink ref="F8" r:id="rId8" xr:uid="{00000000-0004-0000-0500-000007000000}"/>
    <hyperlink ref="F9" r:id="rId9" xr:uid="{00000000-0004-0000-0500-000008000000}"/>
    <hyperlink ref="F10" r:id="rId10" xr:uid="{00000000-0004-0000-0500-000009000000}"/>
    <hyperlink ref="F11" r:id="rId11" xr:uid="{00000000-0004-0000-0500-00000A000000}"/>
    <hyperlink ref="D12" r:id="rId12" xr:uid="{00000000-0004-0000-0500-00000B000000}"/>
    <hyperlink ref="F12" r:id="rId13" xr:uid="{00000000-0004-0000-0500-00000C000000}"/>
    <hyperlink ref="L12" r:id="rId14" xr:uid="{00000000-0004-0000-0500-00000D000000}"/>
    <hyperlink ref="F13" r:id="rId15" xr:uid="{00000000-0004-0000-0500-00000E000000}"/>
    <hyperlink ref="F14" r:id="rId16" xr:uid="{00000000-0004-0000-0500-00000F000000}"/>
    <hyperlink ref="BG14" r:id="rId17" xr:uid="{00000000-0004-0000-0500-000010000000}"/>
    <hyperlink ref="F15" r:id="rId18" xr:uid="{00000000-0004-0000-0500-000011000000}"/>
    <hyperlink ref="BG15" r:id="rId19" xr:uid="{00000000-0004-0000-0500-000012000000}"/>
    <hyperlink ref="F16" r:id="rId20" xr:uid="{00000000-0004-0000-0500-000013000000}"/>
    <hyperlink ref="F17" r:id="rId21" xr:uid="{00000000-0004-0000-0500-000014000000}"/>
    <hyperlink ref="BG17" r:id="rId22" xr:uid="{00000000-0004-0000-0500-000015000000}"/>
    <hyperlink ref="F18" r:id="rId23" xr:uid="{00000000-0004-0000-0500-000016000000}"/>
    <hyperlink ref="D19" r:id="rId24" xr:uid="{00000000-0004-0000-0500-000017000000}"/>
    <hyperlink ref="F19" r:id="rId25" xr:uid="{00000000-0004-0000-0500-000018000000}"/>
    <hyperlink ref="F20" r:id="rId26" xr:uid="{00000000-0004-0000-0500-000019000000}"/>
    <hyperlink ref="F21" r:id="rId27" xr:uid="{00000000-0004-0000-0500-00001A000000}"/>
    <hyperlink ref="G21" r:id="rId28" xr:uid="{00000000-0004-0000-0500-00001B000000}"/>
    <hyperlink ref="L21" r:id="rId29" xr:uid="{00000000-0004-0000-0500-00001C000000}"/>
    <hyperlink ref="F22" r:id="rId30" xr:uid="{00000000-0004-0000-0500-00001D000000}"/>
    <hyperlink ref="F23" r:id="rId31" xr:uid="{00000000-0004-0000-0500-00001E000000}"/>
    <hyperlink ref="F24" r:id="rId32" xr:uid="{00000000-0004-0000-0500-00001F000000}"/>
    <hyperlink ref="F25" r:id="rId33" xr:uid="{00000000-0004-0000-0500-000020000000}"/>
    <hyperlink ref="BG25" r:id="rId34" xr:uid="{00000000-0004-0000-0500-000021000000}"/>
    <hyperlink ref="F27" r:id="rId35" xr:uid="{00000000-0004-0000-0500-000022000000}"/>
    <hyperlink ref="F28" r:id="rId36" xr:uid="{00000000-0004-0000-0500-000023000000}"/>
    <hyperlink ref="F29" r:id="rId37" xr:uid="{00000000-0004-0000-0500-000024000000}"/>
    <hyperlink ref="G29" r:id="rId38" xr:uid="{00000000-0004-0000-0500-000025000000}"/>
    <hyperlink ref="F30" r:id="rId39" xr:uid="{00000000-0004-0000-0500-000026000000}"/>
    <hyperlink ref="F31" r:id="rId40" xr:uid="{00000000-0004-0000-0500-000027000000}"/>
    <hyperlink ref="F32" r:id="rId41" xr:uid="{00000000-0004-0000-0500-000028000000}"/>
    <hyperlink ref="D33" r:id="rId42" xr:uid="{00000000-0004-0000-0500-000029000000}"/>
    <hyperlink ref="F33" r:id="rId43" xr:uid="{00000000-0004-0000-0500-00002A000000}"/>
    <hyperlink ref="F34" r:id="rId44" xr:uid="{00000000-0004-0000-0500-00002B000000}"/>
    <hyperlink ref="F35" r:id="rId45" xr:uid="{00000000-0004-0000-0500-00002C000000}"/>
    <hyperlink ref="F36" r:id="rId46" xr:uid="{00000000-0004-0000-0500-00002D000000}"/>
    <hyperlink ref="BG36" r:id="rId47" xr:uid="{00000000-0004-0000-0500-00002E000000}"/>
    <hyperlink ref="F37" r:id="rId48" xr:uid="{00000000-0004-0000-0500-00002F000000}"/>
    <hyperlink ref="BG37" r:id="rId49" xr:uid="{00000000-0004-0000-0500-000030000000}"/>
    <hyperlink ref="F38" r:id="rId50" xr:uid="{00000000-0004-0000-0500-000031000000}"/>
    <hyperlink ref="F39" r:id="rId51" xr:uid="{00000000-0004-0000-0500-000032000000}"/>
    <hyperlink ref="F40" r:id="rId52" xr:uid="{00000000-0004-0000-0500-000033000000}"/>
    <hyperlink ref="F41" r:id="rId53" xr:uid="{00000000-0004-0000-0500-000034000000}"/>
    <hyperlink ref="BG41" r:id="rId54" xr:uid="{00000000-0004-0000-0500-000035000000}"/>
    <hyperlink ref="F42" r:id="rId55" xr:uid="{00000000-0004-0000-0500-000036000000}"/>
    <hyperlink ref="F43" r:id="rId56" xr:uid="{00000000-0004-0000-0500-000037000000}"/>
    <hyperlink ref="F44" r:id="rId57" xr:uid="{00000000-0004-0000-0500-000038000000}"/>
    <hyperlink ref="BG44" r:id="rId58" xr:uid="{00000000-0004-0000-0500-000039000000}"/>
    <hyperlink ref="F45" r:id="rId59" xr:uid="{00000000-0004-0000-0500-00003A000000}"/>
    <hyperlink ref="F46" r:id="rId60" xr:uid="{00000000-0004-0000-0500-00003B000000}"/>
    <hyperlink ref="F47" r:id="rId61" xr:uid="{00000000-0004-0000-0500-00003C000000}"/>
    <hyperlink ref="BG48" r:id="rId62" xr:uid="{00000000-0004-0000-0500-00003D000000}"/>
    <hyperlink ref="F52" r:id="rId63" xr:uid="{00000000-0004-0000-0500-00003E000000}"/>
    <hyperlink ref="AU52" r:id="rId64" xr:uid="{00000000-0004-0000-0500-00003F000000}"/>
    <hyperlink ref="D53" r:id="rId65" xr:uid="{00000000-0004-0000-0500-000040000000}"/>
    <hyperlink ref="F53" r:id="rId66" xr:uid="{00000000-0004-0000-0500-000041000000}"/>
    <hyperlink ref="AU53" r:id="rId67" xr:uid="{00000000-0004-0000-0500-000042000000}"/>
    <hyperlink ref="BG53" r:id="rId68" xr:uid="{00000000-0004-0000-0500-000043000000}"/>
    <hyperlink ref="F54" r:id="rId69" xr:uid="{00000000-0004-0000-0500-000044000000}"/>
    <hyperlink ref="F55" r:id="rId70" xr:uid="{00000000-0004-0000-0500-000045000000}"/>
    <hyperlink ref="F56" r:id="rId71" xr:uid="{00000000-0004-0000-0500-000046000000}"/>
    <hyperlink ref="F57" r:id="rId72" xr:uid="{00000000-0004-0000-0500-000047000000}"/>
    <hyperlink ref="BG57" r:id="rId73" xr:uid="{00000000-0004-0000-0500-000048000000}"/>
    <hyperlink ref="F58" r:id="rId74" xr:uid="{00000000-0004-0000-0500-000049000000}"/>
    <hyperlink ref="BG58" r:id="rId75" xr:uid="{00000000-0004-0000-0500-00004A000000}"/>
    <hyperlink ref="F59" r:id="rId76" xr:uid="{00000000-0004-0000-0500-00004B000000}"/>
    <hyperlink ref="F60" r:id="rId77" xr:uid="{00000000-0004-0000-0500-00004C000000}"/>
    <hyperlink ref="BG60" r:id="rId78" xr:uid="{00000000-0004-0000-0500-00004D000000}"/>
    <hyperlink ref="F61" r:id="rId79" xr:uid="{00000000-0004-0000-0500-00004E000000}"/>
    <hyperlink ref="F62" r:id="rId80" xr:uid="{00000000-0004-0000-0500-00004F000000}"/>
    <hyperlink ref="F63" r:id="rId81" xr:uid="{00000000-0004-0000-0500-000050000000}"/>
    <hyperlink ref="F64" r:id="rId82" xr:uid="{00000000-0004-0000-0500-000051000000}"/>
    <hyperlink ref="D65" r:id="rId83" xr:uid="{00000000-0004-0000-0500-000052000000}"/>
    <hyperlink ref="F65" r:id="rId84" xr:uid="{00000000-0004-0000-0500-000053000000}"/>
    <hyperlink ref="F66" r:id="rId85" xr:uid="{00000000-0004-0000-0500-000054000000}"/>
    <hyperlink ref="D67" r:id="rId86" xr:uid="{00000000-0004-0000-0500-000055000000}"/>
    <hyperlink ref="F67" r:id="rId87" xr:uid="{00000000-0004-0000-0500-000056000000}"/>
    <hyperlink ref="F68" r:id="rId88" xr:uid="{00000000-0004-0000-0500-000057000000}"/>
    <hyperlink ref="D69" r:id="rId89" xr:uid="{00000000-0004-0000-0500-000058000000}"/>
    <hyperlink ref="F69" r:id="rId90" xr:uid="{00000000-0004-0000-0500-000059000000}"/>
    <hyperlink ref="F70" r:id="rId91" xr:uid="{00000000-0004-0000-0500-00005A000000}"/>
    <hyperlink ref="F71" r:id="rId92" xr:uid="{00000000-0004-0000-0500-00005B000000}"/>
    <hyperlink ref="F72" r:id="rId93" xr:uid="{00000000-0004-0000-0500-00005C000000}"/>
    <hyperlink ref="F73" r:id="rId94" xr:uid="{00000000-0004-0000-0500-00005D000000}"/>
    <hyperlink ref="F74" r:id="rId95" xr:uid="{00000000-0004-0000-0500-00005E000000}"/>
    <hyperlink ref="F75" r:id="rId96" xr:uid="{00000000-0004-0000-0500-00005F000000}"/>
    <hyperlink ref="F76" r:id="rId97" xr:uid="{00000000-0004-0000-0500-000060000000}"/>
    <hyperlink ref="F77" r:id="rId98" xr:uid="{00000000-0004-0000-0500-000061000000}"/>
    <hyperlink ref="F78" r:id="rId99" xr:uid="{00000000-0004-0000-0500-000062000000}"/>
    <hyperlink ref="F79" r:id="rId100" xr:uid="{00000000-0004-0000-0500-000063000000}"/>
    <hyperlink ref="BG79" r:id="rId101" xr:uid="{00000000-0004-0000-0500-000064000000}"/>
    <hyperlink ref="F80" r:id="rId102" xr:uid="{00000000-0004-0000-0500-000065000000}"/>
    <hyperlink ref="G80" r:id="rId103" xr:uid="{00000000-0004-0000-0500-000066000000}"/>
    <hyperlink ref="F81" r:id="rId104" xr:uid="{00000000-0004-0000-0500-000067000000}"/>
    <hyperlink ref="F82" r:id="rId105" xr:uid="{00000000-0004-0000-0500-000068000000}"/>
    <hyperlink ref="F83" r:id="rId106" xr:uid="{00000000-0004-0000-0500-000069000000}"/>
    <hyperlink ref="F84" r:id="rId107" xr:uid="{00000000-0004-0000-0500-00006A000000}"/>
    <hyperlink ref="BG84" r:id="rId108" xr:uid="{00000000-0004-0000-0500-00006B000000}"/>
    <hyperlink ref="F85" r:id="rId109" xr:uid="{00000000-0004-0000-0500-00006C000000}"/>
    <hyperlink ref="F87" r:id="rId110" xr:uid="{00000000-0004-0000-0500-00006D000000}"/>
    <hyperlink ref="F88" r:id="rId111" xr:uid="{00000000-0004-0000-0500-00006E000000}"/>
    <hyperlink ref="F89" r:id="rId112" xr:uid="{00000000-0004-0000-0500-00006F000000}"/>
    <hyperlink ref="D90" r:id="rId113" xr:uid="{00000000-0004-0000-0500-000070000000}"/>
    <hyperlink ref="F90" r:id="rId114" xr:uid="{00000000-0004-0000-0500-000071000000}"/>
    <hyperlink ref="F93" r:id="rId115" xr:uid="{00000000-0004-0000-0500-000072000000}"/>
    <hyperlink ref="F94" r:id="rId116" xr:uid="{00000000-0004-0000-0500-000073000000}"/>
    <hyperlink ref="F95" r:id="rId117" xr:uid="{00000000-0004-0000-0500-000074000000}"/>
    <hyperlink ref="BG95" r:id="rId118" xr:uid="{00000000-0004-0000-0500-000075000000}"/>
    <hyperlink ref="F96" r:id="rId119" xr:uid="{00000000-0004-0000-0500-000076000000}"/>
    <hyperlink ref="F97" r:id="rId120" xr:uid="{00000000-0004-0000-0500-000077000000}"/>
    <hyperlink ref="BG98" r:id="rId121" xr:uid="{00000000-0004-0000-0500-000078000000}"/>
    <hyperlink ref="F99" r:id="rId122" xr:uid="{00000000-0004-0000-0500-000079000000}"/>
    <hyperlink ref="F100" r:id="rId123" xr:uid="{00000000-0004-0000-0500-00007A000000}"/>
    <hyperlink ref="F101" r:id="rId124" xr:uid="{00000000-0004-0000-0500-00007B000000}"/>
    <hyperlink ref="D102" r:id="rId125" xr:uid="{00000000-0004-0000-0500-00007C000000}"/>
    <hyperlink ref="F102" r:id="rId126" xr:uid="{00000000-0004-0000-0500-00007D000000}"/>
    <hyperlink ref="F103" r:id="rId127" xr:uid="{00000000-0004-0000-0500-00007E000000}"/>
    <hyperlink ref="AU103" r:id="rId128" xr:uid="{00000000-0004-0000-0500-00007F000000}"/>
    <hyperlink ref="BG103" r:id="rId129" xr:uid="{00000000-0004-0000-0500-000080000000}"/>
    <hyperlink ref="F104" r:id="rId130" xr:uid="{00000000-0004-0000-0500-000081000000}"/>
    <hyperlink ref="G104" r:id="rId131" xr:uid="{00000000-0004-0000-0500-000082000000}"/>
    <hyperlink ref="F105" r:id="rId132" xr:uid="{00000000-0004-0000-0500-000083000000}"/>
    <hyperlink ref="F106" r:id="rId133" xr:uid="{00000000-0004-0000-0500-000084000000}"/>
    <hyperlink ref="F109" r:id="rId134" xr:uid="{00000000-0004-0000-0500-000085000000}"/>
    <hyperlink ref="F110" r:id="rId135" xr:uid="{00000000-0004-0000-0500-000086000000}"/>
    <hyperlink ref="AV110" r:id="rId136" xr:uid="{00000000-0004-0000-0500-000087000000}"/>
    <hyperlink ref="F112" r:id="rId137" xr:uid="{00000000-0004-0000-0500-000088000000}"/>
    <hyperlink ref="F113" r:id="rId138" xr:uid="{00000000-0004-0000-0500-000089000000}"/>
    <hyperlink ref="F114" r:id="rId139" xr:uid="{00000000-0004-0000-0500-00008A000000}"/>
    <hyperlink ref="F115" r:id="rId140" xr:uid="{00000000-0004-0000-0500-00008B000000}"/>
    <hyperlink ref="BG115" r:id="rId141" xr:uid="{00000000-0004-0000-0500-00008C000000}"/>
    <hyperlink ref="F116" r:id="rId142" xr:uid="{00000000-0004-0000-0500-00008D000000}"/>
    <hyperlink ref="F117" r:id="rId143" xr:uid="{00000000-0004-0000-0500-00008E000000}"/>
    <hyperlink ref="BG117" r:id="rId144" xr:uid="{00000000-0004-0000-0500-00008F000000}"/>
    <hyperlink ref="F118" r:id="rId145" xr:uid="{00000000-0004-0000-0500-000090000000}"/>
    <hyperlink ref="BG118" r:id="rId146" xr:uid="{00000000-0004-0000-0500-000091000000}"/>
    <hyperlink ref="F119" r:id="rId147" xr:uid="{00000000-0004-0000-0500-000092000000}"/>
    <hyperlink ref="F120" r:id="rId148" xr:uid="{00000000-0004-0000-0500-000093000000}"/>
    <hyperlink ref="F122" r:id="rId149" xr:uid="{00000000-0004-0000-0500-000094000000}"/>
    <hyperlink ref="F123" r:id="rId150" xr:uid="{00000000-0004-0000-0500-000095000000}"/>
    <hyperlink ref="F124" r:id="rId151" xr:uid="{00000000-0004-0000-0500-000096000000}"/>
    <hyperlink ref="F125" r:id="rId152" xr:uid="{00000000-0004-0000-0500-000097000000}"/>
    <hyperlink ref="F126" r:id="rId153" xr:uid="{00000000-0004-0000-0500-000098000000}"/>
    <hyperlink ref="F127" r:id="rId154" xr:uid="{00000000-0004-0000-0500-000099000000}"/>
    <hyperlink ref="G127" r:id="rId155" xr:uid="{00000000-0004-0000-0500-00009A000000}"/>
    <hyperlink ref="F128" r:id="rId156" xr:uid="{00000000-0004-0000-0500-00009B000000}"/>
  </hyperlinks>
  <pageMargins left="0.7" right="0.7" top="0.75" bottom="0.75" header="0" footer="0"/>
  <pageSetup orientation="landscape"/>
  <legacyDrawing r:id="rId1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C9D1C-C79E-4231-81E3-3CF712EB72E8}">
  <dimension ref="A1:AE41"/>
  <sheetViews>
    <sheetView topLeftCell="O1" workbookViewId="0">
      <selection activeCell="AD11" sqref="AD11"/>
    </sheetView>
  </sheetViews>
  <sheetFormatPr defaultRowHeight="12.5"/>
  <cols>
    <col min="3" max="3" width="8.7265625" style="52"/>
    <col min="7" max="7" width="8.7265625" style="52"/>
    <col min="11" max="11" width="8.7265625" style="52"/>
    <col min="19" max="19" width="8.7265625" style="52"/>
    <col min="20" max="20" width="8.7265625" style="21"/>
    <col min="23" max="23" width="8.7265625" style="52"/>
    <col min="24" max="24" width="8.7265625" style="21"/>
    <col min="31" max="31" width="8.7265625" style="52"/>
  </cols>
  <sheetData>
    <row r="1" spans="1:31" s="50" customFormat="1" ht="13">
      <c r="A1" s="62" t="s">
        <v>2227</v>
      </c>
      <c r="B1" s="62"/>
      <c r="C1" s="101" t="s">
        <v>2273</v>
      </c>
      <c r="D1" s="62"/>
      <c r="E1" s="62" t="s">
        <v>2230</v>
      </c>
      <c r="F1" s="62"/>
      <c r="G1" s="101" t="s">
        <v>2273</v>
      </c>
      <c r="H1" s="62"/>
      <c r="I1" s="62" t="s">
        <v>14</v>
      </c>
      <c r="J1" s="62"/>
      <c r="K1" s="101" t="s">
        <v>2273</v>
      </c>
      <c r="L1" s="62"/>
      <c r="M1" s="62" t="s">
        <v>2242</v>
      </c>
      <c r="N1" s="62"/>
      <c r="O1" s="101" t="s">
        <v>2273</v>
      </c>
      <c r="P1" s="62"/>
      <c r="Q1" s="62" t="s">
        <v>2245</v>
      </c>
      <c r="R1" s="62"/>
      <c r="S1" s="101" t="s">
        <v>2273</v>
      </c>
      <c r="T1" s="101"/>
      <c r="U1" s="62" t="s">
        <v>2269</v>
      </c>
      <c r="V1" s="62"/>
      <c r="W1" s="101" t="s">
        <v>2273</v>
      </c>
      <c r="X1" s="62"/>
      <c r="Y1" s="62" t="s">
        <v>19</v>
      </c>
      <c r="Z1" s="62"/>
      <c r="AA1" s="101" t="s">
        <v>2273</v>
      </c>
      <c r="AB1" s="62"/>
      <c r="AC1" s="62" t="s">
        <v>2270</v>
      </c>
      <c r="AD1" s="62"/>
      <c r="AE1" s="101" t="s">
        <v>2273</v>
      </c>
    </row>
    <row r="2" spans="1:31">
      <c r="A2" t="s">
        <v>665</v>
      </c>
      <c r="B2" s="39">
        <f>COUNTIF('INCLUDED_file edited'!N:N,"*Global*")</f>
        <v>1</v>
      </c>
      <c r="C2" s="52">
        <f>B2/103</f>
        <v>9.7087378640776691E-3</v>
      </c>
      <c r="E2" s="39" t="s">
        <v>153</v>
      </c>
      <c r="F2" s="39">
        <f>COUNTIF('INCLUDED_file edited'!O:O,"*Albania*")</f>
        <v>2</v>
      </c>
      <c r="G2" s="52">
        <f>F2/103</f>
        <v>1.9417475728155338E-2</v>
      </c>
      <c r="I2" s="37" t="s">
        <v>2246</v>
      </c>
      <c r="J2">
        <f>COUNTIF('INCLUDED_file edited'!P:P,"*Alban*")</f>
        <v>2</v>
      </c>
      <c r="K2" s="52">
        <f>J2/103</f>
        <v>1.9417475728155338E-2</v>
      </c>
      <c r="M2" s="40" t="s">
        <v>2243</v>
      </c>
      <c r="N2" s="39">
        <f>COUNTIF('INCLUDED_file edited'!S:S,"*Governmental Organisation*") - COUNTIF('INCLUDED_file edited'!S:S,"*NGO*")</f>
        <v>30</v>
      </c>
      <c r="O2" s="53">
        <f>N2/103</f>
        <v>0.29126213592233008</v>
      </c>
      <c r="Q2" s="39">
        <v>2005</v>
      </c>
      <c r="R2" s="39">
        <f>COUNTIF('INCLUDED_file edited'!T:T,"2005")</f>
        <v>1</v>
      </c>
      <c r="S2" s="52">
        <f>R2/102</f>
        <v>9.8039215686274508E-3</v>
      </c>
      <c r="U2" s="39">
        <v>2014</v>
      </c>
      <c r="V2" s="39">
        <f>COUNTIF('INCLUDED_file edited'!U:U,"2014")</f>
        <v>1</v>
      </c>
      <c r="W2" s="52">
        <f>V2/98</f>
        <v>1.020408163265306E-2</v>
      </c>
      <c r="Y2" s="39" t="s">
        <v>74</v>
      </c>
      <c r="Z2" s="39">
        <f>COUNTIF('INCLUDED_file edited'!W:W, "Yes")</f>
        <v>58</v>
      </c>
      <c r="AA2" s="53">
        <f>Z2/103</f>
        <v>0.56310679611650483</v>
      </c>
      <c r="AC2" s="40" t="s">
        <v>119</v>
      </c>
      <c r="AD2" s="39">
        <f>COUNTIF('INCLUDED_file edited'!Y:Y, "*Government*")</f>
        <v>28</v>
      </c>
      <c r="AE2" s="52">
        <f>AD2/78</f>
        <v>0.35897435897435898</v>
      </c>
    </row>
    <row r="3" spans="1:31">
      <c r="A3" t="s">
        <v>2228</v>
      </c>
      <c r="B3" s="39">
        <f>COUNTIF('INCLUDED_file edited'!N:N,"*Macro*")</f>
        <v>11</v>
      </c>
      <c r="C3" s="52">
        <f t="shared" ref="C3:C9" si="0">B3/103</f>
        <v>0.10679611650485436</v>
      </c>
      <c r="E3" s="39" t="s">
        <v>447</v>
      </c>
      <c r="F3" s="39">
        <f>COUNTIF('INCLUDED_file edited'!O:O,"*Austria*")</f>
        <v>4</v>
      </c>
      <c r="G3" s="52">
        <f t="shared" ref="G3:G41" si="1">F3/103</f>
        <v>3.8834951456310676E-2</v>
      </c>
      <c r="I3" s="37" t="s">
        <v>2247</v>
      </c>
      <c r="J3" s="21">
        <f>COUNTIF('INCLUDED_file edited'!P:P,"*arabic*")</f>
        <v>1</v>
      </c>
      <c r="K3" s="52">
        <f t="shared" ref="K3:K39" si="2">J3/103</f>
        <v>9.7087378640776691E-3</v>
      </c>
      <c r="M3" s="40" t="s">
        <v>720</v>
      </c>
      <c r="N3" s="39">
        <f>COUNTIF('INCLUDED_file edited'!S:S,"*NGO*")</f>
        <v>23</v>
      </c>
      <c r="O3" s="53">
        <f t="shared" ref="O3:O6" si="3">N3/103</f>
        <v>0.22330097087378642</v>
      </c>
      <c r="Q3" s="39">
        <v>2006</v>
      </c>
      <c r="R3" s="39">
        <f>COUNTIF('INCLUDED_file edited'!T:T,"2006")</f>
        <v>1</v>
      </c>
      <c r="S3" s="52">
        <f t="shared" ref="S3:S16" si="4">R3/102</f>
        <v>9.8039215686274508E-3</v>
      </c>
      <c r="U3" s="39">
        <v>2015</v>
      </c>
      <c r="V3" s="39">
        <f>COUNTIF('INCLUDED_file edited'!U:U,"2015")</f>
        <v>2</v>
      </c>
      <c r="W3" s="52">
        <f t="shared" ref="W3:W8" si="5">V3/98</f>
        <v>2.0408163265306121E-2</v>
      </c>
      <c r="Y3" s="39" t="s">
        <v>83</v>
      </c>
      <c r="Z3" s="39">
        <f>COUNTIF('INCLUDED_file edited'!W:W, "No")</f>
        <v>25</v>
      </c>
      <c r="AA3" s="53">
        <f t="shared" ref="AA3:AA4" si="6">Z3/103</f>
        <v>0.24271844660194175</v>
      </c>
      <c r="AC3" s="40" t="s">
        <v>256</v>
      </c>
      <c r="AD3" s="39">
        <f>COUNTIF('INCLUDED_file edited'!Y:Y, "*Public*")</f>
        <v>14</v>
      </c>
      <c r="AE3" s="52">
        <f t="shared" ref="AE3:AE7" si="7">AD3/78</f>
        <v>0.17948717948717949</v>
      </c>
    </row>
    <row r="4" spans="1:31">
      <c r="A4" t="s">
        <v>152</v>
      </c>
      <c r="B4" s="39">
        <f>COUNTIF('INCLUDED_file edited'!N:N,"National") - COUNTIF('INCLUDED_file edited'!N:N,"Subnational")</f>
        <v>68</v>
      </c>
      <c r="C4" s="52">
        <f t="shared" si="0"/>
        <v>0.66019417475728159</v>
      </c>
      <c r="E4" s="39" t="s">
        <v>2231</v>
      </c>
      <c r="F4" s="39">
        <f>COUNTIF('INCLUDED_file edited'!O:O,"*Belarus*")</f>
        <v>1</v>
      </c>
      <c r="G4" s="52">
        <f t="shared" si="1"/>
        <v>9.7087378640776691E-3</v>
      </c>
      <c r="I4" s="37" t="s">
        <v>2248</v>
      </c>
      <c r="J4" s="21">
        <f>COUNTIF('INCLUDED_file edited'!P:P,"*basque*")</f>
        <v>1</v>
      </c>
      <c r="K4" s="52">
        <f t="shared" si="2"/>
        <v>9.7087378640776691E-3</v>
      </c>
      <c r="M4" s="40" t="s">
        <v>724</v>
      </c>
      <c r="N4" s="39">
        <f>COUNTIF('INCLUDED_file edited'!S:S,"*Uni*")</f>
        <v>29</v>
      </c>
      <c r="O4" s="53">
        <f t="shared" si="3"/>
        <v>0.28155339805825241</v>
      </c>
      <c r="Q4" s="39">
        <v>2007</v>
      </c>
      <c r="R4" s="39">
        <f>COUNTIF('INCLUDED_file edited'!T:T,"2007")</f>
        <v>2</v>
      </c>
      <c r="S4" s="52">
        <f t="shared" si="4"/>
        <v>1.9607843137254902E-2</v>
      </c>
      <c r="U4" s="39">
        <v>2016</v>
      </c>
      <c r="V4" s="39">
        <f>COUNTIF('INCLUDED_file edited'!U:U,"2016")</f>
        <v>2</v>
      </c>
      <c r="W4" s="52">
        <f t="shared" si="5"/>
        <v>2.0408163265306121E-2</v>
      </c>
      <c r="Y4" s="39" t="s">
        <v>95</v>
      </c>
      <c r="Z4" s="39">
        <f>COUNTIF('INCLUDED_file edited'!W:W,"Partially")</f>
        <v>20</v>
      </c>
      <c r="AA4" s="53">
        <f t="shared" si="6"/>
        <v>0.1941747572815534</v>
      </c>
      <c r="AC4" s="40" t="s">
        <v>282</v>
      </c>
      <c r="AD4" s="39">
        <f>COUNTIF('INCLUDED_file edited'!Y:Y, "*Mixed*")</f>
        <v>22</v>
      </c>
      <c r="AE4" s="52">
        <f t="shared" si="7"/>
        <v>0.28205128205128205</v>
      </c>
    </row>
    <row r="5" spans="1:31">
      <c r="A5" s="48" t="s">
        <v>114</v>
      </c>
      <c r="B5" s="39">
        <f>COUNTIF('INCLUDED_file edited'!N:N,"*Sub*")</f>
        <v>4</v>
      </c>
      <c r="C5" s="52">
        <f t="shared" si="0"/>
        <v>3.8834951456310676E-2</v>
      </c>
      <c r="E5" s="39" t="s">
        <v>539</v>
      </c>
      <c r="F5" s="39">
        <f>COUNTIF('INCLUDED_file edited'!O:O,"*Belgium*")</f>
        <v>7</v>
      </c>
      <c r="G5" s="52">
        <f t="shared" si="1"/>
        <v>6.7961165048543687E-2</v>
      </c>
      <c r="I5" s="37" t="s">
        <v>2249</v>
      </c>
      <c r="J5" s="21">
        <f>COUNTIF('INCLUDED_file edited'!P:P,"*breton*")</f>
        <v>1</v>
      </c>
      <c r="K5" s="52">
        <f t="shared" si="2"/>
        <v>9.7087378640776691E-3</v>
      </c>
      <c r="M5" s="40" t="s">
        <v>2244</v>
      </c>
      <c r="N5" s="39">
        <f>COUNTIF('INCLUDED_file edited'!S:S,"*Public Research*")</f>
        <v>23</v>
      </c>
      <c r="O5" s="53">
        <f t="shared" si="3"/>
        <v>0.22330097087378642</v>
      </c>
      <c r="Q5" s="39">
        <v>2008</v>
      </c>
      <c r="R5" s="39">
        <f>COUNTIF('INCLUDED_file edited'!T:T,"2008")</f>
        <v>4</v>
      </c>
      <c r="S5" s="52">
        <f t="shared" si="4"/>
        <v>3.9215686274509803E-2</v>
      </c>
      <c r="U5" s="39">
        <v>2017</v>
      </c>
      <c r="V5" s="39">
        <f>COUNTIF('INCLUDED_file edited'!U:U,"2017")</f>
        <v>4</v>
      </c>
      <c r="W5" s="52">
        <f t="shared" si="5"/>
        <v>4.0816326530612242E-2</v>
      </c>
      <c r="Y5" s="21" t="s">
        <v>2229</v>
      </c>
      <c r="Z5">
        <f>SUM(Z2:Z4)</f>
        <v>103</v>
      </c>
      <c r="AC5" s="40" t="s">
        <v>611</v>
      </c>
      <c r="AD5" s="39">
        <f>COUNTIF('INCLUDED_file edited'!Y:Y, "*LIFE*")</f>
        <v>6</v>
      </c>
      <c r="AE5" s="52">
        <f t="shared" si="7"/>
        <v>7.6923076923076927E-2</v>
      </c>
    </row>
    <row r="6" spans="1:31">
      <c r="A6" s="48" t="s">
        <v>77</v>
      </c>
      <c r="B6" s="39">
        <f>COUNTIF('INCLUDED_file edited'!N:N,"Regional")</f>
        <v>14</v>
      </c>
      <c r="C6" s="52">
        <f t="shared" si="0"/>
        <v>0.13592233009708737</v>
      </c>
      <c r="E6" s="39" t="s">
        <v>2232</v>
      </c>
      <c r="F6" s="39">
        <f>COUNTIF('INCLUDED_file edited'!O:O,"*Bosnia*")</f>
        <v>2</v>
      </c>
      <c r="G6" s="52">
        <f t="shared" si="1"/>
        <v>1.9417475728155338E-2</v>
      </c>
      <c r="I6" s="37" t="s">
        <v>845</v>
      </c>
      <c r="J6" s="21">
        <f>COUNTIF('INCLUDED_file edited'!P:P,"*bulgarian*")</f>
        <v>2</v>
      </c>
      <c r="K6" s="52">
        <f t="shared" si="2"/>
        <v>1.9417475728155338E-2</v>
      </c>
      <c r="M6" s="37" t="s">
        <v>2116</v>
      </c>
      <c r="N6" s="39">
        <f>COUNTIF('INCLUDED_file edited'!S:S,"*Private*")</f>
        <v>12</v>
      </c>
      <c r="O6" s="53">
        <f t="shared" si="3"/>
        <v>0.11650485436893204</v>
      </c>
      <c r="Q6" s="39">
        <v>2009</v>
      </c>
      <c r="R6" s="39">
        <f>COUNTIF('INCLUDED_file edited'!T:T,"2009")</f>
        <v>2</v>
      </c>
      <c r="S6" s="52">
        <f t="shared" si="4"/>
        <v>1.9607843137254902E-2</v>
      </c>
      <c r="U6" s="39">
        <v>2018</v>
      </c>
      <c r="V6" s="39">
        <f>COUNTIF('INCLUDED_file edited'!U:U,"2018")</f>
        <v>6</v>
      </c>
      <c r="W6" s="52">
        <f t="shared" si="5"/>
        <v>6.1224489795918366E-2</v>
      </c>
      <c r="AC6" s="37" t="s">
        <v>515</v>
      </c>
      <c r="AD6" s="39">
        <f>COUNTIF('INCLUDED_file edited'!Y:Y, "*private*")</f>
        <v>3</v>
      </c>
      <c r="AE6" s="52">
        <f t="shared" si="7"/>
        <v>3.8461538461538464E-2</v>
      </c>
    </row>
    <row r="7" spans="1:31">
      <c r="A7" s="49" t="s">
        <v>616</v>
      </c>
      <c r="B7" s="39">
        <f>COUNTIF('INCLUDED_file edited'!N:N,"City")</f>
        <v>4</v>
      </c>
      <c r="C7" s="52">
        <f t="shared" si="0"/>
        <v>3.8834951456310676E-2</v>
      </c>
      <c r="E7" s="39" t="s">
        <v>688</v>
      </c>
      <c r="F7" s="39">
        <f>COUNTIF('INCLUDED_file edited'!O:O,"*Bulgaria*")</f>
        <v>2</v>
      </c>
      <c r="G7" s="52">
        <f t="shared" si="1"/>
        <v>1.9417475728155338E-2</v>
      </c>
      <c r="I7" s="37" t="s">
        <v>2250</v>
      </c>
      <c r="J7" s="21">
        <f>COUNTIF('INCLUDED_file edited'!P:P,"*catalan*")</f>
        <v>3</v>
      </c>
      <c r="K7" s="52">
        <f t="shared" si="2"/>
        <v>2.9126213592233011E-2</v>
      </c>
      <c r="Q7" s="39">
        <v>2010</v>
      </c>
      <c r="R7" s="39">
        <f>COUNTIF('INCLUDED_file edited'!T:T,"2010")</f>
        <v>4</v>
      </c>
      <c r="S7" s="52">
        <f t="shared" si="4"/>
        <v>3.9215686274509803E-2</v>
      </c>
      <c r="U7" s="39">
        <v>2019</v>
      </c>
      <c r="V7" s="39">
        <f>COUNTIF('INCLUDED_file edited'!U:U,"2019")</f>
        <v>7</v>
      </c>
      <c r="W7" s="52">
        <f t="shared" si="5"/>
        <v>7.1428571428571425E-2</v>
      </c>
      <c r="AC7" s="37" t="s">
        <v>720</v>
      </c>
      <c r="AD7" s="39">
        <f>COUNTIF('INCLUDED_file edited'!Y:Y, "*NGO*")</f>
        <v>3</v>
      </c>
      <c r="AE7" s="52">
        <f t="shared" si="7"/>
        <v>3.8461538461538464E-2</v>
      </c>
    </row>
    <row r="8" spans="1:31">
      <c r="A8" s="49" t="s">
        <v>750</v>
      </c>
      <c r="B8" s="39">
        <f>COUNTIF('INCLUDED_file edited'!N:N,"Neighbourhood")</f>
        <v>1</v>
      </c>
      <c r="C8" s="52">
        <f t="shared" si="0"/>
        <v>9.7087378640776691E-3</v>
      </c>
      <c r="E8" s="39" t="s">
        <v>684</v>
      </c>
      <c r="F8" s="39">
        <f>COUNTIF('INCLUDED_file edited'!O:O,"*Croatia*")</f>
        <v>5</v>
      </c>
      <c r="G8" s="52">
        <f t="shared" si="1"/>
        <v>4.8543689320388349E-2</v>
      </c>
      <c r="I8" s="37" t="s">
        <v>2251</v>
      </c>
      <c r="J8" s="21">
        <f>COUNTIF('INCLUDED_file edited'!P:P,"*chinese*")</f>
        <v>1</v>
      </c>
      <c r="K8" s="52">
        <f t="shared" si="2"/>
        <v>9.7087378640776691E-3</v>
      </c>
      <c r="Q8" s="39">
        <v>2011</v>
      </c>
      <c r="R8" s="39">
        <f>COUNTIF('INCLUDED_file edited'!T:T,"2011")</f>
        <v>3</v>
      </c>
      <c r="S8" s="52">
        <f t="shared" si="4"/>
        <v>2.9411764705882353E-2</v>
      </c>
      <c r="U8" s="40" t="s">
        <v>82</v>
      </c>
      <c r="V8" s="39">
        <f>COUNTIF('INCLUDED_file edited'!U:U,"Still running")</f>
        <v>76</v>
      </c>
      <c r="W8" s="52">
        <f t="shared" si="5"/>
        <v>0.77551020408163263</v>
      </c>
      <c r="AC8" s="37" t="s">
        <v>738</v>
      </c>
      <c r="AD8" s="39">
        <f>COUNTIF('INCLUDED_file edited'!Y:Y, "*Other*")</f>
        <v>2</v>
      </c>
      <c r="AE8" s="52">
        <f>AD8/78</f>
        <v>2.564102564102564E-2</v>
      </c>
    </row>
    <row r="9" spans="1:31">
      <c r="A9" s="51" t="s">
        <v>2229</v>
      </c>
      <c r="B9">
        <f>SUM(B2:B8)</f>
        <v>103</v>
      </c>
      <c r="C9" s="52">
        <f t="shared" si="0"/>
        <v>1</v>
      </c>
      <c r="E9" s="39" t="s">
        <v>607</v>
      </c>
      <c r="F9" s="39">
        <f>COUNTIF('INCLUDED_file edited'!O:O,"*Cyprus*")</f>
        <v>6</v>
      </c>
      <c r="G9" s="52">
        <f t="shared" si="1"/>
        <v>5.8252427184466021E-2</v>
      </c>
      <c r="I9" s="37" t="s">
        <v>825</v>
      </c>
      <c r="J9" s="21">
        <f>COUNTIF('INCLUDED_file edited'!P:P,"*czech*")</f>
        <v>4</v>
      </c>
      <c r="K9" s="52">
        <f t="shared" si="2"/>
        <v>3.8834951456310676E-2</v>
      </c>
      <c r="Q9" s="39">
        <v>2012</v>
      </c>
      <c r="R9" s="39">
        <f>COUNTIF('INCLUDED_file edited'!T:T,"2012")</f>
        <v>5</v>
      </c>
      <c r="S9" s="52">
        <f t="shared" si="4"/>
        <v>4.9019607843137254E-2</v>
      </c>
      <c r="U9" s="40" t="s">
        <v>107</v>
      </c>
      <c r="V9" s="39">
        <f>COUNTIF('INCLUDED_file edited'!U:U,"Unknown")</f>
        <v>5</v>
      </c>
      <c r="AC9" s="37" t="s">
        <v>2271</v>
      </c>
      <c r="AD9" s="39">
        <v>25</v>
      </c>
    </row>
    <row r="10" spans="1:31">
      <c r="E10" s="39" t="s">
        <v>578</v>
      </c>
      <c r="F10" s="39">
        <f>COUNTIF('INCLUDED_file edited'!O:O,"*Czech*")</f>
        <v>4</v>
      </c>
      <c r="G10" s="52">
        <f t="shared" si="1"/>
        <v>3.8834951456310676E-2</v>
      </c>
      <c r="I10" s="37" t="s">
        <v>608</v>
      </c>
      <c r="J10" s="21">
        <f>COUNTIF('INCLUDED_file edited'!P:P,"*english*")</f>
        <v>53</v>
      </c>
      <c r="K10" s="52">
        <f t="shared" si="2"/>
        <v>0.5145631067961165</v>
      </c>
      <c r="Q10" s="39">
        <v>2013</v>
      </c>
      <c r="R10" s="39">
        <f>COUNTIF('INCLUDED_file edited'!T:T,"2013")</f>
        <v>6</v>
      </c>
      <c r="S10" s="52">
        <f t="shared" si="4"/>
        <v>5.8823529411764705E-2</v>
      </c>
      <c r="U10" s="40" t="s">
        <v>2229</v>
      </c>
      <c r="V10" s="39">
        <f>SUM(V2:V9)</f>
        <v>103</v>
      </c>
      <c r="AC10" s="37" t="s">
        <v>2290</v>
      </c>
      <c r="AD10">
        <f>SUM(AD2:AD9)</f>
        <v>103</v>
      </c>
    </row>
    <row r="11" spans="1:31">
      <c r="E11" s="39" t="s">
        <v>2233</v>
      </c>
      <c r="F11" s="39">
        <f>COUNTIF('INCLUDED_file edited'!O:O,"*Denmark*")</f>
        <v>2</v>
      </c>
      <c r="G11" s="52">
        <f t="shared" si="1"/>
        <v>1.9417475728155338E-2</v>
      </c>
      <c r="I11" s="37" t="s">
        <v>2252</v>
      </c>
      <c r="J11" s="21">
        <f>COUNTIF('INCLUDED_file edited'!P:P,"*estonian*")</f>
        <v>1</v>
      </c>
      <c r="K11" s="52">
        <f t="shared" si="2"/>
        <v>9.7087378640776691E-3</v>
      </c>
      <c r="Q11" s="39">
        <v>2014</v>
      </c>
      <c r="R11" s="39">
        <f>COUNTIF('INCLUDED_file edited'!T:T,"2014")</f>
        <v>9</v>
      </c>
      <c r="S11" s="52">
        <f t="shared" si="4"/>
        <v>8.8235294117647065E-2</v>
      </c>
      <c r="U11" s="103" t="s">
        <v>2283</v>
      </c>
      <c r="V11" s="104">
        <f>103-V9</f>
        <v>98</v>
      </c>
      <c r="AC11" s="103" t="s">
        <v>2283</v>
      </c>
      <c r="AD11" s="104">
        <f>103-25</f>
        <v>78</v>
      </c>
    </row>
    <row r="12" spans="1:31">
      <c r="E12" s="39" t="s">
        <v>2234</v>
      </c>
      <c r="F12" s="39">
        <f>COUNTIF('INCLUDED_file edited'!O:O,"*Estonia*")</f>
        <v>1</v>
      </c>
      <c r="G12" s="52">
        <f t="shared" si="1"/>
        <v>9.7087378640776691E-3</v>
      </c>
      <c r="I12" s="37" t="s">
        <v>2253</v>
      </c>
      <c r="J12" s="21">
        <f>COUNTIF('INCLUDED_file edited'!P:P,"*danish*")</f>
        <v>1</v>
      </c>
      <c r="K12" s="52">
        <f t="shared" si="2"/>
        <v>9.7087378640776691E-3</v>
      </c>
      <c r="Q12" s="39">
        <v>2015</v>
      </c>
      <c r="R12" s="39">
        <f>COUNTIF('INCLUDED_file edited'!T:T,"2015")</f>
        <v>7</v>
      </c>
      <c r="S12" s="52">
        <f t="shared" si="4"/>
        <v>6.8627450980392163E-2</v>
      </c>
    </row>
    <row r="13" spans="1:31">
      <c r="E13" s="39" t="s">
        <v>693</v>
      </c>
      <c r="F13" s="39">
        <f>COUNTIF('INCLUDED_file edited'!O:O,"*Finland*")</f>
        <v>3</v>
      </c>
      <c r="G13" s="52">
        <f t="shared" si="1"/>
        <v>2.9126213592233011E-2</v>
      </c>
      <c r="I13" s="37" t="s">
        <v>541</v>
      </c>
      <c r="J13" s="21">
        <f>COUNTIF('INCLUDED_file edited'!P:P,"*dutch*")</f>
        <v>7</v>
      </c>
      <c r="K13" s="52">
        <f t="shared" si="2"/>
        <v>6.7961165048543687E-2</v>
      </c>
      <c r="Q13" s="39">
        <v>2016</v>
      </c>
      <c r="R13" s="39">
        <f>COUNTIF('INCLUDED_file edited'!T:T,"2016")</f>
        <v>9</v>
      </c>
      <c r="S13" s="52">
        <f t="shared" si="4"/>
        <v>8.8235294117647065E-2</v>
      </c>
    </row>
    <row r="14" spans="1:31">
      <c r="E14" s="39" t="s">
        <v>682</v>
      </c>
      <c r="F14" s="39">
        <f>COUNTIF('INCLUDED_file edited'!O:O,"*France*")</f>
        <v>9</v>
      </c>
      <c r="G14" s="52">
        <f t="shared" si="1"/>
        <v>8.7378640776699032E-2</v>
      </c>
      <c r="I14" s="37" t="s">
        <v>2254</v>
      </c>
      <c r="J14" s="21">
        <f>COUNTIF('INCLUDED_file edited'!P:P,"*finnish*")</f>
        <v>3</v>
      </c>
      <c r="K14" s="52">
        <f t="shared" si="2"/>
        <v>2.9126213592233011E-2</v>
      </c>
      <c r="Q14" s="39">
        <v>2017</v>
      </c>
      <c r="R14" s="39">
        <f>COUNTIF('INCLUDED_file edited'!T:T,"2017")</f>
        <v>17</v>
      </c>
      <c r="S14" s="52">
        <f t="shared" si="4"/>
        <v>0.16666666666666666</v>
      </c>
    </row>
    <row r="15" spans="1:31">
      <c r="E15" s="39" t="s">
        <v>115</v>
      </c>
      <c r="F15" s="39">
        <f>COUNTIF('INCLUDED_file edited'!O:O,"*Germany*")</f>
        <v>6</v>
      </c>
      <c r="G15" s="52">
        <f t="shared" si="1"/>
        <v>5.8252427184466021E-2</v>
      </c>
      <c r="I15" s="37" t="s">
        <v>1276</v>
      </c>
      <c r="J15" s="21">
        <f>COUNTIF('INCLUDED_file edited'!P:P,"*french*")</f>
        <v>11</v>
      </c>
      <c r="K15" s="52">
        <f t="shared" si="2"/>
        <v>0.10679611650485436</v>
      </c>
      <c r="Q15" s="39">
        <v>2018</v>
      </c>
      <c r="R15" s="39">
        <f>COUNTIF('INCLUDED_file edited'!T:T,"2018")</f>
        <v>11</v>
      </c>
      <c r="S15" s="52">
        <f t="shared" si="4"/>
        <v>0.10784313725490197</v>
      </c>
    </row>
    <row r="16" spans="1:31">
      <c r="E16" s="39" t="s">
        <v>694</v>
      </c>
      <c r="F16" s="39">
        <f>COUNTIF('INCLUDED_file edited'!O:O,"*Greece*")</f>
        <v>3</v>
      </c>
      <c r="G16" s="52">
        <f t="shared" si="1"/>
        <v>2.9126213592233011E-2</v>
      </c>
      <c r="I16" s="37" t="s">
        <v>2268</v>
      </c>
      <c r="J16" s="21">
        <f>COUNTIF('INCLUDED_file edited'!P:P,"*gaelic*")</f>
        <v>1</v>
      </c>
      <c r="K16" s="52">
        <f t="shared" si="2"/>
        <v>9.7087378640776691E-3</v>
      </c>
      <c r="Q16" s="39">
        <v>2019</v>
      </c>
      <c r="R16" s="39">
        <f>COUNTIF('INCLUDED_file edited'!T:T,"2019")</f>
        <v>21</v>
      </c>
      <c r="S16" s="52">
        <f t="shared" si="4"/>
        <v>0.20588235294117646</v>
      </c>
    </row>
    <row r="17" spans="5:18">
      <c r="E17" s="39" t="s">
        <v>685</v>
      </c>
      <c r="F17" s="39">
        <f>COUNTIF('INCLUDED_file edited'!O:O,"*Hungary*")</f>
        <v>5</v>
      </c>
      <c r="G17" s="52">
        <f t="shared" si="1"/>
        <v>4.8543689320388349E-2</v>
      </c>
      <c r="I17" s="37" t="s">
        <v>2255</v>
      </c>
      <c r="J17" s="21">
        <f>COUNTIF('INCLUDED_file edited'!P:P,"*galician*")</f>
        <v>2</v>
      </c>
      <c r="K17" s="52">
        <f t="shared" si="2"/>
        <v>1.9417475728155338E-2</v>
      </c>
      <c r="Q17" s="37" t="s">
        <v>107</v>
      </c>
      <c r="R17" s="39">
        <f>COUNTIF('INCLUDED_file edited'!T:T,"Unknown")</f>
        <v>1</v>
      </c>
    </row>
    <row r="18" spans="5:18">
      <c r="E18" s="39" t="s">
        <v>2235</v>
      </c>
      <c r="F18" s="39">
        <f>COUNTIF('INCLUDED_file edited'!O:O,"*Iceland*")</f>
        <v>2</v>
      </c>
      <c r="G18" s="52">
        <f t="shared" si="1"/>
        <v>1.9417475728155338E-2</v>
      </c>
      <c r="I18" s="37" t="s">
        <v>116</v>
      </c>
      <c r="J18" s="21">
        <f>COUNTIF('INCLUDED_file edited'!P:P,"*german*")</f>
        <v>6</v>
      </c>
      <c r="K18" s="52">
        <f t="shared" si="2"/>
        <v>5.8252427184466021E-2</v>
      </c>
      <c r="Q18" s="37" t="s">
        <v>2229</v>
      </c>
      <c r="R18">
        <f>SUM(R2:R17)</f>
        <v>103</v>
      </c>
    </row>
    <row r="19" spans="5:18">
      <c r="E19" s="39" t="s">
        <v>690</v>
      </c>
      <c r="F19" s="39">
        <f>COUNTIF('INCLUDED_file edited'!O:O,"*Irelan*")</f>
        <v>5</v>
      </c>
      <c r="G19" s="52">
        <f t="shared" si="1"/>
        <v>4.8543689320388349E-2</v>
      </c>
      <c r="I19" s="37" t="s">
        <v>2256</v>
      </c>
      <c r="J19" s="21">
        <f>COUNTIF('INCLUDED_file edited'!P:P,"*greek*")</f>
        <v>4</v>
      </c>
      <c r="K19" s="52">
        <f t="shared" si="2"/>
        <v>3.8834951456310676E-2</v>
      </c>
      <c r="Q19" s="104" t="s">
        <v>2283</v>
      </c>
      <c r="R19" s="104">
        <f>103-R17</f>
        <v>102</v>
      </c>
    </row>
    <row r="20" spans="5:18">
      <c r="E20" s="39" t="s">
        <v>653</v>
      </c>
      <c r="F20" s="39">
        <f>COUNTIF('INCLUDED_file edited'!O:O,"*Israel*")</f>
        <v>3</v>
      </c>
      <c r="G20" s="52">
        <f t="shared" si="1"/>
        <v>2.9126213592233011E-2</v>
      </c>
      <c r="I20" s="37" t="s">
        <v>654</v>
      </c>
      <c r="J20" s="21">
        <f>COUNTIF('INCLUDED_file edited'!P:P,"*hebrew*")</f>
        <v>2</v>
      </c>
      <c r="K20" s="52">
        <f t="shared" si="2"/>
        <v>1.9417475728155338E-2</v>
      </c>
    </row>
    <row r="21" spans="5:18">
      <c r="E21" s="39" t="s">
        <v>278</v>
      </c>
      <c r="F21" s="39">
        <f>COUNTIF('INCLUDED_file edited'!O:O,"*Italy*")</f>
        <v>13</v>
      </c>
      <c r="G21" s="52">
        <f t="shared" si="1"/>
        <v>0.12621359223300971</v>
      </c>
      <c r="I21" s="37" t="s">
        <v>915</v>
      </c>
      <c r="J21" s="21">
        <f>COUNTIF('INCLUDED_file edited'!P:P,"*hungarian*")</f>
        <v>3</v>
      </c>
      <c r="K21" s="52">
        <f t="shared" si="2"/>
        <v>2.9126213592233011E-2</v>
      </c>
    </row>
    <row r="22" spans="5:18">
      <c r="E22" s="39" t="s">
        <v>2236</v>
      </c>
      <c r="F22" s="39">
        <f>COUNTIF('INCLUDED_file edited'!O:O,"*Latvia*")</f>
        <v>2</v>
      </c>
      <c r="G22" s="52">
        <f t="shared" si="1"/>
        <v>1.9417475728155338E-2</v>
      </c>
      <c r="I22" s="37" t="s">
        <v>2257</v>
      </c>
      <c r="J22" s="21">
        <f>COUNTIF('INCLUDED_file edited'!P:P,"*indonesian*")</f>
        <v>1</v>
      </c>
      <c r="K22" s="52">
        <f t="shared" si="2"/>
        <v>9.7087378640776691E-3</v>
      </c>
    </row>
    <row r="23" spans="5:18">
      <c r="E23" s="39" t="s">
        <v>483</v>
      </c>
      <c r="F23" s="39">
        <f>COUNTIF('INCLUDED_file edited'!O:O,"*Lithuania*")</f>
        <v>4</v>
      </c>
      <c r="G23" s="52">
        <f t="shared" si="1"/>
        <v>3.8834951456310676E-2</v>
      </c>
      <c r="I23" s="37" t="s">
        <v>936</v>
      </c>
      <c r="J23" s="21">
        <f>COUNTIF('INCLUDED_file edited'!P:P,"*italian*")</f>
        <v>13</v>
      </c>
      <c r="K23" s="52">
        <f t="shared" si="2"/>
        <v>0.12621359223300971</v>
      </c>
    </row>
    <row r="24" spans="5:18">
      <c r="E24" s="39" t="s">
        <v>692</v>
      </c>
      <c r="F24" s="39">
        <f>COUNTIF('INCLUDED_file edited'!O:O,"*Luxembourg*")</f>
        <v>3</v>
      </c>
      <c r="G24" s="52">
        <f t="shared" si="1"/>
        <v>2.9126213592233011E-2</v>
      </c>
      <c r="I24" s="37" t="s">
        <v>2258</v>
      </c>
      <c r="J24" s="21">
        <f>COUNTIF('INCLUDED_file edited'!P:P,"*japanese*")</f>
        <v>1</v>
      </c>
      <c r="K24" s="52">
        <f t="shared" si="2"/>
        <v>9.7087378640776691E-3</v>
      </c>
    </row>
    <row r="25" spans="5:18">
      <c r="E25" s="39" t="s">
        <v>2237</v>
      </c>
      <c r="F25" s="39">
        <f>COUNTIF('INCLUDED_file edited'!O:O,"*Malta*")</f>
        <v>1</v>
      </c>
      <c r="G25" s="52">
        <f t="shared" si="1"/>
        <v>9.7087378640776691E-3</v>
      </c>
      <c r="I25" s="37" t="s">
        <v>2259</v>
      </c>
      <c r="J25" s="21">
        <f>COUNTIF('INCLUDED_file edited'!P:P,"*korean*")</f>
        <v>1</v>
      </c>
      <c r="K25" s="52">
        <f t="shared" si="2"/>
        <v>9.7087378640776691E-3</v>
      </c>
    </row>
    <row r="26" spans="5:18">
      <c r="E26" s="39" t="s">
        <v>2238</v>
      </c>
      <c r="F26" s="39">
        <f>COUNTIF('INCLUDED_file edited'!O:O,"*Montenegro*")</f>
        <v>1</v>
      </c>
      <c r="G26" s="52">
        <f t="shared" si="1"/>
        <v>9.7087378640776691E-3</v>
      </c>
      <c r="I26" s="37" t="s">
        <v>2265</v>
      </c>
      <c r="J26" s="21">
        <f>COUNTIF('INCLUDED_file edited'!P:P,"*lithuanian*")</f>
        <v>1</v>
      </c>
      <c r="K26" s="52">
        <f t="shared" si="2"/>
        <v>9.7087378640776691E-3</v>
      </c>
    </row>
    <row r="27" spans="5:18">
      <c r="E27" s="39" t="s">
        <v>340</v>
      </c>
      <c r="F27" s="39">
        <f>COUNTIF('INCLUDED_file edited'!O:O,"*Netherlands*")</f>
        <v>3</v>
      </c>
      <c r="G27" s="52">
        <f t="shared" si="1"/>
        <v>2.9126213592233011E-2</v>
      </c>
      <c r="I27" s="37" t="s">
        <v>2260</v>
      </c>
      <c r="J27" s="21">
        <f>COUNTIF('INCLUDED_file edited'!P:P,"*luxem*")</f>
        <v>2</v>
      </c>
      <c r="K27" s="52">
        <f t="shared" si="2"/>
        <v>1.9417475728155338E-2</v>
      </c>
    </row>
    <row r="28" spans="5:18">
      <c r="E28" s="39" t="s">
        <v>2239</v>
      </c>
      <c r="F28" s="39">
        <f>COUNTIF('INCLUDED_file edited'!O:O,"*Macedonia*")</f>
        <v>1</v>
      </c>
      <c r="G28" s="52">
        <f t="shared" si="1"/>
        <v>9.7087378640776691E-3</v>
      </c>
      <c r="I28" s="37" t="s">
        <v>2261</v>
      </c>
      <c r="J28" s="21">
        <f>COUNTIF('INCLUDED_file edited'!P:P,"*macedon*")</f>
        <v>1</v>
      </c>
      <c r="K28" s="52">
        <f t="shared" si="2"/>
        <v>9.7087378640776691E-3</v>
      </c>
    </row>
    <row r="29" spans="5:18">
      <c r="E29" s="39" t="s">
        <v>695</v>
      </c>
      <c r="F29" s="39">
        <f>COUNTIF('INCLUDED_file edited'!O:O,"*Norway*")</f>
        <v>3</v>
      </c>
      <c r="G29" s="52">
        <f t="shared" si="1"/>
        <v>2.9126213592233011E-2</v>
      </c>
      <c r="I29" s="37" t="s">
        <v>1115</v>
      </c>
      <c r="J29" s="21">
        <f>COUNTIF('INCLUDED_file edited'!P:P,"*norwegian*")</f>
        <v>1</v>
      </c>
      <c r="K29" s="52">
        <f t="shared" si="2"/>
        <v>9.7087378640776691E-3</v>
      </c>
    </row>
    <row r="30" spans="5:18">
      <c r="E30" s="39" t="s">
        <v>78</v>
      </c>
      <c r="F30" s="39">
        <f>COUNTIF('INCLUDED_file edited'!O:O,"*Poland*")</f>
        <v>6</v>
      </c>
      <c r="G30" s="52">
        <f t="shared" si="1"/>
        <v>5.8252427184466021E-2</v>
      </c>
      <c r="I30" s="37" t="s">
        <v>2262</v>
      </c>
      <c r="J30" s="21">
        <f>COUNTIF('INCLUDED_file edited'!P:P,"*occitan*")</f>
        <v>1</v>
      </c>
      <c r="K30" s="52">
        <f t="shared" si="2"/>
        <v>9.7087378640776691E-3</v>
      </c>
    </row>
    <row r="31" spans="5:18">
      <c r="E31" s="39" t="s">
        <v>199</v>
      </c>
      <c r="F31" s="39">
        <f>COUNTIF('INCLUDED_file edited'!O:O,"*Portugal*")</f>
        <v>9</v>
      </c>
      <c r="G31" s="52">
        <f t="shared" si="1"/>
        <v>8.7378640776699032E-2</v>
      </c>
      <c r="I31" s="37" t="s">
        <v>79</v>
      </c>
      <c r="J31" s="21">
        <f>COUNTIF('INCLUDED_file edited'!P:P,"*polish*")</f>
        <v>4</v>
      </c>
      <c r="K31" s="52">
        <f t="shared" si="2"/>
        <v>3.8834951456310676E-2</v>
      </c>
    </row>
    <row r="32" spans="5:18">
      <c r="E32" s="39" t="s">
        <v>687</v>
      </c>
      <c r="F32" s="39">
        <f>COUNTIF('INCLUDED_file edited'!O:O,"*Romania*")</f>
        <v>4</v>
      </c>
      <c r="G32" s="52">
        <f t="shared" si="1"/>
        <v>3.8834951456310676E-2</v>
      </c>
      <c r="I32" s="37" t="s">
        <v>200</v>
      </c>
      <c r="J32" s="21">
        <f>COUNTIF('INCLUDED_file edited'!P:P,"*portuguese*")</f>
        <v>7</v>
      </c>
      <c r="K32" s="52">
        <f t="shared" si="2"/>
        <v>6.7961165048543687E-2</v>
      </c>
    </row>
    <row r="33" spans="5:11">
      <c r="E33" s="39" t="s">
        <v>2241</v>
      </c>
      <c r="F33" s="39">
        <f>COUNTIF('INCLUDED_file edited'!O:O,"*Russia*")</f>
        <v>1</v>
      </c>
      <c r="G33" s="52">
        <f t="shared" si="1"/>
        <v>9.7087378640776691E-3</v>
      </c>
      <c r="I33" s="37" t="s">
        <v>2266</v>
      </c>
      <c r="J33" s="21">
        <f>COUNTIF('INCLUDED_file edited'!P:P,"*romanian*")</f>
        <v>1</v>
      </c>
      <c r="K33" s="52">
        <f t="shared" si="2"/>
        <v>9.7087378640776691E-3</v>
      </c>
    </row>
    <row r="34" spans="5:11">
      <c r="E34" s="39" t="s">
        <v>696</v>
      </c>
      <c r="F34" s="39">
        <f>COUNTIF('INCLUDED_file edited'!O:O,"*Serbia*")</f>
        <v>4</v>
      </c>
      <c r="G34" s="52">
        <f t="shared" si="1"/>
        <v>3.8834951456310676E-2</v>
      </c>
      <c r="I34" s="37" t="s">
        <v>2263</v>
      </c>
      <c r="J34" s="21">
        <f>COUNTIF('INCLUDED_file edited'!P:P,"*russian*")</f>
        <v>3</v>
      </c>
      <c r="K34" s="52">
        <f t="shared" si="2"/>
        <v>2.9126213592233011E-2</v>
      </c>
    </row>
    <row r="35" spans="5:11">
      <c r="E35" s="39" t="s">
        <v>697</v>
      </c>
      <c r="F35" s="39">
        <f>COUNTIF('INCLUDED_file edited'!O:O,"*Slovakia*")</f>
        <v>2</v>
      </c>
      <c r="G35" s="52">
        <f t="shared" si="1"/>
        <v>1.9417475728155338E-2</v>
      </c>
      <c r="I35" s="37" t="s">
        <v>2267</v>
      </c>
      <c r="J35" s="21">
        <f>COUNTIF('INCLUDED_file edited'!P:P,"*slovak*")</f>
        <v>1</v>
      </c>
      <c r="K35" s="52">
        <f t="shared" si="2"/>
        <v>9.7087378640776691E-3</v>
      </c>
    </row>
    <row r="36" spans="5:11">
      <c r="E36" s="39" t="s">
        <v>699</v>
      </c>
      <c r="F36" s="39">
        <f>COUNTIF('INCLUDED_file edited'!O:O,"*Slovenia*")</f>
        <v>4</v>
      </c>
      <c r="G36" s="52">
        <f t="shared" si="1"/>
        <v>3.8834951456310676E-2</v>
      </c>
      <c r="I36" s="37" t="s">
        <v>1305</v>
      </c>
      <c r="J36" s="21">
        <f>COUNTIF('INCLUDED_file edited'!P:P,"*slovenian*")</f>
        <v>1</v>
      </c>
      <c r="K36" s="52">
        <f t="shared" si="2"/>
        <v>9.7087378640776691E-3</v>
      </c>
    </row>
    <row r="37" spans="5:11">
      <c r="E37" s="39" t="s">
        <v>295</v>
      </c>
      <c r="F37" s="39">
        <f>COUNTIF('INCLUDED_file edited'!O:O,"*Spain*")</f>
        <v>6</v>
      </c>
      <c r="G37" s="52">
        <f t="shared" si="1"/>
        <v>5.8252427184466021E-2</v>
      </c>
      <c r="I37" s="37" t="s">
        <v>2264</v>
      </c>
      <c r="J37" s="21">
        <f>COUNTIF('INCLUDED_file edited'!P:P,"*spanish*")</f>
        <v>4</v>
      </c>
      <c r="K37" s="52">
        <f t="shared" si="2"/>
        <v>3.8834951456310676E-2</v>
      </c>
    </row>
    <row r="38" spans="5:11">
      <c r="E38" s="39" t="s">
        <v>510</v>
      </c>
      <c r="F38" s="39">
        <f>COUNTIF('INCLUDED_file edited'!O:O,"*Sweden*")</f>
        <v>5</v>
      </c>
      <c r="G38" s="52">
        <f t="shared" si="1"/>
        <v>4.8543689320388349E-2</v>
      </c>
      <c r="I38" s="37" t="s">
        <v>511</v>
      </c>
      <c r="J38" s="21">
        <f>COUNTIF('INCLUDED_file edited'!P:P,"*swedish*")</f>
        <v>4</v>
      </c>
      <c r="K38" s="52">
        <f t="shared" si="2"/>
        <v>3.8834951456310676E-2</v>
      </c>
    </row>
    <row r="39" spans="5:11">
      <c r="E39" s="39" t="s">
        <v>2240</v>
      </c>
      <c r="F39" s="39">
        <f>COUNTIF('INCLUDED_file edited'!O:O,"*Switzerland*")</f>
        <v>2</v>
      </c>
      <c r="G39" s="52">
        <f t="shared" si="1"/>
        <v>1.9417475728155338E-2</v>
      </c>
      <c r="I39" s="37" t="s">
        <v>382</v>
      </c>
      <c r="J39" s="21">
        <f>COUNTIF('INCLUDED_file edited'!P:P,"*turkish*")</f>
        <v>1</v>
      </c>
      <c r="K39" s="52">
        <f t="shared" si="2"/>
        <v>9.7087378640776691E-3</v>
      </c>
    </row>
    <row r="40" spans="5:11">
      <c r="E40" s="39" t="s">
        <v>381</v>
      </c>
      <c r="F40" s="39">
        <f>COUNTIF('INCLUDED_file edited'!O:O,"*Turkey*")</f>
        <v>2</v>
      </c>
      <c r="G40" s="52">
        <f t="shared" si="1"/>
        <v>1.9417475728155338E-2</v>
      </c>
    </row>
    <row r="41" spans="5:11">
      <c r="E41" s="39" t="s">
        <v>680</v>
      </c>
      <c r="F41" s="39">
        <f>COUNTIF('INCLUDED_file edited'!O:O,"*United Kingdom*")</f>
        <v>21</v>
      </c>
      <c r="G41" s="52">
        <f t="shared" si="1"/>
        <v>0.20388349514563106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CE526-17CE-4821-A8C2-773564A607FD}">
  <dimension ref="A1:X27"/>
  <sheetViews>
    <sheetView topLeftCell="H1" workbookViewId="0">
      <selection activeCell="V7" sqref="V7"/>
    </sheetView>
  </sheetViews>
  <sheetFormatPr defaultRowHeight="12.5"/>
  <cols>
    <col min="12" max="12" width="8.7265625" style="21"/>
  </cols>
  <sheetData>
    <row r="1" spans="1:24" ht="13">
      <c r="A1" s="54" t="s">
        <v>2272</v>
      </c>
      <c r="B1" s="55"/>
      <c r="C1" s="56" t="s">
        <v>2273</v>
      </c>
      <c r="D1" s="55"/>
      <c r="E1" s="54" t="s">
        <v>2274</v>
      </c>
      <c r="F1" s="55"/>
      <c r="G1" s="56" t="s">
        <v>2273</v>
      </c>
      <c r="H1" s="55"/>
      <c r="I1" s="54" t="s">
        <v>23</v>
      </c>
      <c r="J1" s="55"/>
      <c r="K1" s="57"/>
      <c r="L1" s="57"/>
      <c r="M1" s="54" t="s">
        <v>2275</v>
      </c>
      <c r="N1" s="55"/>
      <c r="O1" s="56" t="s">
        <v>2273</v>
      </c>
      <c r="P1" s="55"/>
      <c r="Q1" s="54" t="s">
        <v>25</v>
      </c>
      <c r="R1" s="55"/>
      <c r="S1" s="56" t="s">
        <v>2273</v>
      </c>
      <c r="T1" s="55"/>
      <c r="U1" s="54" t="s">
        <v>2276</v>
      </c>
      <c r="V1" s="55"/>
      <c r="W1" s="56" t="s">
        <v>2273</v>
      </c>
      <c r="X1" s="61"/>
    </row>
    <row r="2" spans="1:24">
      <c r="A2" s="40" t="s">
        <v>2277</v>
      </c>
      <c r="B2" s="39">
        <f>COUNTIF('INCLUDED_file edited'!AA:AA,"*anyone*")</f>
        <v>92</v>
      </c>
      <c r="C2" s="53">
        <f t="shared" ref="C2:C7" si="0">B2/103</f>
        <v>0.89320388349514568</v>
      </c>
      <c r="D2" s="39"/>
      <c r="E2" s="40" t="s">
        <v>120</v>
      </c>
      <c r="F2" s="39">
        <f>COUNTIF('INCLUDED_file edited'!AC:AC,"*plant*")</f>
        <v>31</v>
      </c>
      <c r="G2" s="53">
        <f>F2/103</f>
        <v>0.30097087378640774</v>
      </c>
      <c r="H2" s="39"/>
      <c r="I2" s="40" t="s">
        <v>74</v>
      </c>
      <c r="J2" s="39">
        <f>COUNTIF('INCLUDED_file edited'!AD:AD, "Yes")</f>
        <v>87</v>
      </c>
      <c r="K2" s="53">
        <f>J2/103</f>
        <v>0.84466019417475724</v>
      </c>
      <c r="L2" s="53"/>
      <c r="M2" s="41" t="s">
        <v>224</v>
      </c>
      <c r="N2" s="41">
        <f>COUNTIF('INCLUDED_file edited'!AF:AF,"*Mapping of alien species*")</f>
        <v>78</v>
      </c>
      <c r="O2" s="58">
        <f>N2/103</f>
        <v>0.75728155339805825</v>
      </c>
      <c r="P2" s="39"/>
      <c r="Q2" s="39" t="s">
        <v>190</v>
      </c>
      <c r="R2" s="39">
        <f>COUNTIF('INCLUDED_file edited'!AH:AH, "*species presence and/or*")</f>
        <v>97</v>
      </c>
      <c r="S2" s="53">
        <f>R2/103</f>
        <v>0.94174757281553401</v>
      </c>
      <c r="T2" s="39"/>
      <c r="U2" s="40" t="s">
        <v>499</v>
      </c>
      <c r="V2" s="39">
        <f>COUNTIF('INCLUDED_file edited'!AJ:AJ,"*Terr*")</f>
        <v>59</v>
      </c>
      <c r="W2" s="53">
        <f>V2/103</f>
        <v>0.57281553398058249</v>
      </c>
      <c r="X2" s="39"/>
    </row>
    <row r="3" spans="1:24">
      <c r="A3" s="40" t="s">
        <v>2278</v>
      </c>
      <c r="B3" s="39">
        <f>COUNTIF('INCLUDED_file edited'!AA:AA,"*scientist*")</f>
        <v>27</v>
      </c>
      <c r="C3" s="53">
        <f t="shared" si="0"/>
        <v>0.26213592233009708</v>
      </c>
      <c r="D3" s="39"/>
      <c r="E3" s="40" t="s">
        <v>258</v>
      </c>
      <c r="F3" s="39">
        <f>COUNTIF('INCLUDED_file edited'!AC:AC,"*insect*")</f>
        <v>26</v>
      </c>
      <c r="G3" s="53">
        <f t="shared" ref="G3:G10" si="1">F3/103</f>
        <v>0.25242718446601942</v>
      </c>
      <c r="H3" s="39"/>
      <c r="I3" s="40" t="s">
        <v>83</v>
      </c>
      <c r="J3" s="39">
        <f>COUNTIF('INCLUDED_file edited'!AD:AD, "*No*")</f>
        <v>7</v>
      </c>
      <c r="K3" s="53">
        <f t="shared" ref="K3:K4" si="2">J3/103</f>
        <v>6.7961165048543687E-2</v>
      </c>
      <c r="L3" s="53"/>
      <c r="M3" s="41" t="s">
        <v>582</v>
      </c>
      <c r="N3" s="41">
        <f>COUNTIF('INCLUDED_file edited'!AF:AF,"*monitoring*")</f>
        <v>68</v>
      </c>
      <c r="O3" s="58">
        <f t="shared" ref="O3:O11" si="3">N3/103</f>
        <v>0.66019417475728159</v>
      </c>
      <c r="P3" s="39"/>
      <c r="Q3" s="39" t="s">
        <v>241</v>
      </c>
      <c r="R3" s="39">
        <f>COUNTIF('INCLUDED_file edited'!AH:AH, "*early detection*")</f>
        <v>47</v>
      </c>
      <c r="S3" s="53">
        <f t="shared" ref="S3:S8" si="4">R3/103</f>
        <v>0.4563106796116505</v>
      </c>
      <c r="T3" s="39"/>
      <c r="U3" s="40" t="s">
        <v>456</v>
      </c>
      <c r="V3" s="39">
        <f>COUNTIF('INCLUDED_file edited'!AJ:AJ,"*Urban*")</f>
        <v>32</v>
      </c>
      <c r="W3" s="53">
        <f t="shared" ref="W3:W6" si="5">V3/103</f>
        <v>0.31067961165048541</v>
      </c>
      <c r="X3" s="39"/>
    </row>
    <row r="4" spans="1:24">
      <c r="A4" s="40" t="s">
        <v>790</v>
      </c>
      <c r="B4" s="39">
        <f>COUNTIF('INCLUDED_file edited'!AA:AA,"*school*")</f>
        <v>19</v>
      </c>
      <c r="C4" s="53">
        <f t="shared" si="0"/>
        <v>0.18446601941747573</v>
      </c>
      <c r="D4" s="39"/>
      <c r="E4" s="40" t="s">
        <v>85</v>
      </c>
      <c r="F4" s="39">
        <f>COUNTIF('INCLUDED_file edited'!AC:AC,"*all*")</f>
        <v>22</v>
      </c>
      <c r="G4" s="53">
        <f t="shared" si="1"/>
        <v>0.21359223300970873</v>
      </c>
      <c r="H4" s="39"/>
      <c r="I4" s="40" t="s">
        <v>95</v>
      </c>
      <c r="J4" s="39">
        <f>COUNTIF('INCLUDED_file edited'!AD:AD, "*Partial*")</f>
        <v>9</v>
      </c>
      <c r="K4" s="53">
        <f t="shared" si="2"/>
        <v>8.7378640776699032E-2</v>
      </c>
      <c r="L4" s="53"/>
      <c r="M4" s="41" t="s">
        <v>2279</v>
      </c>
      <c r="N4" s="41">
        <f>COUNTIF('INCLUDED_file edited'!AF:AF,"*awareness*")</f>
        <v>61</v>
      </c>
      <c r="O4" s="58">
        <f t="shared" si="3"/>
        <v>0.59223300970873782</v>
      </c>
      <c r="P4" s="39"/>
      <c r="Q4" s="39" t="s">
        <v>244</v>
      </c>
      <c r="R4" s="39">
        <f>COUNTIF('INCLUDED_file edited'!AH:AH, "*rate of spread*")</f>
        <v>25</v>
      </c>
      <c r="S4" s="53">
        <f t="shared" si="4"/>
        <v>0.24271844660194175</v>
      </c>
      <c r="T4" s="39"/>
      <c r="U4" s="40" t="s">
        <v>366</v>
      </c>
      <c r="V4" s="39">
        <f>COUNTIF('INCLUDED_file edited'!AJ:AJ,"*Fresh*")</f>
        <v>29</v>
      </c>
      <c r="W4" s="53">
        <f t="shared" si="5"/>
        <v>0.28155339805825241</v>
      </c>
      <c r="X4" s="39"/>
    </row>
    <row r="5" spans="1:24">
      <c r="A5" s="40" t="s">
        <v>1513</v>
      </c>
      <c r="B5" s="39">
        <f>COUNTIF('INCLUDED_file edited'!AA:AA,"*fishermen*")</f>
        <v>18</v>
      </c>
      <c r="C5" s="53">
        <f t="shared" si="0"/>
        <v>0.17475728155339806</v>
      </c>
      <c r="D5" s="39"/>
      <c r="E5" s="40" t="s">
        <v>731</v>
      </c>
      <c r="F5" s="39">
        <f>COUNTIF('INCLUDED_file edited'!AC:AC,"*fish*")</f>
        <v>9</v>
      </c>
      <c r="G5" s="53">
        <f t="shared" si="1"/>
        <v>8.7378640776699032E-2</v>
      </c>
      <c r="H5" s="39"/>
      <c r="I5" s="40" t="s">
        <v>2229</v>
      </c>
      <c r="J5" s="39">
        <f>SUM(J2:J4)</f>
        <v>103</v>
      </c>
      <c r="K5" s="53"/>
      <c r="L5" s="53"/>
      <c r="M5" s="41" t="s">
        <v>2280</v>
      </c>
      <c r="N5" s="41">
        <f>COUNTIF('INCLUDED_file edited'!AF:AF,"*early warning*")</f>
        <v>52</v>
      </c>
      <c r="O5" s="58">
        <f t="shared" si="3"/>
        <v>0.50485436893203883</v>
      </c>
      <c r="P5" s="39"/>
      <c r="Q5" s="39" t="s">
        <v>240</v>
      </c>
      <c r="R5" s="39">
        <f>COUNTIF('INCLUDED_file edited'!AH:AH, "*collecting lists*")</f>
        <v>22</v>
      </c>
      <c r="S5" s="53">
        <f t="shared" si="4"/>
        <v>0.21359223300970873</v>
      </c>
      <c r="T5" s="39"/>
      <c r="U5" s="40" t="s">
        <v>85</v>
      </c>
      <c r="V5" s="39">
        <f>COUNTIF('INCLUDED_file edited'!AJ:AJ,"*All*")</f>
        <v>18</v>
      </c>
      <c r="W5" s="53">
        <f t="shared" si="5"/>
        <v>0.17475728155339806</v>
      </c>
      <c r="X5" s="39"/>
    </row>
    <row r="6" spans="1:24">
      <c r="A6" s="40" t="s">
        <v>452</v>
      </c>
      <c r="B6" s="39">
        <f>COUNTIF('INCLUDED_file edited'!AA:AA,"*university*")</f>
        <v>15</v>
      </c>
      <c r="C6" s="53">
        <f t="shared" si="0"/>
        <v>0.14563106796116504</v>
      </c>
      <c r="D6" s="39"/>
      <c r="E6" s="40" t="s">
        <v>729</v>
      </c>
      <c r="F6" s="39">
        <f>COUNTIF('INCLUDED_file edited'!AC:AC,"*mammal*")</f>
        <v>14</v>
      </c>
      <c r="G6" s="53">
        <f t="shared" si="1"/>
        <v>0.13592233009708737</v>
      </c>
      <c r="H6" s="39"/>
      <c r="K6" s="53"/>
      <c r="L6" s="53"/>
      <c r="M6" s="41" t="s">
        <v>2281</v>
      </c>
      <c r="N6" s="41">
        <f>COUNTIF('INCLUDED_file edited'!AF:AF,"*education*")</f>
        <v>51</v>
      </c>
      <c r="O6" s="58">
        <f t="shared" si="3"/>
        <v>0.49514563106796117</v>
      </c>
      <c r="P6" s="39"/>
      <c r="Q6" s="39" t="s">
        <v>243</v>
      </c>
      <c r="R6" s="39">
        <f>COUNTIF('INCLUDED_file edited'!AH:AH, "*evidence of impacts*")</f>
        <v>16</v>
      </c>
      <c r="S6" s="53">
        <f t="shared" si="4"/>
        <v>0.1553398058252427</v>
      </c>
      <c r="T6" s="39"/>
      <c r="U6" s="40" t="s">
        <v>161</v>
      </c>
      <c r="V6" s="39">
        <f>COUNTIF('INCLUDED_file edited'!AJ:AJ,"*Marine*")</f>
        <v>13</v>
      </c>
      <c r="W6" s="53">
        <f t="shared" si="5"/>
        <v>0.12621359223300971</v>
      </c>
      <c r="X6" s="39"/>
    </row>
    <row r="7" spans="1:24">
      <c r="A7" s="40" t="s">
        <v>2282</v>
      </c>
      <c r="B7" s="39">
        <f>COUNTIF('INCLUDED_file edited'!AA:AA,"*land*")</f>
        <v>13</v>
      </c>
      <c r="C7" s="53">
        <f t="shared" si="0"/>
        <v>0.12621359223300971</v>
      </c>
      <c r="D7" s="39"/>
      <c r="E7" s="40" t="s">
        <v>735</v>
      </c>
      <c r="F7" s="39">
        <f>COUNTIF('INCLUDED_file edited'!AC:AC,"*crusta*")</f>
        <v>10</v>
      </c>
      <c r="G7" s="53">
        <f t="shared" si="1"/>
        <v>9.7087378640776698E-2</v>
      </c>
      <c r="H7" s="39"/>
      <c r="I7" s="40"/>
      <c r="J7" s="39"/>
      <c r="K7" s="53"/>
      <c r="L7" s="53"/>
      <c r="M7" s="41" t="s">
        <v>551</v>
      </c>
      <c r="N7" s="41">
        <f>COUNTIF('INCLUDED_file edited'!AF:AF,"*engagement*")</f>
        <v>40</v>
      </c>
      <c r="O7" s="58">
        <f t="shared" si="3"/>
        <v>0.38834951456310679</v>
      </c>
      <c r="P7" s="39"/>
      <c r="Q7" s="39" t="s">
        <v>232</v>
      </c>
      <c r="R7" s="39">
        <f>COUNTIF('INCLUDED_file edited'!AH:AH, "*measuring impacts*")</f>
        <v>14</v>
      </c>
      <c r="S7" s="53">
        <f t="shared" si="4"/>
        <v>0.13592233009708737</v>
      </c>
      <c r="T7" s="39"/>
      <c r="U7" s="40" t="s">
        <v>738</v>
      </c>
      <c r="V7" s="39">
        <f>COUNTIF('INCLUDED_file edited'!AJ:AJ,"*other*")</f>
        <v>3</v>
      </c>
      <c r="W7" s="53">
        <f t="shared" ref="W7" si="6">V7/103</f>
        <v>2.9126213592233011E-2</v>
      </c>
      <c r="X7" s="39"/>
    </row>
    <row r="8" spans="1:24">
      <c r="A8" s="40" t="s">
        <v>738</v>
      </c>
      <c r="B8" s="39">
        <f>COUNTIF('INCLUDED_file edited'!AA:AA,"*other*")</f>
        <v>16</v>
      </c>
      <c r="C8" s="53">
        <f t="shared" ref="C8" si="7">B8/103</f>
        <v>0.1553398058252427</v>
      </c>
      <c r="D8" s="39"/>
      <c r="E8" s="40" t="s">
        <v>385</v>
      </c>
      <c r="F8" s="39">
        <f>COUNTIF('INCLUDED_file edited'!AC:AC,"*birds*")</f>
        <v>6</v>
      </c>
      <c r="G8" s="53">
        <f t="shared" si="1"/>
        <v>5.8252427184466021E-2</v>
      </c>
      <c r="H8" s="39"/>
      <c r="I8" s="39"/>
      <c r="J8" s="39"/>
      <c r="K8" s="53"/>
      <c r="L8" s="53"/>
      <c r="M8" s="41" t="s">
        <v>2284</v>
      </c>
      <c r="N8" s="41">
        <f>COUNTIF('INCLUDED_file edited'!AF:AF,"*prevention*")</f>
        <v>29</v>
      </c>
      <c r="O8" s="58">
        <f t="shared" si="3"/>
        <v>0.28155339805825241</v>
      </c>
      <c r="P8" s="39"/>
      <c r="Q8" s="39" t="s">
        <v>245</v>
      </c>
      <c r="R8" s="39">
        <f>COUNTIF('INCLUDED_file edited'!AH:AH, "*experimental data*")</f>
        <v>12</v>
      </c>
      <c r="S8" s="53">
        <f t="shared" si="4"/>
        <v>0.11650485436893204</v>
      </c>
      <c r="T8" s="39"/>
      <c r="U8" s="40"/>
      <c r="V8" s="39"/>
      <c r="W8" s="53"/>
      <c r="X8" s="39"/>
    </row>
    <row r="9" spans="1:24">
      <c r="A9" s="40"/>
      <c r="B9" s="39"/>
      <c r="C9" s="53"/>
      <c r="D9" s="39"/>
      <c r="E9" s="40" t="s">
        <v>453</v>
      </c>
      <c r="F9" s="39">
        <f>COUNTIF('INCLUDED_file edited'!AC:AC,"*mollusc*")</f>
        <v>5</v>
      </c>
      <c r="G9" s="53">
        <f t="shared" si="1"/>
        <v>4.8543689320388349E-2</v>
      </c>
      <c r="H9" s="39"/>
      <c r="I9" s="39"/>
      <c r="J9" s="39"/>
      <c r="K9" s="53"/>
      <c r="L9" s="53"/>
      <c r="M9" s="41" t="s">
        <v>1810</v>
      </c>
      <c r="N9" s="41">
        <f>COUNTIF('INCLUDED_file edited'!AF:AF,"*effectiveness*")</f>
        <v>21</v>
      </c>
      <c r="O9" s="58">
        <f t="shared" si="3"/>
        <v>0.20388349514563106</v>
      </c>
      <c r="P9" s="39"/>
      <c r="Q9" s="8" t="s">
        <v>738</v>
      </c>
      <c r="R9" s="39">
        <f>COUNTIF('INCLUDED_file edited'!AH:AH, "*other*")</f>
        <v>6</v>
      </c>
      <c r="S9" s="53">
        <f t="shared" ref="S9" si="8">R9/103</f>
        <v>5.8252427184466021E-2</v>
      </c>
      <c r="T9" s="39"/>
      <c r="U9" s="40"/>
      <c r="V9" s="39"/>
      <c r="W9" s="53"/>
      <c r="X9" s="39"/>
    </row>
    <row r="10" spans="1:24">
      <c r="A10" s="40"/>
      <c r="B10" s="39"/>
      <c r="C10" s="53"/>
      <c r="D10" s="39"/>
      <c r="E10" s="40" t="s">
        <v>738</v>
      </c>
      <c r="F10" s="39">
        <f>COUNTIF('INCLUDED_file edited'!AC:AC,"*other*")</f>
        <v>12</v>
      </c>
      <c r="G10" s="53">
        <f t="shared" si="1"/>
        <v>0.11650485436893204</v>
      </c>
      <c r="H10" s="39"/>
      <c r="I10" s="39"/>
      <c r="J10" s="39"/>
      <c r="K10" s="53"/>
      <c r="L10" s="53"/>
      <c r="M10" s="41" t="s">
        <v>2285</v>
      </c>
      <c r="N10" s="41">
        <f>COUNTIF('INCLUDED_file edited'!AF:AF,"*testing*")</f>
        <v>19</v>
      </c>
      <c r="O10" s="58">
        <f t="shared" si="3"/>
        <v>0.18446601941747573</v>
      </c>
      <c r="P10" s="39"/>
      <c r="Q10" s="39"/>
      <c r="R10" s="39"/>
      <c r="S10" s="53"/>
      <c r="T10" s="39"/>
      <c r="U10" s="39"/>
      <c r="V10" s="39"/>
      <c r="W10" s="53"/>
      <c r="X10" s="39"/>
    </row>
    <row r="11" spans="1:24">
      <c r="A11" s="40"/>
      <c r="B11" s="39"/>
      <c r="C11" s="53"/>
      <c r="D11" s="39"/>
      <c r="G11" s="53"/>
      <c r="H11" s="39"/>
      <c r="I11" s="39"/>
      <c r="J11" s="39"/>
      <c r="K11" s="53"/>
      <c r="L11" s="53"/>
      <c r="M11" s="41" t="s">
        <v>2286</v>
      </c>
      <c r="N11" s="41">
        <f>COUNTIF('INCLUDED_file edited'!AF:AF,"*fun*")</f>
        <v>8</v>
      </c>
      <c r="O11" s="58">
        <f t="shared" si="3"/>
        <v>7.7669902912621352E-2</v>
      </c>
      <c r="P11" s="39"/>
      <c r="Q11" s="39"/>
      <c r="R11" s="39"/>
      <c r="S11" s="53"/>
      <c r="T11" s="39"/>
      <c r="U11" s="40"/>
      <c r="V11" s="39"/>
      <c r="W11" s="53"/>
      <c r="X11" s="39"/>
    </row>
    <row r="12" spans="1:24">
      <c r="A12" s="40"/>
      <c r="B12" s="39"/>
      <c r="C12" s="53"/>
      <c r="D12" s="39"/>
      <c r="E12" s="40"/>
      <c r="F12" s="39"/>
      <c r="G12" s="53"/>
      <c r="H12" s="39"/>
      <c r="I12" s="39"/>
      <c r="J12" s="39"/>
      <c r="K12" s="53"/>
      <c r="L12" s="53"/>
      <c r="M12" s="41" t="s">
        <v>738</v>
      </c>
      <c r="N12" s="41">
        <f>COUNTIF('INCLUDED_file edited'!AF:AF,"*other*")</f>
        <v>9</v>
      </c>
      <c r="O12" s="58">
        <f t="shared" ref="O12" si="9">N12/103</f>
        <v>8.7378640776699032E-2</v>
      </c>
      <c r="P12" s="39"/>
      <c r="Q12" s="39"/>
      <c r="R12" s="39"/>
      <c r="S12" s="53"/>
      <c r="T12" s="39"/>
      <c r="U12" s="40"/>
      <c r="V12" s="39"/>
      <c r="W12" s="53"/>
      <c r="X12" s="39"/>
    </row>
    <row r="13" spans="1:24">
      <c r="A13" s="40"/>
      <c r="B13" s="39"/>
      <c r="C13" s="53"/>
      <c r="D13" s="39"/>
      <c r="E13" s="40"/>
      <c r="F13" s="39"/>
      <c r="G13" s="53"/>
      <c r="H13" s="39"/>
      <c r="I13" s="39"/>
      <c r="J13" s="39"/>
      <c r="K13" s="53"/>
      <c r="L13" s="53"/>
      <c r="M13" s="41"/>
      <c r="N13" s="41"/>
      <c r="O13" s="58"/>
      <c r="P13" s="39"/>
      <c r="Q13" s="39"/>
      <c r="R13" s="39"/>
      <c r="S13" s="53"/>
      <c r="T13" s="39"/>
      <c r="U13" s="39"/>
      <c r="V13" s="39"/>
      <c r="W13" s="53"/>
      <c r="X13" s="39"/>
    </row>
    <row r="14" spans="1:24">
      <c r="A14" s="40"/>
      <c r="B14" s="39"/>
      <c r="C14" s="53"/>
      <c r="D14" s="39"/>
      <c r="E14" s="40"/>
      <c r="F14" s="39"/>
      <c r="G14" s="53"/>
      <c r="H14" s="39"/>
      <c r="I14" s="39"/>
      <c r="J14" s="39"/>
      <c r="K14" s="53"/>
      <c r="L14" s="53"/>
      <c r="M14" s="41"/>
      <c r="N14" s="41"/>
      <c r="O14" s="58"/>
      <c r="P14" s="39"/>
      <c r="Q14" s="39"/>
      <c r="R14" s="39"/>
      <c r="S14" s="53"/>
      <c r="T14" s="39"/>
      <c r="U14" s="39"/>
      <c r="V14" s="39"/>
      <c r="W14" s="53"/>
      <c r="X14" s="39"/>
    </row>
    <row r="15" spans="1:24">
      <c r="A15" s="40"/>
      <c r="B15" s="39"/>
      <c r="C15" s="53"/>
      <c r="D15" s="39"/>
      <c r="E15" s="40"/>
      <c r="F15" s="39"/>
      <c r="G15" s="53"/>
      <c r="H15" s="39"/>
      <c r="I15" s="39"/>
      <c r="J15" s="39"/>
      <c r="K15" s="53"/>
      <c r="L15" s="53"/>
      <c r="M15" s="41"/>
      <c r="N15" s="41"/>
      <c r="O15" s="58"/>
      <c r="P15" s="39"/>
      <c r="Q15" s="39"/>
      <c r="R15" s="39"/>
      <c r="S15" s="53"/>
      <c r="T15" s="39"/>
      <c r="U15" s="39"/>
      <c r="V15" s="39"/>
      <c r="W15" s="53"/>
      <c r="X15" s="39"/>
    </row>
    <row r="16" spans="1:24">
      <c r="A16" s="40"/>
      <c r="B16" s="39"/>
      <c r="C16" s="53"/>
      <c r="D16" s="39"/>
      <c r="E16" s="40"/>
      <c r="F16" s="39"/>
      <c r="G16" s="53"/>
      <c r="H16" s="39"/>
      <c r="I16" s="39"/>
      <c r="J16" s="39"/>
      <c r="K16" s="53"/>
      <c r="L16" s="53"/>
      <c r="M16" s="41"/>
      <c r="N16" s="41"/>
      <c r="O16" s="58"/>
      <c r="P16" s="39"/>
      <c r="Q16" s="39"/>
      <c r="R16" s="39"/>
      <c r="S16" s="53"/>
      <c r="T16" s="39"/>
      <c r="U16" s="39"/>
      <c r="V16" s="39"/>
      <c r="W16" s="53"/>
      <c r="X16" s="39"/>
    </row>
    <row r="17" spans="1:24">
      <c r="A17" s="40"/>
      <c r="B17" s="39"/>
      <c r="C17" s="53"/>
      <c r="D17" s="39"/>
      <c r="E17" s="40"/>
      <c r="F17" s="39"/>
      <c r="G17" s="53"/>
      <c r="H17" s="39"/>
      <c r="I17" s="39"/>
      <c r="J17" s="39"/>
      <c r="K17" s="53"/>
      <c r="L17" s="53"/>
      <c r="M17" s="41"/>
      <c r="N17" s="41"/>
      <c r="O17" s="58"/>
      <c r="P17" s="39"/>
      <c r="Q17" s="39"/>
      <c r="R17" s="39"/>
      <c r="S17" s="53"/>
      <c r="T17" s="39"/>
      <c r="U17" s="39"/>
      <c r="V17" s="39"/>
      <c r="W17" s="53"/>
      <c r="X17" s="39"/>
    </row>
    <row r="18" spans="1:24" ht="14.5">
      <c r="A18" s="40"/>
      <c r="B18" s="39"/>
      <c r="C18" s="53"/>
      <c r="D18" s="39"/>
      <c r="E18" s="40"/>
      <c r="F18" s="39"/>
      <c r="G18" s="53"/>
      <c r="H18" s="39"/>
      <c r="I18" s="39"/>
      <c r="J18" s="39"/>
      <c r="K18" s="53"/>
      <c r="L18" s="53"/>
      <c r="M18" s="59"/>
      <c r="N18" s="41"/>
      <c r="O18" s="58"/>
      <c r="P18" s="39"/>
      <c r="Q18" s="39"/>
      <c r="R18" s="39"/>
      <c r="S18" s="53"/>
      <c r="T18" s="39"/>
      <c r="U18" s="39"/>
      <c r="V18" s="39"/>
      <c r="W18" s="53"/>
      <c r="X18" s="39"/>
    </row>
    <row r="19" spans="1:24">
      <c r="A19" s="38"/>
      <c r="B19" s="39"/>
      <c r="C19" s="53"/>
      <c r="D19" s="39"/>
      <c r="E19" s="40"/>
      <c r="F19" s="39"/>
      <c r="G19" s="53"/>
      <c r="H19" s="39"/>
      <c r="I19" s="39"/>
      <c r="J19" s="39"/>
      <c r="K19" s="53"/>
      <c r="L19" s="53"/>
      <c r="M19" s="41"/>
      <c r="N19" s="41"/>
      <c r="O19" s="58"/>
      <c r="P19" s="39"/>
      <c r="Q19" s="39"/>
      <c r="R19" s="39"/>
      <c r="S19" s="53"/>
      <c r="T19" s="39"/>
      <c r="U19" s="39"/>
      <c r="V19" s="39"/>
      <c r="W19" s="53"/>
      <c r="X19" s="39"/>
    </row>
    <row r="20" spans="1:24">
      <c r="A20" s="38"/>
      <c r="B20" s="39"/>
      <c r="C20" s="53"/>
      <c r="D20" s="39"/>
      <c r="E20" s="40"/>
      <c r="F20" s="39"/>
      <c r="G20" s="53"/>
      <c r="H20" s="39"/>
      <c r="I20" s="39"/>
      <c r="J20" s="39"/>
      <c r="K20" s="53"/>
      <c r="L20" s="53"/>
      <c r="M20" s="41"/>
      <c r="N20" s="41"/>
      <c r="O20" s="58"/>
      <c r="P20" s="39"/>
      <c r="Q20" s="60"/>
      <c r="R20" s="39"/>
      <c r="S20" s="53"/>
      <c r="T20" s="39"/>
      <c r="U20" s="39"/>
      <c r="V20" s="39"/>
      <c r="W20" s="53"/>
      <c r="X20" s="39"/>
    </row>
    <row r="21" spans="1:24">
      <c r="A21" s="39"/>
      <c r="B21" s="39"/>
      <c r="C21" s="53"/>
      <c r="D21" s="39"/>
      <c r="E21" s="40"/>
      <c r="F21" s="39"/>
      <c r="G21" s="53"/>
      <c r="H21" s="39"/>
      <c r="I21" s="39"/>
      <c r="J21" s="39"/>
      <c r="K21" s="53"/>
      <c r="L21" s="53"/>
      <c r="M21" s="41"/>
      <c r="N21" s="41"/>
      <c r="O21" s="58"/>
      <c r="P21" s="39"/>
      <c r="Q21" s="39"/>
      <c r="R21" s="39"/>
      <c r="S21" s="53"/>
      <c r="T21" s="39"/>
      <c r="U21" s="39"/>
      <c r="V21" s="39"/>
      <c r="W21" s="53"/>
      <c r="X21" s="39"/>
    </row>
    <row r="22" spans="1:24">
      <c r="A22" s="39"/>
      <c r="B22" s="39"/>
      <c r="C22" s="53"/>
      <c r="D22" s="39"/>
      <c r="E22" s="38"/>
      <c r="F22" s="39"/>
      <c r="G22" s="53"/>
      <c r="H22" s="39"/>
      <c r="I22" s="39"/>
      <c r="J22" s="39"/>
      <c r="K22" s="53"/>
      <c r="L22" s="53"/>
      <c r="M22" s="41"/>
      <c r="N22" s="41"/>
      <c r="O22" s="58"/>
      <c r="P22" s="39"/>
      <c r="Q22" s="39"/>
      <c r="R22" s="39"/>
      <c r="S22" s="53"/>
      <c r="T22" s="39"/>
      <c r="U22" s="39"/>
      <c r="V22" s="39"/>
      <c r="W22" s="53"/>
      <c r="X22" s="39"/>
    </row>
    <row r="23" spans="1:24">
      <c r="A23" s="39"/>
      <c r="B23" s="39"/>
      <c r="C23" s="53"/>
      <c r="D23" s="39"/>
      <c r="E23" s="40"/>
      <c r="F23" s="39"/>
      <c r="G23" s="53"/>
      <c r="H23" s="39"/>
      <c r="I23" s="39"/>
      <c r="J23" s="39"/>
      <c r="K23" s="53"/>
      <c r="L23" s="53"/>
      <c r="M23" s="39"/>
      <c r="N23" s="39"/>
      <c r="O23" s="53"/>
      <c r="P23" s="39"/>
      <c r="Q23" s="39"/>
      <c r="R23" s="39"/>
      <c r="S23" s="53"/>
      <c r="T23" s="39"/>
      <c r="U23" s="39"/>
      <c r="V23" s="39"/>
      <c r="W23" s="53"/>
      <c r="X23" s="39"/>
    </row>
    <row r="24" spans="1:24">
      <c r="A24" s="39"/>
      <c r="B24" s="39"/>
      <c r="C24" s="53"/>
      <c r="D24" s="39"/>
      <c r="E24" s="40"/>
      <c r="F24" s="39"/>
      <c r="G24" s="53"/>
      <c r="H24" s="39"/>
      <c r="I24" s="39"/>
      <c r="J24" s="39"/>
      <c r="K24" s="53"/>
      <c r="L24" s="53"/>
      <c r="M24" s="39"/>
      <c r="N24" s="39"/>
      <c r="O24" s="53"/>
      <c r="P24" s="39"/>
      <c r="Q24" s="39"/>
      <c r="R24" s="39"/>
      <c r="S24" s="53"/>
      <c r="T24" s="39"/>
      <c r="U24" s="39"/>
      <c r="V24" s="39"/>
      <c r="W24" s="53"/>
      <c r="X24" s="39"/>
    </row>
    <row r="25" spans="1:24">
      <c r="A25" s="39"/>
      <c r="B25" s="39"/>
      <c r="C25" s="53"/>
      <c r="D25" s="39"/>
      <c r="E25" s="39"/>
      <c r="F25" s="39"/>
      <c r="G25" s="53"/>
      <c r="H25" s="39"/>
      <c r="I25" s="39"/>
      <c r="J25" s="39"/>
      <c r="K25" s="53"/>
      <c r="L25" s="53"/>
      <c r="M25" s="39"/>
      <c r="N25" s="39"/>
      <c r="O25" s="53"/>
      <c r="P25" s="39"/>
      <c r="Q25" s="39"/>
      <c r="R25" s="39"/>
      <c r="S25" s="53"/>
      <c r="T25" s="39"/>
      <c r="U25" s="39"/>
      <c r="V25" s="39"/>
      <c r="W25" s="53"/>
      <c r="X25" s="39"/>
    </row>
    <row r="26" spans="1:24">
      <c r="A26" s="39"/>
      <c r="B26" s="39"/>
      <c r="C26" s="53"/>
      <c r="D26" s="39"/>
      <c r="E26" s="39"/>
      <c r="F26" s="39"/>
      <c r="G26" s="53"/>
      <c r="H26" s="39"/>
      <c r="I26" s="39"/>
      <c r="J26" s="39"/>
      <c r="K26" s="53"/>
      <c r="L26" s="53"/>
      <c r="M26" s="39"/>
      <c r="N26" s="39"/>
      <c r="O26" s="53"/>
      <c r="P26" s="39"/>
      <c r="Q26" s="39"/>
      <c r="R26" s="39"/>
      <c r="S26" s="53"/>
      <c r="T26" s="39"/>
      <c r="U26" s="39"/>
      <c r="V26" s="39"/>
      <c r="W26" s="53"/>
      <c r="X26" s="39"/>
    </row>
    <row r="27" spans="1:24">
      <c r="A27" s="39"/>
      <c r="B27" s="39"/>
      <c r="C27" s="53"/>
      <c r="D27" s="39"/>
      <c r="E27" s="39"/>
      <c r="F27" s="39"/>
      <c r="G27" s="53"/>
      <c r="H27" s="39"/>
      <c r="I27" s="39"/>
      <c r="J27" s="39"/>
      <c r="K27" s="53"/>
      <c r="L27" s="53"/>
      <c r="M27" s="39"/>
      <c r="N27" s="39"/>
      <c r="O27" s="53"/>
      <c r="P27" s="39"/>
      <c r="Q27" s="39"/>
      <c r="R27" s="39"/>
      <c r="S27" s="53"/>
      <c r="T27" s="39"/>
      <c r="U27" s="39"/>
      <c r="V27" s="39"/>
      <c r="W27" s="53"/>
      <c r="X27"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81B2C-9E05-4357-9337-C1ADF3593AF7}">
  <dimension ref="A1:G10"/>
  <sheetViews>
    <sheetView workbookViewId="0">
      <selection activeCell="G3" sqref="G3"/>
    </sheetView>
  </sheetViews>
  <sheetFormatPr defaultRowHeight="12.5"/>
  <sheetData>
    <row r="1" spans="1:7" ht="13">
      <c r="A1" s="63" t="s">
        <v>27</v>
      </c>
      <c r="B1" s="64"/>
      <c r="C1" s="65" t="s">
        <v>2273</v>
      </c>
      <c r="D1" s="64"/>
      <c r="E1" s="63" t="s">
        <v>29</v>
      </c>
      <c r="F1" s="64"/>
      <c r="G1" s="65" t="s">
        <v>2273</v>
      </c>
    </row>
    <row r="2" spans="1:7">
      <c r="A2" s="39" t="s">
        <v>74</v>
      </c>
      <c r="B2" s="39">
        <f>COUNTIF('INCLUDED_file edited'!AL:AL,"Yes")</f>
        <v>57</v>
      </c>
      <c r="C2" s="53">
        <f>B2/79</f>
        <v>0.72151898734177211</v>
      </c>
      <c r="D2" s="39"/>
      <c r="E2" s="39" t="s">
        <v>74</v>
      </c>
      <c r="F2" s="39">
        <f>COUNTIF('INCLUDED_file edited'!AN:AN,"*yes*")</f>
        <v>22</v>
      </c>
      <c r="G2" s="53">
        <f>F2/97</f>
        <v>0.22680412371134021</v>
      </c>
    </row>
    <row r="3" spans="1:7">
      <c r="A3" s="39" t="s">
        <v>83</v>
      </c>
      <c r="B3" s="39">
        <f>COUNTIF('INCLUDED_file edited'!AL:AL,"No")</f>
        <v>20</v>
      </c>
      <c r="C3" s="53">
        <f t="shared" ref="C3" si="0">B3/79</f>
        <v>0.25316455696202533</v>
      </c>
      <c r="D3" s="39"/>
      <c r="E3" s="39" t="s">
        <v>83</v>
      </c>
      <c r="F3" s="39">
        <f>COUNTIF('INCLUDED_file edited'!AN:AN,"*no =*")</f>
        <v>20</v>
      </c>
      <c r="G3" s="53">
        <f t="shared" ref="G3:G5" si="1">F3/97</f>
        <v>0.20618556701030927</v>
      </c>
    </row>
    <row r="4" spans="1:7">
      <c r="A4" s="38" t="s">
        <v>2149</v>
      </c>
      <c r="B4" s="39">
        <f>COUNTIF('INCLUDED_file edited'!AL:AL,"Potential")</f>
        <v>2</v>
      </c>
      <c r="C4" s="53">
        <f t="shared" ref="C4" si="2">B4/79</f>
        <v>2.5316455696202531E-2</v>
      </c>
      <c r="D4" s="39"/>
      <c r="E4" s="39" t="s">
        <v>2287</v>
      </c>
      <c r="F4" s="39">
        <f>COUNTIF('INCLUDED_file edited'!AN:AN,"*indirectly*")</f>
        <v>22</v>
      </c>
      <c r="G4" s="53">
        <f t="shared" si="1"/>
        <v>0.22680412371134021</v>
      </c>
    </row>
    <row r="5" spans="1:7">
      <c r="A5" s="39" t="s">
        <v>107</v>
      </c>
      <c r="B5" s="39">
        <f>COUNTIF('INCLUDED_file edited'!AL:AL,"Unknown")</f>
        <v>24</v>
      </c>
      <c r="C5" s="53"/>
      <c r="D5" s="39"/>
      <c r="E5" s="39" t="s">
        <v>2288</v>
      </c>
      <c r="F5" s="39">
        <f>COUNTIF('INCLUDED_file edited'!AN:AN,"*included*")</f>
        <v>33</v>
      </c>
      <c r="G5" s="53">
        <f t="shared" si="1"/>
        <v>0.34020618556701032</v>
      </c>
    </row>
    <row r="6" spans="1:7">
      <c r="A6" s="38" t="s">
        <v>2290</v>
      </c>
      <c r="B6" s="39">
        <f>SUM(B2:B5)</f>
        <v>103</v>
      </c>
      <c r="C6" s="53"/>
      <c r="D6" s="39"/>
      <c r="E6" s="39" t="s">
        <v>233</v>
      </c>
      <c r="F6" s="39">
        <f>COUNTIF('INCLUDED_file edited'!AN:AN,"*not applicable*")</f>
        <v>2</v>
      </c>
      <c r="G6" s="53"/>
    </row>
    <row r="7" spans="1:7">
      <c r="A7" s="102" t="s">
        <v>2283</v>
      </c>
      <c r="B7" s="64">
        <f>103-B5</f>
        <v>79</v>
      </c>
      <c r="C7" s="53"/>
      <c r="D7" s="39"/>
      <c r="E7" s="39" t="s">
        <v>107</v>
      </c>
      <c r="F7" s="39">
        <f>COUNTIF('INCLUDED_file edited'!AN:AN,"Unknown")</f>
        <v>4</v>
      </c>
      <c r="G7" s="53"/>
    </row>
    <row r="8" spans="1:7">
      <c r="C8" s="53"/>
      <c r="D8" s="39"/>
      <c r="E8" s="8" t="s">
        <v>2229</v>
      </c>
      <c r="F8" s="39">
        <f>SUM(F2:F7)</f>
        <v>103</v>
      </c>
      <c r="G8" s="53"/>
    </row>
    <row r="9" spans="1:7">
      <c r="A9" s="39"/>
      <c r="B9" s="39"/>
      <c r="C9" s="53"/>
      <c r="D9" s="39"/>
      <c r="E9" s="64" t="s">
        <v>2283</v>
      </c>
      <c r="F9" s="64">
        <f>103-F6-F7</f>
        <v>97</v>
      </c>
      <c r="G9" s="53"/>
    </row>
    <row r="10" spans="1:7">
      <c r="C10" s="53"/>
      <c r="D10" s="39"/>
      <c r="G10"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0A9F8-A2F9-419F-983E-3C3AF7F6C93D}">
  <dimension ref="A1:S32"/>
  <sheetViews>
    <sheetView topLeftCell="D1" workbookViewId="0">
      <selection activeCell="R9" sqref="R9"/>
    </sheetView>
  </sheetViews>
  <sheetFormatPr defaultRowHeight="12.5"/>
  <sheetData>
    <row r="1" spans="1:19" ht="13">
      <c r="A1" s="69" t="s">
        <v>30</v>
      </c>
      <c r="B1" s="70"/>
      <c r="C1" s="71" t="s">
        <v>2273</v>
      </c>
      <c r="D1" s="70"/>
      <c r="E1" s="69" t="s">
        <v>2291</v>
      </c>
      <c r="F1" s="70"/>
      <c r="G1" s="71" t="s">
        <v>2273</v>
      </c>
      <c r="H1" s="70"/>
      <c r="I1" s="69" t="s">
        <v>2292</v>
      </c>
      <c r="J1" s="70"/>
      <c r="K1" s="71" t="s">
        <v>2273</v>
      </c>
      <c r="L1" s="70"/>
      <c r="M1" s="69" t="s">
        <v>2293</v>
      </c>
      <c r="N1" s="70"/>
      <c r="O1" s="72" t="s">
        <v>2273</v>
      </c>
      <c r="P1" s="70"/>
      <c r="Q1" s="69" t="s">
        <v>34</v>
      </c>
      <c r="R1" s="70"/>
      <c r="S1" s="71" t="s">
        <v>2273</v>
      </c>
    </row>
    <row r="2" spans="1:19">
      <c r="A2" s="40" t="s">
        <v>2294</v>
      </c>
      <c r="B2" s="39">
        <f>COUNTIF('INCLUDED_file edited'!AP:AP, "Collaborative = Citizen Scientists input possible")</f>
        <v>41</v>
      </c>
      <c r="C2" s="53">
        <f>38/97</f>
        <v>0.39175257731958762</v>
      </c>
      <c r="D2" s="39"/>
      <c r="E2" s="38" t="s">
        <v>999</v>
      </c>
      <c r="F2" s="39">
        <f>COUNTIF('INCLUDED_file edited'!AR:AR,"*Website*")</f>
        <v>83</v>
      </c>
      <c r="G2" s="53">
        <f>F2/99</f>
        <v>0.83838383838383834</v>
      </c>
      <c r="H2" s="39"/>
      <c r="I2" s="40" t="s">
        <v>92</v>
      </c>
      <c r="J2" s="39">
        <f>COUNTIF('INCLUDED_file edited'!AT:AT,"*Facebook*")</f>
        <v>63</v>
      </c>
      <c r="K2" s="53">
        <f>J2/96</f>
        <v>0.65625</v>
      </c>
      <c r="L2" s="39"/>
      <c r="M2" s="38" t="s">
        <v>284</v>
      </c>
      <c r="N2" s="39">
        <f>COUNTIF('INCLUDED_file edited'!AV:AV,"*None*")</f>
        <v>49</v>
      </c>
      <c r="O2" s="53">
        <f>N2/99</f>
        <v>0.49494949494949497</v>
      </c>
      <c r="P2" s="39"/>
      <c r="Q2" s="40" t="s">
        <v>94</v>
      </c>
      <c r="R2" s="39">
        <f>COUNTIF('INCLUDED_file edited'!AX:AX,"One-off")</f>
        <v>34</v>
      </c>
      <c r="S2" s="53">
        <f>R2/96</f>
        <v>0.35416666666666669</v>
      </c>
    </row>
    <row r="3" spans="1:19">
      <c r="A3" s="40" t="s">
        <v>2295</v>
      </c>
      <c r="B3" s="39">
        <f>COUNTIF('INCLUDED_file edited'!AP:AP, "Contributory = scientists only")</f>
        <v>56</v>
      </c>
      <c r="C3" s="53">
        <f>52/97</f>
        <v>0.53608247422680411</v>
      </c>
      <c r="D3" s="39"/>
      <c r="E3" s="43" t="s">
        <v>32</v>
      </c>
      <c r="F3" s="39">
        <f>COUNTIF('INCLUDED_file edited'!AR:AR,"*Social media*")</f>
        <v>64</v>
      </c>
      <c r="G3" s="53">
        <f t="shared" ref="G3:G9" si="0">F3/99</f>
        <v>0.64646464646464652</v>
      </c>
      <c r="H3" s="39"/>
      <c r="I3" s="40" t="s">
        <v>128</v>
      </c>
      <c r="J3" s="39">
        <f>COUNTIF('INCLUDED_file edited'!AT:AT,"*Twitter*")</f>
        <v>37</v>
      </c>
      <c r="K3" s="53">
        <f t="shared" ref="K3:K7" si="1">J3/96</f>
        <v>0.38541666666666669</v>
      </c>
      <c r="L3" s="39"/>
      <c r="M3" s="38" t="s">
        <v>93</v>
      </c>
      <c r="N3" s="39">
        <f>COUNTIF('INCLUDED_file edited'!AV:AV,"*Limited*")</f>
        <v>45</v>
      </c>
      <c r="O3" s="53">
        <f t="shared" ref="O3:O4" si="2">N3/99</f>
        <v>0.45454545454545453</v>
      </c>
      <c r="P3" s="39"/>
      <c r="Q3" s="41" t="s">
        <v>163</v>
      </c>
      <c r="R3" s="39">
        <f>COUNTIF('INCLUDED_file edited'!AX:AX,"Irregular")</f>
        <v>34</v>
      </c>
      <c r="S3" s="53">
        <f t="shared" ref="S3:S4" si="3">R3/96</f>
        <v>0.35416666666666669</v>
      </c>
    </row>
    <row r="4" spans="1:19">
      <c r="A4" s="38" t="s">
        <v>107</v>
      </c>
      <c r="B4" s="39">
        <f>COUNTIF('INCLUDED_file edited'!AP:AP, "Unknown")</f>
        <v>6</v>
      </c>
      <c r="C4" s="53"/>
      <c r="D4" s="39"/>
      <c r="E4" s="43" t="s">
        <v>2296</v>
      </c>
      <c r="F4" s="39">
        <f>COUNTIF('INCLUDED_file edited'!AR:AR,"*Live*")</f>
        <v>41</v>
      </c>
      <c r="G4" s="53">
        <f t="shared" si="0"/>
        <v>0.41414141414141414</v>
      </c>
      <c r="H4" s="39"/>
      <c r="I4" s="40" t="s">
        <v>284</v>
      </c>
      <c r="J4" s="39">
        <f>COUNTIF('INCLUDED_file edited'!AT:AT,"*None*")</f>
        <v>23</v>
      </c>
      <c r="K4" s="53">
        <f t="shared" si="1"/>
        <v>0.23958333333333334</v>
      </c>
      <c r="L4" s="39"/>
      <c r="M4" s="38" t="s">
        <v>353</v>
      </c>
      <c r="N4" s="39">
        <f>COUNTIF('INCLUDED_file edited'!AV:AV,"*Advanced*")</f>
        <v>5</v>
      </c>
      <c r="O4" s="53">
        <f t="shared" si="2"/>
        <v>5.0505050505050504E-2</v>
      </c>
      <c r="P4" s="39"/>
      <c r="Q4" s="41" t="s">
        <v>264</v>
      </c>
      <c r="R4" s="39">
        <f>COUNTIF('INCLUDED_file edited'!AX:AX,"Regular")</f>
        <v>15</v>
      </c>
      <c r="S4" s="53">
        <f t="shared" si="3"/>
        <v>0.15625</v>
      </c>
    </row>
    <row r="5" spans="1:19">
      <c r="A5" s="38" t="s">
        <v>2229</v>
      </c>
      <c r="B5" s="39">
        <f>SUM(B2:B4)</f>
        <v>103</v>
      </c>
      <c r="C5" s="53"/>
      <c r="D5" s="39"/>
      <c r="E5" s="43" t="s">
        <v>2297</v>
      </c>
      <c r="F5" s="39">
        <f>COUNTIF('INCLUDED_file edited'!AR:AR,"*Newsletter*")</f>
        <v>37</v>
      </c>
      <c r="G5" s="53">
        <f t="shared" si="0"/>
        <v>0.37373737373737376</v>
      </c>
      <c r="H5" s="39"/>
      <c r="I5" s="40" t="s">
        <v>2298</v>
      </c>
      <c r="J5" s="39">
        <f>COUNTIF('INCLUDED_file edited'!AT:AT,"*Instagram*")</f>
        <v>19</v>
      </c>
      <c r="K5" s="53">
        <f t="shared" si="1"/>
        <v>0.19791666666666666</v>
      </c>
      <c r="L5" s="39"/>
      <c r="M5" s="74" t="s">
        <v>107</v>
      </c>
      <c r="N5" s="39">
        <f>COUNTIF('INCLUDED_file edited'!AV:AV,"*unknown*")</f>
        <v>4</v>
      </c>
      <c r="O5" s="53">
        <f t="shared" ref="O5" si="4">N5/99</f>
        <v>4.0404040404040407E-2</v>
      </c>
      <c r="P5" s="39"/>
      <c r="Q5" s="41" t="s">
        <v>2302</v>
      </c>
      <c r="R5" s="39">
        <f>COUNTIF('INCLUDED_file edited'!AX:AX,"*Any*")</f>
        <v>11</v>
      </c>
      <c r="S5" s="53">
        <f t="shared" ref="S5" si="5">R5/96</f>
        <v>0.11458333333333333</v>
      </c>
    </row>
    <row r="6" spans="1:19">
      <c r="A6" s="105" t="s">
        <v>2283</v>
      </c>
      <c r="B6" s="70">
        <f>103-B4</f>
        <v>97</v>
      </c>
      <c r="D6" s="39"/>
      <c r="E6" s="43" t="s">
        <v>2299</v>
      </c>
      <c r="F6" s="39">
        <f>COUNTIF('INCLUDED_file edited'!AR:AR,"*School*")</f>
        <v>31</v>
      </c>
      <c r="G6" s="53">
        <f t="shared" si="0"/>
        <v>0.31313131313131315</v>
      </c>
      <c r="H6" s="39"/>
      <c r="I6" s="40" t="s">
        <v>2087</v>
      </c>
      <c r="J6" s="39">
        <f>COUNTIF('INCLUDED_file edited'!AT:AT,"*YouTube*")</f>
        <v>10</v>
      </c>
      <c r="K6" s="53">
        <f t="shared" si="1"/>
        <v>0.10416666666666667</v>
      </c>
      <c r="L6" s="39"/>
      <c r="M6" s="38" t="s">
        <v>2229</v>
      </c>
      <c r="N6" s="39">
        <f>SUM(N2:N5)</f>
        <v>103</v>
      </c>
      <c r="O6" s="53"/>
      <c r="P6" s="39"/>
      <c r="Q6" s="66" t="s">
        <v>2162</v>
      </c>
      <c r="R6" s="39">
        <f>COUNTIF('INCLUDED_file edited'!AX:AX,"Dependent")</f>
        <v>2</v>
      </c>
      <c r="S6" s="53">
        <f t="shared" ref="S6" si="6">R6/96</f>
        <v>2.0833333333333332E-2</v>
      </c>
    </row>
    <row r="7" spans="1:19">
      <c r="C7" s="53"/>
      <c r="D7" s="39"/>
      <c r="E7" s="43" t="s">
        <v>2300</v>
      </c>
      <c r="F7" s="39">
        <f>COUNTIF('INCLUDED_file edited'!AR:AR,"*Exhibition*")</f>
        <v>17</v>
      </c>
      <c r="G7" s="53">
        <f t="shared" si="0"/>
        <v>0.17171717171717171</v>
      </c>
      <c r="H7" s="39"/>
      <c r="I7" s="38" t="s">
        <v>738</v>
      </c>
      <c r="J7" s="39">
        <f>COUNTIF('INCLUDED_file edited'!AT:AT,"*Other*")</f>
        <v>2</v>
      </c>
      <c r="K7" s="53">
        <f t="shared" si="1"/>
        <v>2.0833333333333332E-2</v>
      </c>
      <c r="L7" s="39"/>
      <c r="M7" s="107" t="s">
        <v>2283</v>
      </c>
      <c r="N7" s="70">
        <f>103-4</f>
        <v>99</v>
      </c>
      <c r="O7" s="53"/>
      <c r="P7" s="39"/>
      <c r="Q7" s="73" t="s">
        <v>107</v>
      </c>
      <c r="R7" s="39">
        <f>COUNTIF('INCLUDED_file edited'!AX:AX,"unknown")</f>
        <v>7</v>
      </c>
      <c r="S7" s="53">
        <f t="shared" ref="S7" si="7">R7/96</f>
        <v>7.2916666666666671E-2</v>
      </c>
    </row>
    <row r="8" spans="1:19">
      <c r="A8" s="39"/>
      <c r="B8" s="39"/>
      <c r="C8" s="39"/>
      <c r="D8" s="39"/>
      <c r="E8" s="43" t="s">
        <v>1832</v>
      </c>
      <c r="F8" s="39">
        <f>COUNTIF('INCLUDED_file edited'!AR:AR,"*Bioblitz*")</f>
        <v>13</v>
      </c>
      <c r="G8" s="53">
        <f t="shared" si="0"/>
        <v>0.13131313131313133</v>
      </c>
      <c r="H8" s="39"/>
      <c r="I8" s="40" t="s">
        <v>107</v>
      </c>
      <c r="J8" s="39">
        <f>COUNTIF('INCLUDED_file edited'!AT:AT,"*unknown*")</f>
        <v>6</v>
      </c>
      <c r="K8" s="53"/>
      <c r="L8" s="39"/>
      <c r="M8" s="38"/>
      <c r="N8" s="39"/>
      <c r="O8" s="39"/>
      <c r="P8" s="39"/>
      <c r="Q8" s="41" t="s">
        <v>2229</v>
      </c>
      <c r="R8" s="39">
        <f>SUM(R2:R7)</f>
        <v>103</v>
      </c>
    </row>
    <row r="9" spans="1:19">
      <c r="A9" s="38"/>
      <c r="B9" s="39"/>
      <c r="C9" s="39"/>
      <c r="D9" s="39"/>
      <c r="E9" s="43" t="s">
        <v>2301</v>
      </c>
      <c r="F9" s="39">
        <f>COUNTIF('INCLUDED_file edited'!AR:AR,"*Gaming*")</f>
        <v>6</v>
      </c>
      <c r="G9" s="53">
        <f t="shared" si="0"/>
        <v>6.0606060606060608E-2</v>
      </c>
      <c r="H9" s="39"/>
      <c r="I9" s="40" t="s">
        <v>2088</v>
      </c>
      <c r="J9" s="39">
        <f>COUNTIF('INCLUDED_file edited'!AT:AT,"*TBD*")</f>
        <v>1</v>
      </c>
      <c r="K9" s="53"/>
      <c r="L9" s="39"/>
      <c r="M9" s="39"/>
      <c r="N9" s="39"/>
      <c r="O9" s="39"/>
      <c r="P9" s="39"/>
      <c r="Q9" s="108" t="s">
        <v>2283</v>
      </c>
      <c r="R9" s="109">
        <f>103-7</f>
        <v>96</v>
      </c>
      <c r="S9" s="53"/>
    </row>
    <row r="10" spans="1:19">
      <c r="A10" s="43"/>
      <c r="B10" s="39"/>
      <c r="C10" s="39"/>
      <c r="D10" s="39"/>
      <c r="E10" s="43" t="s">
        <v>738</v>
      </c>
      <c r="F10" s="39">
        <f>COUNTIF('INCLUDED_file edited'!AR:AR,"*Other*")</f>
        <v>18</v>
      </c>
      <c r="G10" s="53">
        <f t="shared" ref="G10" si="8">F10/99</f>
        <v>0.18181818181818182</v>
      </c>
      <c r="H10" s="39"/>
      <c r="I10" s="106" t="s">
        <v>2283</v>
      </c>
      <c r="J10" s="70">
        <f>103-J8-J9</f>
        <v>96</v>
      </c>
      <c r="K10" s="53"/>
      <c r="L10" s="39"/>
      <c r="M10" s="38"/>
      <c r="N10" s="39"/>
      <c r="O10" s="39"/>
      <c r="P10" s="39"/>
      <c r="Q10" s="66"/>
      <c r="R10" s="39"/>
      <c r="S10" s="53"/>
    </row>
    <row r="11" spans="1:19">
      <c r="A11" s="43"/>
      <c r="B11" s="39"/>
      <c r="C11" s="39"/>
      <c r="D11" s="39"/>
      <c r="E11" s="43" t="s">
        <v>107</v>
      </c>
      <c r="F11" s="39">
        <f>COUNTIF('INCLUDED_file edited'!AR:AR,"*unknown*")</f>
        <v>3</v>
      </c>
      <c r="G11" s="53"/>
      <c r="H11" s="39"/>
      <c r="I11" s="40"/>
      <c r="J11" s="39"/>
      <c r="K11" s="53"/>
      <c r="L11" s="39"/>
      <c r="M11" s="39"/>
      <c r="N11" s="39"/>
      <c r="O11" s="39"/>
      <c r="P11" s="39"/>
      <c r="Q11" s="66"/>
      <c r="R11" s="39"/>
      <c r="S11" s="53"/>
    </row>
    <row r="12" spans="1:19">
      <c r="A12" s="38"/>
      <c r="B12" s="39"/>
      <c r="C12" s="39"/>
      <c r="D12" s="39"/>
      <c r="E12" s="43" t="s">
        <v>2088</v>
      </c>
      <c r="F12" s="39">
        <f>COUNTIF('INCLUDED_file edited'!AR:AR,"*TBD*")</f>
        <v>1</v>
      </c>
      <c r="G12" s="53"/>
      <c r="H12" s="39"/>
      <c r="I12" s="40"/>
      <c r="J12" s="39"/>
      <c r="K12" s="53"/>
      <c r="L12" s="39"/>
      <c r="M12" s="39"/>
      <c r="N12" s="39"/>
      <c r="O12" s="39"/>
      <c r="P12" s="39"/>
      <c r="Q12" s="41"/>
      <c r="R12" s="39"/>
      <c r="S12" s="53"/>
    </row>
    <row r="13" spans="1:19">
      <c r="A13" s="38"/>
      <c r="B13" s="39"/>
      <c r="C13" s="39"/>
      <c r="D13" s="39"/>
      <c r="E13" s="105" t="s">
        <v>2283</v>
      </c>
      <c r="F13" s="70">
        <f>103-F11-F12</f>
        <v>99</v>
      </c>
      <c r="G13" s="53"/>
      <c r="H13" s="39"/>
      <c r="I13" s="40"/>
      <c r="J13" s="39"/>
      <c r="K13" s="53"/>
      <c r="L13" s="39"/>
      <c r="M13" s="39"/>
      <c r="N13" s="39"/>
      <c r="O13" s="39"/>
      <c r="P13" s="39"/>
      <c r="Q13" s="41"/>
      <c r="R13" s="39"/>
      <c r="S13" s="53"/>
    </row>
    <row r="14" spans="1:19">
      <c r="A14" s="38"/>
      <c r="B14" s="39"/>
      <c r="C14" s="39"/>
      <c r="D14" s="39"/>
      <c r="E14" s="43"/>
      <c r="F14" s="39"/>
      <c r="G14" s="53"/>
      <c r="H14" s="39"/>
      <c r="I14" s="40"/>
      <c r="J14" s="39"/>
      <c r="K14" s="53"/>
      <c r="L14" s="39"/>
      <c r="M14" s="39"/>
      <c r="N14" s="39"/>
      <c r="O14" s="39"/>
      <c r="P14" s="39"/>
      <c r="Q14" s="41"/>
      <c r="R14" s="39"/>
      <c r="S14" s="53"/>
    </row>
    <row r="15" spans="1:19">
      <c r="A15" s="38"/>
      <c r="B15" s="39"/>
      <c r="C15" s="39"/>
      <c r="D15" s="39"/>
      <c r="E15" s="43"/>
      <c r="F15" s="39"/>
      <c r="G15" s="53"/>
      <c r="H15" s="39"/>
      <c r="I15" s="39"/>
      <c r="J15" s="39"/>
      <c r="K15" s="53"/>
      <c r="L15" s="39"/>
      <c r="M15" s="39"/>
      <c r="N15" s="39"/>
      <c r="O15" s="39"/>
      <c r="P15" s="39"/>
      <c r="Q15" s="41"/>
      <c r="R15" s="39"/>
      <c r="S15" s="53"/>
    </row>
    <row r="16" spans="1:19">
      <c r="A16" s="39"/>
      <c r="B16" s="39"/>
      <c r="C16" s="39"/>
      <c r="D16" s="39"/>
      <c r="E16" s="43"/>
      <c r="F16" s="39"/>
      <c r="G16" s="53"/>
      <c r="H16" s="39"/>
      <c r="I16" s="40"/>
      <c r="J16" s="39"/>
      <c r="K16" s="53"/>
      <c r="L16" s="39"/>
      <c r="M16" s="39"/>
      <c r="N16" s="39"/>
      <c r="O16" s="39"/>
      <c r="P16" s="39"/>
      <c r="Q16" s="41"/>
      <c r="R16" s="39"/>
      <c r="S16" s="53"/>
    </row>
    <row r="17" spans="1:19">
      <c r="A17" s="39"/>
      <c r="B17" s="39"/>
      <c r="C17" s="39"/>
      <c r="D17" s="39"/>
      <c r="E17" s="43"/>
      <c r="F17" s="39"/>
      <c r="G17" s="53"/>
      <c r="H17" s="39"/>
      <c r="I17" s="39"/>
      <c r="J17" s="39"/>
      <c r="K17" s="53"/>
      <c r="L17" s="39"/>
      <c r="M17" s="39"/>
      <c r="N17" s="39"/>
      <c r="O17" s="39"/>
      <c r="P17" s="39"/>
      <c r="Q17" s="41"/>
      <c r="R17" s="39"/>
      <c r="S17" s="53"/>
    </row>
    <row r="18" spans="1:19">
      <c r="A18" s="39"/>
      <c r="B18" s="39"/>
      <c r="C18" s="39"/>
      <c r="D18" s="39"/>
      <c r="E18" s="43"/>
      <c r="F18" s="39"/>
      <c r="G18" s="53"/>
      <c r="H18" s="39"/>
      <c r="I18" s="38"/>
      <c r="J18" s="39"/>
      <c r="K18" s="53"/>
      <c r="L18" s="39"/>
      <c r="M18" s="39"/>
      <c r="N18" s="39"/>
      <c r="O18" s="39"/>
      <c r="P18" s="39"/>
      <c r="Q18" s="39"/>
      <c r="R18" s="39"/>
      <c r="S18" s="53"/>
    </row>
    <row r="19" spans="1:19">
      <c r="A19" s="39"/>
      <c r="B19" s="39"/>
      <c r="C19" s="39"/>
      <c r="D19" s="39"/>
      <c r="E19" s="43"/>
      <c r="F19" s="39"/>
      <c r="G19" s="53"/>
      <c r="H19" s="39"/>
      <c r="I19" s="39"/>
      <c r="J19" s="39"/>
      <c r="K19" s="53"/>
      <c r="L19" s="39"/>
      <c r="M19" s="39"/>
      <c r="N19" s="39"/>
      <c r="O19" s="39"/>
      <c r="P19" s="39"/>
      <c r="Q19" s="39"/>
      <c r="R19" s="39"/>
      <c r="S19" s="53"/>
    </row>
    <row r="20" spans="1:19">
      <c r="A20" s="39"/>
      <c r="B20" s="39"/>
      <c r="C20" s="39"/>
      <c r="D20" s="39"/>
      <c r="E20" s="43"/>
      <c r="F20" s="39"/>
      <c r="G20" s="53"/>
      <c r="H20" s="39"/>
      <c r="I20" s="40"/>
      <c r="J20" s="39"/>
      <c r="K20" s="53"/>
      <c r="L20" s="39"/>
      <c r="M20" s="39"/>
      <c r="N20" s="39"/>
      <c r="O20" s="39"/>
      <c r="P20" s="39"/>
      <c r="Q20" s="38"/>
      <c r="R20" s="39"/>
      <c r="S20" s="53"/>
    </row>
    <row r="21" spans="1:19">
      <c r="A21" s="39"/>
      <c r="B21" s="39"/>
      <c r="C21" s="39"/>
      <c r="D21" s="39"/>
      <c r="E21" s="43"/>
      <c r="F21" s="39"/>
      <c r="G21" s="53"/>
      <c r="H21" s="39"/>
      <c r="I21" s="40"/>
      <c r="J21" s="39"/>
      <c r="K21" s="53"/>
      <c r="L21" s="39"/>
      <c r="M21" s="39"/>
      <c r="N21" s="39"/>
      <c r="O21" s="39"/>
      <c r="P21" s="39"/>
      <c r="Q21" s="39"/>
      <c r="R21" s="39"/>
      <c r="S21" s="53"/>
    </row>
    <row r="22" spans="1:19">
      <c r="A22" s="39"/>
      <c r="B22" s="39"/>
      <c r="C22" s="39"/>
      <c r="D22" s="39"/>
      <c r="E22" s="43"/>
      <c r="F22" s="39"/>
      <c r="G22" s="53"/>
      <c r="H22" s="39"/>
      <c r="I22" s="40"/>
      <c r="J22" s="40"/>
      <c r="K22" s="67"/>
      <c r="L22" s="39"/>
      <c r="M22" s="39"/>
      <c r="N22" s="39"/>
      <c r="O22" s="39"/>
      <c r="P22" s="39"/>
      <c r="Q22" s="39"/>
      <c r="R22" s="39"/>
      <c r="S22" s="53"/>
    </row>
    <row r="23" spans="1:19">
      <c r="A23" s="39"/>
      <c r="B23" s="39"/>
      <c r="C23" s="39"/>
      <c r="D23" s="39"/>
      <c r="E23" s="43"/>
      <c r="F23" s="39"/>
      <c r="G23" s="53"/>
      <c r="H23" s="39"/>
      <c r="I23" s="40"/>
      <c r="J23" s="40"/>
      <c r="K23" s="67"/>
      <c r="L23" s="39"/>
      <c r="M23" s="39"/>
      <c r="N23" s="39"/>
      <c r="O23" s="39"/>
      <c r="P23" s="39"/>
      <c r="Q23" s="39"/>
      <c r="R23" s="39"/>
      <c r="S23" s="53"/>
    </row>
    <row r="24" spans="1:19">
      <c r="A24" s="39"/>
      <c r="B24" s="39"/>
      <c r="C24" s="39"/>
      <c r="D24" s="39"/>
      <c r="E24" s="39"/>
      <c r="F24" s="39"/>
      <c r="G24" s="53"/>
      <c r="H24" s="39"/>
      <c r="I24" s="40"/>
      <c r="J24" s="39"/>
      <c r="K24" s="53"/>
      <c r="L24" s="39"/>
      <c r="M24" s="39"/>
      <c r="N24" s="39"/>
      <c r="O24" s="39"/>
      <c r="P24" s="39"/>
      <c r="Q24" s="39"/>
      <c r="R24" s="39"/>
      <c r="S24" s="53"/>
    </row>
    <row r="25" spans="1:19">
      <c r="A25" s="39"/>
      <c r="B25" s="39"/>
      <c r="C25" s="39"/>
      <c r="D25" s="39"/>
      <c r="E25" s="43"/>
      <c r="F25" s="39"/>
      <c r="G25" s="53"/>
      <c r="H25" s="39"/>
      <c r="I25" s="40"/>
      <c r="J25" s="40"/>
      <c r="K25" s="67"/>
      <c r="L25" s="40"/>
      <c r="M25" s="39"/>
      <c r="N25" s="39"/>
      <c r="O25" s="39"/>
      <c r="P25" s="39"/>
      <c r="Q25" s="39"/>
      <c r="R25" s="39"/>
      <c r="S25" s="53"/>
    </row>
    <row r="26" spans="1:19">
      <c r="A26" s="39"/>
      <c r="B26" s="39"/>
      <c r="C26" s="39"/>
      <c r="D26" s="39"/>
      <c r="E26" s="43"/>
      <c r="F26" s="39"/>
      <c r="G26" s="53"/>
      <c r="H26" s="39"/>
      <c r="I26" s="40"/>
      <c r="J26" s="40"/>
      <c r="K26" s="67"/>
      <c r="L26" s="40"/>
      <c r="M26" s="39"/>
      <c r="N26" s="39"/>
      <c r="O26" s="39"/>
      <c r="P26" s="39"/>
      <c r="Q26" s="39"/>
      <c r="R26" s="39"/>
      <c r="S26" s="53"/>
    </row>
    <row r="27" spans="1:19">
      <c r="A27" s="39"/>
      <c r="B27" s="39"/>
      <c r="C27" s="39"/>
      <c r="D27" s="39"/>
      <c r="E27" s="68"/>
      <c r="F27" s="39"/>
      <c r="G27" s="53"/>
      <c r="H27" s="39"/>
      <c r="I27" s="40"/>
      <c r="J27" s="39"/>
      <c r="K27" s="53"/>
      <c r="L27" s="39"/>
      <c r="M27" s="39"/>
      <c r="N27" s="39"/>
      <c r="O27" s="39"/>
      <c r="P27" s="39"/>
      <c r="Q27" s="39"/>
      <c r="R27" s="39"/>
      <c r="S27" s="53"/>
    </row>
    <row r="28" spans="1:19">
      <c r="A28" s="39"/>
      <c r="B28" s="39"/>
      <c r="C28" s="39"/>
      <c r="D28" s="39"/>
      <c r="E28" s="43"/>
      <c r="F28" s="39"/>
      <c r="G28" s="53"/>
      <c r="H28" s="39"/>
      <c r="I28" s="40"/>
      <c r="J28" s="39"/>
      <c r="K28" s="53"/>
      <c r="L28" s="39"/>
      <c r="M28" s="39"/>
      <c r="N28" s="39"/>
      <c r="O28" s="39"/>
      <c r="P28" s="39"/>
      <c r="Q28" s="41"/>
      <c r="R28" s="39"/>
      <c r="S28" s="53"/>
    </row>
    <row r="29" spans="1:19">
      <c r="A29" s="39"/>
      <c r="B29" s="39"/>
      <c r="C29" s="39"/>
      <c r="D29" s="39"/>
      <c r="E29" s="43"/>
      <c r="F29" s="39"/>
      <c r="G29" s="53"/>
      <c r="H29" s="39"/>
      <c r="I29" s="40"/>
      <c r="J29" s="39"/>
      <c r="K29" s="53"/>
      <c r="L29" s="39"/>
      <c r="M29" s="39"/>
      <c r="N29" s="39"/>
      <c r="O29" s="39"/>
      <c r="P29" s="39"/>
      <c r="Q29" s="41"/>
      <c r="R29" s="39"/>
      <c r="S29" s="53"/>
    </row>
    <row r="30" spans="1:19">
      <c r="A30" s="39"/>
      <c r="B30" s="39"/>
      <c r="C30" s="39"/>
      <c r="D30" s="39"/>
      <c r="E30" s="43"/>
      <c r="F30" s="39"/>
      <c r="G30" s="53"/>
      <c r="H30" s="39"/>
      <c r="I30" s="40"/>
      <c r="J30" s="40"/>
      <c r="K30" s="67"/>
      <c r="L30" s="39"/>
      <c r="M30" s="39"/>
      <c r="N30" s="39"/>
      <c r="O30" s="39"/>
      <c r="P30" s="39"/>
      <c r="Q30" s="41"/>
      <c r="R30" s="39"/>
      <c r="S30" s="53"/>
    </row>
    <row r="31" spans="1:19">
      <c r="A31" s="39"/>
      <c r="B31" s="39"/>
      <c r="C31" s="39"/>
      <c r="D31" s="39"/>
      <c r="E31" s="39"/>
      <c r="F31" s="39"/>
      <c r="G31" s="53"/>
      <c r="H31" s="39"/>
      <c r="I31" s="40"/>
      <c r="J31" s="39"/>
      <c r="K31" s="53"/>
      <c r="L31" s="39"/>
      <c r="M31" s="39"/>
      <c r="N31" s="39"/>
      <c r="O31" s="39"/>
      <c r="P31" s="39"/>
      <c r="Q31" s="39"/>
      <c r="R31" s="39"/>
      <c r="S31" s="53"/>
    </row>
    <row r="32" spans="1:19">
      <c r="A32" s="39"/>
      <c r="B32" s="39"/>
      <c r="C32" s="39"/>
      <c r="D32" s="39"/>
      <c r="E32" s="43"/>
      <c r="F32" s="39"/>
      <c r="G32" s="53"/>
      <c r="H32" s="39"/>
      <c r="I32" s="40"/>
      <c r="J32" s="40"/>
      <c r="K32" s="67"/>
      <c r="L32" s="40"/>
      <c r="M32" s="39"/>
      <c r="N32" s="39"/>
      <c r="O32" s="39"/>
      <c r="P32" s="39"/>
      <c r="Q32" s="39"/>
      <c r="R32" s="39"/>
      <c r="S32"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DC10E-A6FD-4CB8-8059-04D46B9F17BE}">
  <dimension ref="A1:AA14"/>
  <sheetViews>
    <sheetView topLeftCell="K1" workbookViewId="0">
      <selection activeCell="AD8" sqref="AD8"/>
    </sheetView>
  </sheetViews>
  <sheetFormatPr defaultRowHeight="12.5"/>
  <sheetData>
    <row r="1" spans="1:27" ht="13">
      <c r="A1" s="77" t="s">
        <v>2303</v>
      </c>
      <c r="B1" s="78"/>
      <c r="C1" s="79" t="s">
        <v>2273</v>
      </c>
      <c r="D1" s="78"/>
      <c r="E1" s="77" t="s">
        <v>36</v>
      </c>
      <c r="F1" s="78"/>
      <c r="G1" s="79" t="s">
        <v>2273</v>
      </c>
      <c r="H1" s="78"/>
      <c r="I1" s="77" t="s">
        <v>37</v>
      </c>
      <c r="J1" s="78"/>
      <c r="K1" s="79" t="s">
        <v>2273</v>
      </c>
      <c r="L1" s="78"/>
      <c r="M1" s="77" t="s">
        <v>2304</v>
      </c>
      <c r="N1" s="77"/>
      <c r="O1" s="79" t="s">
        <v>2273</v>
      </c>
      <c r="P1" s="78"/>
      <c r="Q1" s="77" t="s">
        <v>2305</v>
      </c>
      <c r="R1" s="77"/>
      <c r="S1" s="79" t="s">
        <v>2273</v>
      </c>
      <c r="T1" s="77"/>
      <c r="U1" s="77" t="s">
        <v>40</v>
      </c>
      <c r="V1" s="77"/>
      <c r="W1" s="79" t="s">
        <v>2273</v>
      </c>
      <c r="X1" s="77"/>
      <c r="Y1" s="77" t="s">
        <v>2306</v>
      </c>
      <c r="Z1" s="77"/>
      <c r="AA1" s="79" t="s">
        <v>2273</v>
      </c>
    </row>
    <row r="2" spans="1:27">
      <c r="A2" s="40" t="s">
        <v>74</v>
      </c>
      <c r="B2" s="39">
        <f>COUNTIF('INCLUDED_file edited'!AY:AY, "Yes")</f>
        <v>74</v>
      </c>
      <c r="C2" s="53">
        <f>B2/98</f>
        <v>0.75510204081632648</v>
      </c>
      <c r="D2" s="39"/>
      <c r="E2" s="40" t="s">
        <v>74</v>
      </c>
      <c r="F2" s="39">
        <f>COUNTIF('INCLUDED_file edited'!AZ:AZ, "Yes")</f>
        <v>85</v>
      </c>
      <c r="G2" s="53">
        <f>F2/98</f>
        <v>0.86734693877551017</v>
      </c>
      <c r="H2" s="39"/>
      <c r="I2" s="40" t="s">
        <v>284</v>
      </c>
      <c r="J2" s="39">
        <f>COUNTIF('INCLUDED_file edited'!BB:BB,"None")</f>
        <v>31</v>
      </c>
      <c r="K2" s="53">
        <f>J2/95</f>
        <v>0.32631578947368423</v>
      </c>
      <c r="L2" s="39"/>
      <c r="M2" s="40" t="s">
        <v>74</v>
      </c>
      <c r="N2" s="39">
        <f>COUNTIF('INCLUDED_file edited'!BC:BC,"Yes")</f>
        <v>65</v>
      </c>
      <c r="O2" s="53">
        <f>N2/91</f>
        <v>0.7142857142857143</v>
      </c>
      <c r="P2" s="39"/>
      <c r="Q2" s="38" t="s">
        <v>74</v>
      </c>
      <c r="R2" s="39">
        <f>COUNTIF('INCLUDED_file edited'!BD:BD, "Yes")</f>
        <v>64</v>
      </c>
      <c r="S2" s="53">
        <f>R2/93</f>
        <v>0.68817204301075274</v>
      </c>
      <c r="T2" s="39"/>
      <c r="U2" s="39" t="s">
        <v>74</v>
      </c>
      <c r="V2" s="39">
        <f>COUNTIF('INCLUDED_file edited'!BE:BE,"Yes")</f>
        <v>71</v>
      </c>
      <c r="W2" s="53">
        <f>V2/80</f>
        <v>0.88749999999999996</v>
      </c>
      <c r="X2" s="39"/>
      <c r="Y2" s="39" t="s">
        <v>74</v>
      </c>
      <c r="Z2" s="39">
        <f>COUNTIF('INCLUDED_file edited'!BF:BF, "Yes")</f>
        <v>85</v>
      </c>
      <c r="AA2" s="53">
        <f>Z2/91</f>
        <v>0.93406593406593408</v>
      </c>
    </row>
    <row r="3" spans="1:27">
      <c r="A3" s="40" t="s">
        <v>2307</v>
      </c>
      <c r="B3" s="39">
        <f>COUNTIF('INCLUDED_file edited'!AY:AY, "*Partial*")</f>
        <v>17</v>
      </c>
      <c r="C3" s="53">
        <f t="shared" ref="C3:C4" si="0">B3/98</f>
        <v>0.17346938775510204</v>
      </c>
      <c r="D3" s="39"/>
      <c r="E3" s="40" t="s">
        <v>83</v>
      </c>
      <c r="F3" s="39">
        <f>COUNTIF('INCLUDED_file edited'!AZ:AZ, "No")</f>
        <v>13</v>
      </c>
      <c r="G3" s="53">
        <f>F3/98</f>
        <v>0.1326530612244898</v>
      </c>
      <c r="H3" s="39"/>
      <c r="I3" s="40" t="s">
        <v>2329</v>
      </c>
      <c r="J3" s="39">
        <f>COUNTIF('INCLUDED_file edited'!BB:BB,"*group*")</f>
        <v>45</v>
      </c>
      <c r="K3" s="53">
        <f t="shared" ref="K3:K4" si="1">J3/95</f>
        <v>0.47368421052631576</v>
      </c>
      <c r="L3" s="39"/>
      <c r="M3" s="40" t="s">
        <v>83</v>
      </c>
      <c r="N3" s="39">
        <f>COUNTIF('INCLUDED_file edited'!BC:BC,"No")</f>
        <v>13</v>
      </c>
      <c r="O3" s="53">
        <f t="shared" ref="O3:O4" si="2">N3/91</f>
        <v>0.14285714285714285</v>
      </c>
      <c r="P3" s="39"/>
      <c r="Q3" s="38" t="s">
        <v>83</v>
      </c>
      <c r="R3" s="39">
        <f>COUNTIF('INCLUDED_file edited'!BD:BD, "No")</f>
        <v>7</v>
      </c>
      <c r="S3" s="53">
        <f t="shared" ref="S3:S4" si="3">R3/93</f>
        <v>7.5268817204301078E-2</v>
      </c>
      <c r="T3" s="39"/>
      <c r="U3" s="39" t="s">
        <v>83</v>
      </c>
      <c r="V3" s="39">
        <f>COUNTIF('INCLUDED_file edited'!BE:BE,"No")</f>
        <v>9</v>
      </c>
      <c r="W3" s="53">
        <f>V3/80</f>
        <v>0.1125</v>
      </c>
      <c r="X3" s="39"/>
      <c r="Y3" s="39" t="s">
        <v>83</v>
      </c>
      <c r="Z3" s="39">
        <f>COUNTIF('INCLUDED_file edited'!BF:BF, "No")</f>
        <v>6</v>
      </c>
      <c r="AA3" s="53">
        <f>Z3/91</f>
        <v>6.5934065934065936E-2</v>
      </c>
    </row>
    <row r="4" spans="1:27">
      <c r="A4" s="40" t="s">
        <v>83</v>
      </c>
      <c r="B4" s="39">
        <f>COUNTIF('INCLUDED_file edited'!AY:AY, "No")</f>
        <v>7</v>
      </c>
      <c r="C4" s="53">
        <f t="shared" si="0"/>
        <v>7.1428571428571425E-2</v>
      </c>
      <c r="D4" s="39"/>
      <c r="E4" s="40" t="s">
        <v>107</v>
      </c>
      <c r="F4" s="39">
        <f>COUNTIF('INCLUDED_file edited'!AZ:AZ, "Unknown")</f>
        <v>5</v>
      </c>
      <c r="G4" s="53"/>
      <c r="H4" s="39"/>
      <c r="I4" s="40" t="s">
        <v>2330</v>
      </c>
      <c r="J4" s="39">
        <f>COUNTIF('INCLUDED_file edited'!BB:BB,"*online*")</f>
        <v>30</v>
      </c>
      <c r="K4" s="53">
        <f t="shared" si="1"/>
        <v>0.31578947368421051</v>
      </c>
      <c r="L4" s="39"/>
      <c r="M4" s="40" t="s">
        <v>208</v>
      </c>
      <c r="N4" s="39">
        <f>COUNTIF('INCLUDED_file edited'!BC:BC,"Available*")</f>
        <v>13</v>
      </c>
      <c r="O4" s="53">
        <f t="shared" si="2"/>
        <v>0.14285714285714285</v>
      </c>
      <c r="P4" s="39"/>
      <c r="Q4" s="38" t="s">
        <v>95</v>
      </c>
      <c r="R4" s="39">
        <f>COUNTIF('INCLUDED_file edited'!BD:BD, "Partially")</f>
        <v>22</v>
      </c>
      <c r="S4" s="53">
        <f t="shared" si="3"/>
        <v>0.23655913978494625</v>
      </c>
      <c r="T4" s="39"/>
      <c r="U4" s="39" t="s">
        <v>2308</v>
      </c>
      <c r="V4" s="39">
        <f>COUNTIF('INCLUDED_file edited'!BE:BE,"not applicable")</f>
        <v>7</v>
      </c>
      <c r="W4" s="53"/>
      <c r="X4" s="39"/>
      <c r="Y4" s="39" t="s">
        <v>2308</v>
      </c>
      <c r="Z4" s="39">
        <f>COUNTIF('INCLUDED_file edited'!BF:BF,"Not Applicable")</f>
        <v>1</v>
      </c>
      <c r="AA4" s="53"/>
    </row>
    <row r="5" spans="1:27">
      <c r="A5" s="40" t="s">
        <v>233</v>
      </c>
      <c r="B5" s="39">
        <f>COUNTIF('INCLUDED_file edited'!AY:AY, "Not applicable")</f>
        <v>1</v>
      </c>
      <c r="C5" s="53"/>
      <c r="D5" s="39"/>
      <c r="E5" s="40" t="s">
        <v>2229</v>
      </c>
      <c r="F5" s="39">
        <f>SUM(F2:F4)</f>
        <v>103</v>
      </c>
      <c r="G5" s="53"/>
      <c r="H5" s="39"/>
      <c r="I5" s="40" t="s">
        <v>2309</v>
      </c>
      <c r="J5" s="39">
        <f>COUNTIF('INCLUDED_file edited'!BB:BB,"*bioblitz*")</f>
        <v>7</v>
      </c>
      <c r="K5" s="53">
        <f>J5/95</f>
        <v>7.3684210526315783E-2</v>
      </c>
      <c r="L5" s="39"/>
      <c r="M5" s="40" t="s">
        <v>233</v>
      </c>
      <c r="N5" s="39">
        <f>COUNTIF('INCLUDED_file edited'!BC:BC,"Not applicable")</f>
        <v>6</v>
      </c>
      <c r="O5" s="53"/>
      <c r="P5" s="39"/>
      <c r="Q5" s="38" t="s">
        <v>233</v>
      </c>
      <c r="R5" s="39">
        <f>COUNTIF('INCLUDED_file edited'!BD:BD, "not applicable")</f>
        <v>2</v>
      </c>
      <c r="S5" s="53"/>
      <c r="T5" s="39"/>
      <c r="U5" s="39" t="s">
        <v>107</v>
      </c>
      <c r="V5" s="39">
        <f>COUNTIF('INCLUDED_file edited'!BE:BE,"unknown")</f>
        <v>15</v>
      </c>
      <c r="W5" s="53"/>
      <c r="X5" s="39"/>
      <c r="Y5" s="39" t="s">
        <v>107</v>
      </c>
      <c r="Z5" s="39">
        <f>COUNTIF('INCLUDED_file edited'!BF:BF, "Unknown")</f>
        <v>10</v>
      </c>
      <c r="AA5" s="53"/>
    </row>
    <row r="6" spans="1:27">
      <c r="A6" s="40" t="s">
        <v>107</v>
      </c>
      <c r="B6" s="39">
        <f>COUNTIF('INCLUDED_file edited'!AY:AY, "Unknown")</f>
        <v>4</v>
      </c>
      <c r="C6" s="53"/>
      <c r="D6" s="39"/>
      <c r="E6" s="111" t="s">
        <v>2283</v>
      </c>
      <c r="F6" s="78">
        <f>103-F4</f>
        <v>98</v>
      </c>
      <c r="G6" s="53"/>
      <c r="H6" s="39"/>
      <c r="I6" s="40" t="s">
        <v>738</v>
      </c>
      <c r="J6" s="39">
        <f>COUNTIF('INCLUDED_file edited'!BB:BB,"*other*")</f>
        <v>6</v>
      </c>
      <c r="K6" s="53">
        <f>J6/95</f>
        <v>6.3157894736842107E-2</v>
      </c>
      <c r="L6" s="39"/>
      <c r="M6" s="40" t="s">
        <v>107</v>
      </c>
      <c r="N6" s="39">
        <f>COUNTIF('INCLUDED_file edited'!BC:BC,"Unknown")</f>
        <v>5</v>
      </c>
      <c r="O6" s="53"/>
      <c r="P6" s="39"/>
      <c r="Q6" s="38" t="s">
        <v>107</v>
      </c>
      <c r="R6" s="39">
        <f>COUNTIF('INCLUDED_file edited'!BD:BD, "Unknown")</f>
        <v>8</v>
      </c>
      <c r="S6" s="53"/>
      <c r="T6" s="39"/>
      <c r="U6" s="40" t="s">
        <v>2289</v>
      </c>
      <c r="V6" s="39">
        <v>1</v>
      </c>
      <c r="W6" s="53"/>
      <c r="X6" s="39"/>
      <c r="Y6" s="39" t="s">
        <v>2289</v>
      </c>
      <c r="Z6" s="39">
        <v>1</v>
      </c>
      <c r="AA6" s="53"/>
    </row>
    <row r="7" spans="1:27">
      <c r="A7" s="40" t="s">
        <v>2229</v>
      </c>
      <c r="B7" s="39">
        <f>SUM(B2:B6)</f>
        <v>103</v>
      </c>
      <c r="C7" s="53"/>
      <c r="D7" s="39"/>
      <c r="E7" s="39"/>
      <c r="F7" s="39"/>
      <c r="G7" s="53"/>
      <c r="H7" s="39"/>
      <c r="I7" s="40" t="s">
        <v>107</v>
      </c>
      <c r="J7" s="39">
        <f>COUNTIF('INCLUDED_file edited'!BB:BB,"unknown")</f>
        <v>8</v>
      </c>
      <c r="K7" s="53"/>
      <c r="L7" s="39"/>
      <c r="M7" s="40" t="s">
        <v>2271</v>
      </c>
      <c r="N7" s="39">
        <v>1</v>
      </c>
      <c r="O7" s="53"/>
      <c r="P7" s="39"/>
      <c r="Q7" s="38" t="s">
        <v>2229</v>
      </c>
      <c r="R7" s="39">
        <f>SUM(R2:R6)</f>
        <v>103</v>
      </c>
      <c r="S7" s="53"/>
      <c r="T7" s="39"/>
      <c r="U7" s="40" t="s">
        <v>2229</v>
      </c>
      <c r="V7" s="39">
        <f>SUM(V2:V6)</f>
        <v>103</v>
      </c>
      <c r="W7" s="53"/>
      <c r="X7" s="39"/>
      <c r="Y7" s="39" t="s">
        <v>2229</v>
      </c>
      <c r="Z7" s="39">
        <f>SUM(Z2:Z6)</f>
        <v>103</v>
      </c>
      <c r="AA7" s="53"/>
    </row>
    <row r="8" spans="1:27" ht="13">
      <c r="A8" s="110" t="s">
        <v>2283</v>
      </c>
      <c r="B8" s="78">
        <f>103-B5-B6</f>
        <v>98</v>
      </c>
      <c r="C8" s="53"/>
      <c r="D8" s="75"/>
      <c r="G8" s="53"/>
      <c r="H8" s="39"/>
      <c r="I8" s="78" t="s">
        <v>2283</v>
      </c>
      <c r="J8" s="78">
        <f>103-8</f>
        <v>95</v>
      </c>
      <c r="K8" s="53"/>
      <c r="L8" s="39"/>
      <c r="M8" s="40" t="s">
        <v>2229</v>
      </c>
      <c r="N8" s="39">
        <f>SUM(N2:N7)</f>
        <v>103</v>
      </c>
      <c r="O8" s="53"/>
      <c r="P8" s="39"/>
      <c r="Q8" s="111" t="s">
        <v>2283</v>
      </c>
      <c r="R8" s="78">
        <f>103-R5-R6</f>
        <v>93</v>
      </c>
      <c r="T8" s="39"/>
      <c r="U8" s="111" t="s">
        <v>2283</v>
      </c>
      <c r="V8" s="78">
        <f>103-V4-V5-V6</f>
        <v>80</v>
      </c>
      <c r="X8" s="39"/>
      <c r="Y8" s="111" t="s">
        <v>2283</v>
      </c>
      <c r="Z8" s="78">
        <f>103-Z4-Z5-Z6</f>
        <v>91</v>
      </c>
      <c r="AA8" s="53"/>
    </row>
    <row r="9" spans="1:27">
      <c r="A9" s="39"/>
      <c r="B9" s="39"/>
      <c r="C9" s="53"/>
      <c r="D9" s="39"/>
      <c r="E9" s="39"/>
      <c r="F9" s="39"/>
      <c r="G9" s="53"/>
      <c r="H9" s="39"/>
      <c r="L9" s="39"/>
      <c r="M9" s="111" t="s">
        <v>2283</v>
      </c>
      <c r="N9" s="78">
        <f>103-N5-N6-N7</f>
        <v>91</v>
      </c>
      <c r="O9" s="53"/>
      <c r="P9" s="39"/>
      <c r="S9" s="53"/>
      <c r="T9" s="39"/>
      <c r="W9" s="53"/>
      <c r="X9" s="39"/>
      <c r="AA9" s="53"/>
    </row>
    <row r="10" spans="1:27">
      <c r="A10" s="39"/>
      <c r="B10" s="39"/>
      <c r="C10" s="53"/>
      <c r="D10" s="39"/>
      <c r="E10" s="39"/>
      <c r="F10" s="39"/>
      <c r="G10" s="53"/>
      <c r="H10" s="39"/>
      <c r="J10" s="39"/>
      <c r="K10" s="53"/>
      <c r="L10" s="39"/>
      <c r="M10" s="39"/>
      <c r="N10" s="39"/>
      <c r="O10" s="53"/>
      <c r="P10" s="39"/>
      <c r="Q10" s="39"/>
      <c r="R10" s="39"/>
      <c r="S10" s="53"/>
      <c r="T10" s="39"/>
      <c r="U10" s="39"/>
      <c r="V10" s="39"/>
      <c r="W10" s="53"/>
      <c r="X10" s="39"/>
      <c r="Y10" s="39"/>
      <c r="Z10" s="39"/>
      <c r="AA10" s="53"/>
    </row>
    <row r="11" spans="1:27">
      <c r="A11" s="39"/>
      <c r="B11" s="39"/>
      <c r="C11" s="53"/>
      <c r="D11" s="39"/>
      <c r="E11" s="39"/>
      <c r="F11" s="39"/>
      <c r="G11" s="53"/>
      <c r="H11" s="39"/>
      <c r="K11" s="53"/>
      <c r="L11" s="39"/>
      <c r="M11" s="39"/>
      <c r="N11" s="39"/>
      <c r="O11" s="53"/>
      <c r="P11" s="39"/>
      <c r="Q11" s="39"/>
      <c r="R11" s="39"/>
      <c r="S11" s="53"/>
      <c r="T11" s="39"/>
      <c r="U11" s="39"/>
      <c r="V11" s="39"/>
      <c r="W11" s="53"/>
      <c r="X11" s="39"/>
      <c r="Y11" s="39"/>
      <c r="Z11" s="39"/>
      <c r="AA11" s="53"/>
    </row>
    <row r="12" spans="1:27">
      <c r="A12" s="39"/>
      <c r="B12" s="39"/>
      <c r="C12" s="53"/>
      <c r="D12" s="39"/>
      <c r="E12" s="39"/>
      <c r="F12" s="39"/>
      <c r="G12" s="53"/>
      <c r="H12" s="39"/>
      <c r="I12" s="39"/>
      <c r="J12" s="39"/>
      <c r="K12" s="53"/>
      <c r="L12" s="39"/>
      <c r="M12" s="39"/>
      <c r="N12" s="39"/>
      <c r="O12" s="53"/>
      <c r="P12" s="39"/>
      <c r="Q12" s="39"/>
      <c r="R12" s="39"/>
      <c r="S12" s="53"/>
      <c r="T12" s="39"/>
      <c r="U12" s="39"/>
      <c r="V12" s="39"/>
      <c r="W12" s="53"/>
      <c r="X12" s="39"/>
      <c r="Y12" s="39"/>
      <c r="Z12" s="39"/>
      <c r="AA12" s="53"/>
    </row>
    <row r="13" spans="1:27" ht="13">
      <c r="A13" s="75"/>
      <c r="B13" s="39"/>
      <c r="C13" s="53"/>
      <c r="D13" s="39"/>
      <c r="E13" s="75"/>
      <c r="F13" s="39"/>
      <c r="G13" s="53"/>
      <c r="H13" s="39"/>
      <c r="K13" s="53"/>
      <c r="L13" s="39"/>
      <c r="M13" s="75"/>
      <c r="N13" s="75"/>
      <c r="O13" s="76"/>
      <c r="P13" s="39"/>
      <c r="Q13" s="75"/>
      <c r="R13" s="39"/>
      <c r="S13" s="53"/>
      <c r="T13" s="39"/>
      <c r="U13" s="75"/>
      <c r="V13" s="39"/>
      <c r="W13" s="53"/>
      <c r="X13" s="39"/>
      <c r="Y13" s="39"/>
      <c r="Z13" s="39"/>
      <c r="AA13" s="53"/>
    </row>
    <row r="14" spans="1:27">
      <c r="A14" s="39"/>
      <c r="B14" s="39"/>
      <c r="C14" s="53"/>
      <c r="D14" s="39"/>
      <c r="E14" s="39"/>
      <c r="F14" s="39"/>
      <c r="G14" s="53"/>
      <c r="H14" s="39"/>
      <c r="I14" s="39"/>
      <c r="J14" s="39"/>
      <c r="K14" s="53"/>
      <c r="L14" s="39"/>
      <c r="M14" s="39"/>
      <c r="N14" s="39"/>
      <c r="O14" s="53"/>
      <c r="P14" s="39"/>
      <c r="Q14" s="39"/>
      <c r="R14" s="39"/>
      <c r="S14" s="53"/>
      <c r="T14" s="39"/>
      <c r="U14" s="40"/>
      <c r="V14" s="39"/>
      <c r="W14" s="53"/>
      <c r="X14" s="39"/>
      <c r="Y14" s="39"/>
      <c r="Z14" s="39"/>
      <c r="AA14" s="5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9E668-0E42-4271-8292-5ED0C07E8C39}">
  <dimension ref="A1:BA32"/>
  <sheetViews>
    <sheetView topLeftCell="Y1" workbookViewId="0">
      <selection activeCell="AQ16" sqref="AQ16"/>
    </sheetView>
  </sheetViews>
  <sheetFormatPr defaultRowHeight="12.5"/>
  <cols>
    <col min="17" max="17" width="8.7265625" style="21"/>
    <col min="18" max="18" width="10" style="21" bestFit="1" customWidth="1"/>
    <col min="19" max="19" width="10" style="21" customWidth="1"/>
  </cols>
  <sheetData>
    <row r="1" spans="1:53" ht="13">
      <c r="A1" s="82" t="s">
        <v>42</v>
      </c>
      <c r="B1" s="82"/>
      <c r="C1" s="83" t="s">
        <v>2273</v>
      </c>
      <c r="D1" s="82"/>
      <c r="E1" s="82" t="s">
        <v>43</v>
      </c>
      <c r="F1" s="84"/>
      <c r="G1" s="83" t="s">
        <v>2273</v>
      </c>
      <c r="H1" s="84"/>
      <c r="I1" s="82" t="s">
        <v>2310</v>
      </c>
      <c r="J1" s="84"/>
      <c r="K1" s="83" t="s">
        <v>2273</v>
      </c>
      <c r="L1" s="82"/>
      <c r="M1" s="82" t="s">
        <v>2311</v>
      </c>
      <c r="N1" s="82"/>
      <c r="O1" s="83" t="s">
        <v>2273</v>
      </c>
      <c r="P1" s="82"/>
      <c r="Q1" s="83" t="s">
        <v>2347</v>
      </c>
      <c r="R1" s="83"/>
      <c r="S1" s="83"/>
      <c r="T1" s="84"/>
      <c r="U1" s="82" t="s">
        <v>47</v>
      </c>
      <c r="V1" s="84"/>
      <c r="W1" s="83" t="s">
        <v>2273</v>
      </c>
      <c r="X1" s="84"/>
      <c r="Y1" s="82" t="s">
        <v>2312</v>
      </c>
      <c r="Z1" s="84"/>
      <c r="AA1" s="83" t="s">
        <v>2273</v>
      </c>
      <c r="AB1" s="84"/>
      <c r="AC1" s="82" t="s">
        <v>2320</v>
      </c>
      <c r="AD1" s="84"/>
      <c r="AE1" s="85" t="s">
        <v>2273</v>
      </c>
      <c r="AF1" s="84"/>
      <c r="AG1" s="82" t="s">
        <v>2321</v>
      </c>
      <c r="AH1" s="84"/>
      <c r="AI1" s="85" t="s">
        <v>2273</v>
      </c>
      <c r="AJ1" s="82"/>
      <c r="AK1" s="82" t="s">
        <v>52</v>
      </c>
      <c r="AL1" s="84"/>
      <c r="AM1" s="85" t="s">
        <v>2273</v>
      </c>
      <c r="AN1" s="84"/>
      <c r="AO1" s="82" t="s">
        <v>2322</v>
      </c>
      <c r="AP1" s="84"/>
      <c r="AQ1" s="85" t="s">
        <v>2273</v>
      </c>
      <c r="AR1" s="82"/>
      <c r="AS1" s="82" t="s">
        <v>2323</v>
      </c>
      <c r="AT1" s="84"/>
      <c r="AU1" s="85" t="s">
        <v>2273</v>
      </c>
      <c r="AV1" s="84"/>
      <c r="AW1" s="82" t="s">
        <v>2324</v>
      </c>
      <c r="AX1" s="84"/>
      <c r="AY1" s="85" t="s">
        <v>2273</v>
      </c>
      <c r="AZ1" s="61"/>
      <c r="BA1" s="61"/>
    </row>
    <row r="2" spans="1:53">
      <c r="A2" s="38" t="s">
        <v>74</v>
      </c>
      <c r="B2" s="39">
        <f>COUNTIF('INCLUDED_file edited'!BG:BG,"Yes")</f>
        <v>89</v>
      </c>
      <c r="C2" s="53">
        <f>B2/97</f>
        <v>0.91752577319587625</v>
      </c>
      <c r="D2" s="39"/>
      <c r="E2" s="40" t="s">
        <v>97</v>
      </c>
      <c r="F2" s="39">
        <f>COUNTIF('INCLUDED_file edited'!BI:BI,"*Experts*")</f>
        <v>93</v>
      </c>
      <c r="G2" s="53">
        <f>F2/96</f>
        <v>0.96875</v>
      </c>
      <c r="H2" s="39"/>
      <c r="I2" s="40" t="s">
        <v>2313</v>
      </c>
      <c r="J2" s="39">
        <f>COUNTIF('INCLUDED_file edited'!BK:BK,"*direct project*") - COUNTIF('INCLUDED_file edited'!BK:BK,"*autumn*")</f>
        <v>52</v>
      </c>
      <c r="K2" s="53">
        <f>J2/78</f>
        <v>0.66666666666666663</v>
      </c>
      <c r="L2" s="39"/>
      <c r="M2" s="38" t="s">
        <v>725</v>
      </c>
      <c r="N2" s="39">
        <f>COUNTIF('INCLUDED_file edited'!BM:BM,"*online form*")</f>
        <v>58</v>
      </c>
      <c r="O2" s="53">
        <f>N2/99</f>
        <v>0.58585858585858586</v>
      </c>
      <c r="P2" s="39"/>
      <c r="Q2" s="21" t="s">
        <v>74</v>
      </c>
      <c r="R2" s="39">
        <f>COUNTIF('INCLUDED_file edited'!BO:BO,"*Yes*")</f>
        <v>56</v>
      </c>
      <c r="S2" s="39"/>
      <c r="T2" s="39"/>
      <c r="U2" s="40" t="s">
        <v>74</v>
      </c>
      <c r="V2" s="39">
        <f>COUNTIF('INCLUDED_file edited'!BQ:BQ,"Yes")</f>
        <v>58</v>
      </c>
      <c r="W2" s="53">
        <f>V2/82</f>
        <v>0.70731707317073167</v>
      </c>
      <c r="X2" s="39"/>
      <c r="Y2" s="39" t="s">
        <v>101</v>
      </c>
      <c r="Z2" s="39">
        <f>COUNTIF('INCLUDED_file edited'!BS:BS,"*Excel*")</f>
        <v>44</v>
      </c>
      <c r="AA2" s="53">
        <f>Z2/68</f>
        <v>0.6470588235294118</v>
      </c>
      <c r="AB2" s="39"/>
      <c r="AC2" s="39" t="s">
        <v>102</v>
      </c>
      <c r="AD2" s="39">
        <f>COUNTIF('INCLUDED_file edited'!BU:BU,"*Darwin*")</f>
        <v>18</v>
      </c>
      <c r="AE2" s="53">
        <f>AD2/36</f>
        <v>0.5</v>
      </c>
      <c r="AF2" s="39"/>
      <c r="AG2" s="39" t="s">
        <v>83</v>
      </c>
      <c r="AH2" s="39">
        <f>COUNTIF('INCLUDED_file edited'!BW:BW,"No")</f>
        <v>40</v>
      </c>
      <c r="AI2" s="53">
        <f>AH2/54</f>
        <v>0.7407407407407407</v>
      </c>
      <c r="AJ2" s="39"/>
      <c r="AK2" s="39" t="s">
        <v>103</v>
      </c>
      <c r="AL2" s="39">
        <f>COUNTIF('INCLUDED_file edited'!BZ:BZ,"*CC BY*")</f>
        <v>16</v>
      </c>
      <c r="AM2" s="53">
        <f>AL2/29</f>
        <v>0.55172413793103448</v>
      </c>
      <c r="AN2" s="39"/>
      <c r="AO2" s="39" t="s">
        <v>167</v>
      </c>
      <c r="AP2" s="39">
        <f>COUNTIF('INCLUDED_file edited'!CB:CB,"*alien*")</f>
        <v>56</v>
      </c>
      <c r="AQ2" s="53">
        <f>AP2/93</f>
        <v>0.60215053763440862</v>
      </c>
      <c r="AR2" s="39"/>
      <c r="AS2" s="39" t="s">
        <v>339</v>
      </c>
      <c r="AT2" s="39">
        <f>COUNTIF('INCLUDED_file edited'!CD:CD,"*Present*")</f>
        <v>69</v>
      </c>
      <c r="AU2" s="53">
        <f>AT2/91</f>
        <v>0.75824175824175821</v>
      </c>
      <c r="AV2" s="39"/>
      <c r="AW2" s="39" t="s">
        <v>168</v>
      </c>
      <c r="AX2" s="39">
        <f>COUNTIF('INCLUDED_file edited'!CF:CF,"*invasive*")</f>
        <v>51</v>
      </c>
      <c r="AY2" s="53">
        <f>AX2/69</f>
        <v>0.73913043478260865</v>
      </c>
      <c r="AZ2" s="39"/>
      <c r="BA2" s="39"/>
    </row>
    <row r="3" spans="1:53">
      <c r="A3" s="38" t="s">
        <v>83</v>
      </c>
      <c r="B3" s="39">
        <f>COUNTIF('INCLUDED_file edited'!BG:BG,"No")</f>
        <v>2</v>
      </c>
      <c r="C3" s="53">
        <f t="shared" ref="C3:C4" si="0">B3/97</f>
        <v>2.0618556701030927E-2</v>
      </c>
      <c r="D3" s="39"/>
      <c r="E3" s="40" t="s">
        <v>2314</v>
      </c>
      <c r="F3" s="39">
        <f>COUNTIF('INCLUDED_file edited'!BI:BI,"*Peer*")</f>
        <v>14</v>
      </c>
      <c r="G3" s="53">
        <f t="shared" ref="G3:G4" si="1">F3/96</f>
        <v>0.14583333333333334</v>
      </c>
      <c r="H3" s="39"/>
      <c r="I3" s="40" t="s">
        <v>92</v>
      </c>
      <c r="J3" s="39">
        <f>COUNTIF('INCLUDED_file edited'!BK:BK,"*Facebook*")</f>
        <v>13</v>
      </c>
      <c r="K3" s="53">
        <f t="shared" ref="K3:K5" si="2">J3/78</f>
        <v>0.16666666666666666</v>
      </c>
      <c r="L3" s="39"/>
      <c r="M3" s="38" t="s">
        <v>308</v>
      </c>
      <c r="N3" s="39">
        <f>COUNTIF('INCLUDED_file edited'!BM:BM,"*app*")</f>
        <v>45</v>
      </c>
      <c r="O3" s="53">
        <f t="shared" ref="O3:O9" si="3">N3/99</f>
        <v>0.45454545454545453</v>
      </c>
      <c r="P3" s="39"/>
      <c r="Q3" s="53" t="s">
        <v>83</v>
      </c>
      <c r="R3" s="39">
        <f>COUNTIF('INCLUDED_file edited'!BO:BO,"No")</f>
        <v>32</v>
      </c>
      <c r="S3" s="39"/>
      <c r="T3" s="39"/>
      <c r="U3" s="40" t="s">
        <v>83</v>
      </c>
      <c r="V3" s="39">
        <f>COUNTIF('INCLUDED_file edited'!BQ:BQ,"No") - COUNTIFS('INCLUDED_file edited'!BQ:BQ,"*unknown*", 'INCLUDED_file edited'!BQ:BQ,"No")</f>
        <v>24</v>
      </c>
      <c r="W3" s="53">
        <f>V3/82</f>
        <v>0.29268292682926828</v>
      </c>
      <c r="X3" s="39"/>
      <c r="Y3" s="40" t="s">
        <v>2317</v>
      </c>
      <c r="Z3" s="39">
        <f>COUNTIF('INCLUDED_file edited'!BS:BS,"*SQL*")</f>
        <v>8</v>
      </c>
      <c r="AA3" s="53">
        <f>Z3/68</f>
        <v>0.11764705882352941</v>
      </c>
      <c r="AB3" s="39"/>
      <c r="AC3" s="39" t="s">
        <v>394</v>
      </c>
      <c r="AD3" s="39">
        <f>COUNTIF('INCLUDED_file edited'!BU:BU,"*IUCN*")</f>
        <v>5</v>
      </c>
      <c r="AE3" s="53">
        <f t="shared" ref="AE3:AE7" si="4">AD3/36</f>
        <v>0.1388888888888889</v>
      </c>
      <c r="AF3" s="39"/>
      <c r="AG3" s="39" t="s">
        <v>74</v>
      </c>
      <c r="AH3" s="39">
        <f>COUNTIF('INCLUDED_file edited'!BW:BW,"Yes")</f>
        <v>15</v>
      </c>
      <c r="AI3" s="53">
        <f t="shared" ref="AI3" si="5">AH3/54</f>
        <v>0.27777777777777779</v>
      </c>
      <c r="AJ3" s="39"/>
      <c r="AK3" s="39" t="s">
        <v>1237</v>
      </c>
      <c r="AL3" s="39">
        <f>COUNTIF('INCLUDED_file edited'!BZ:BZ,"*CC0*")</f>
        <v>3</v>
      </c>
      <c r="AM3" s="53">
        <f t="shared" ref="AM3:AM6" si="6">AL3/29</f>
        <v>0.10344827586206896</v>
      </c>
      <c r="AN3" s="39"/>
      <c r="AO3" s="39" t="s">
        <v>761</v>
      </c>
      <c r="AP3" s="39">
        <f>COUNTIF('INCLUDED_file edited'!CB:CB,"*non-native*")</f>
        <v>48</v>
      </c>
      <c r="AQ3" s="53">
        <f t="shared" ref="AQ3:AQ7" si="7">AP3/93</f>
        <v>0.5161290322580645</v>
      </c>
      <c r="AR3" s="39"/>
      <c r="AS3" s="39" t="s">
        <v>168</v>
      </c>
      <c r="AT3" s="39">
        <f>COUNTIF('INCLUDED_file edited'!CD:CD,"*invasive*")</f>
        <v>57</v>
      </c>
      <c r="AU3" s="53">
        <f t="shared" ref="AU3:AU6" si="8">AT3/91</f>
        <v>0.62637362637362637</v>
      </c>
      <c r="AV3" s="39"/>
      <c r="AW3" s="40" t="s">
        <v>136</v>
      </c>
      <c r="AX3" s="39">
        <f>COUNTIF('INCLUDED_file edited'!CF:CF,"*Established*")</f>
        <v>43</v>
      </c>
      <c r="AY3" s="53">
        <f t="shared" ref="AY3:AY7" si="9">AX3/69</f>
        <v>0.62318840579710144</v>
      </c>
      <c r="AZ3" s="39"/>
      <c r="BA3" s="39"/>
    </row>
    <row r="4" spans="1:53">
      <c r="A4" s="38" t="s">
        <v>95</v>
      </c>
      <c r="B4" s="39">
        <f>COUNTIF('INCLUDED_file edited'!BG:BG,"Partial*")</f>
        <v>6</v>
      </c>
      <c r="C4" s="53">
        <f t="shared" si="0"/>
        <v>6.1855670103092786E-2</v>
      </c>
      <c r="D4" s="39"/>
      <c r="E4" s="40" t="s">
        <v>2315</v>
      </c>
      <c r="F4" s="39">
        <f>COUNTIF('INCLUDED_file edited'!BI:BI,"*Automated*")</f>
        <v>9</v>
      </c>
      <c r="G4" s="53">
        <f t="shared" si="1"/>
        <v>9.375E-2</v>
      </c>
      <c r="H4" s="39"/>
      <c r="I4" s="40" t="s">
        <v>2316</v>
      </c>
      <c r="J4" s="39">
        <f>COUNTIF('INCLUDED_file edited'!BK:BK,"*Google*")</f>
        <v>6</v>
      </c>
      <c r="K4" s="53">
        <f t="shared" si="2"/>
        <v>7.6923076923076927E-2</v>
      </c>
      <c r="L4" s="39"/>
      <c r="M4" s="38" t="s">
        <v>520</v>
      </c>
      <c r="N4" s="39">
        <f>COUNTIF('INCLUDED_file edited'!BM:BM,"*e-mail*") + COUNTIF('INCLUDED_file edited'!BM:BM,"*email*")</f>
        <v>34</v>
      </c>
      <c r="O4" s="53">
        <f t="shared" si="3"/>
        <v>0.34343434343434343</v>
      </c>
      <c r="P4" s="39"/>
      <c r="Q4" s="53" t="s">
        <v>107</v>
      </c>
      <c r="R4" s="39">
        <f>COUNTIF('INCLUDED_file edited'!BO:BO,"*Unknown*")</f>
        <v>4</v>
      </c>
      <c r="S4" s="39"/>
      <c r="T4" s="39"/>
      <c r="U4" s="40" t="s">
        <v>107</v>
      </c>
      <c r="V4" s="39">
        <f>COUNTIF('INCLUDED_file edited'!BQ:BQ,"Unknown")</f>
        <v>20</v>
      </c>
      <c r="W4" s="53"/>
      <c r="X4" s="39"/>
      <c r="Y4" s="39" t="s">
        <v>738</v>
      </c>
      <c r="Z4" s="39">
        <f>COUNTIF('INCLUDED_file edited'!BS:BS,"*other*")</f>
        <v>18</v>
      </c>
      <c r="AA4" s="53">
        <f>Z4/68</f>
        <v>0.26470588235294118</v>
      </c>
      <c r="AB4" s="39"/>
      <c r="AC4" s="39" t="s">
        <v>857</v>
      </c>
      <c r="AD4" s="39">
        <f>COUNTIF('INCLUDED_file edited'!BU:BU,"*Inspire*")</f>
        <v>4</v>
      </c>
      <c r="AE4" s="53">
        <f t="shared" si="4"/>
        <v>0.1111111111111111</v>
      </c>
      <c r="AF4" s="39"/>
      <c r="AG4" s="38" t="s">
        <v>2088</v>
      </c>
      <c r="AH4" s="39">
        <f>COUNTIF('INCLUDED_file edited'!BW:BW,"*TBD*")</f>
        <v>2</v>
      </c>
      <c r="AI4" s="53"/>
      <c r="AJ4" s="39"/>
      <c r="AK4" s="39" t="s">
        <v>2090</v>
      </c>
      <c r="AL4" s="39">
        <f>COUNTIF('INCLUDED_file edited'!BZ:BZ,"*TBD by observer*")</f>
        <v>2</v>
      </c>
      <c r="AM4" s="53">
        <f t="shared" si="6"/>
        <v>6.8965517241379309E-2</v>
      </c>
      <c r="AN4" s="39"/>
      <c r="AO4" s="39" t="s">
        <v>398</v>
      </c>
      <c r="AP4" s="39">
        <f>COUNTIF('INCLUDED_file edited'!CB:CB,"*introduced*")</f>
        <v>33</v>
      </c>
      <c r="AQ4" s="53">
        <f t="shared" si="7"/>
        <v>0.35483870967741937</v>
      </c>
      <c r="AR4" s="39"/>
      <c r="AS4" s="39" t="s">
        <v>136</v>
      </c>
      <c r="AT4" s="39">
        <f>COUNTIF('INCLUDED_file edited'!CD:CD,"*established*")</f>
        <v>41</v>
      </c>
      <c r="AU4" s="53">
        <f t="shared" si="8"/>
        <v>0.45054945054945056</v>
      </c>
      <c r="AV4" s="39"/>
      <c r="AW4" s="39" t="s">
        <v>2325</v>
      </c>
      <c r="AX4" s="39">
        <f>COUNTIF('INCLUDED_file edited'!CF:CF,"*casual*")</f>
        <v>14</v>
      </c>
      <c r="AY4" s="53">
        <f t="shared" si="9"/>
        <v>0.20289855072463769</v>
      </c>
      <c r="AZ4" s="39"/>
      <c r="BA4" s="39"/>
    </row>
    <row r="5" spans="1:53">
      <c r="A5" s="38" t="s">
        <v>107</v>
      </c>
      <c r="B5" s="39">
        <f>COUNTIF('INCLUDED_file edited'!BG:BG,"Unknown")</f>
        <v>6</v>
      </c>
      <c r="C5" s="53"/>
      <c r="D5" s="39"/>
      <c r="E5" s="40" t="s">
        <v>2308</v>
      </c>
      <c r="F5" s="39">
        <f>COUNTIF('INCLUDED_file edited'!BI:BI,"*not applicable*")</f>
        <v>3</v>
      </c>
      <c r="G5" s="53"/>
      <c r="H5" s="39"/>
      <c r="I5" s="40" t="s">
        <v>2165</v>
      </c>
      <c r="J5" s="39">
        <f>COUNTIF('INCLUDED_file edited'!BK:BK,"*application*")</f>
        <v>8</v>
      </c>
      <c r="K5" s="53">
        <f t="shared" si="2"/>
        <v>0.10256410256410256</v>
      </c>
      <c r="L5" s="39"/>
      <c r="M5" s="38" t="s">
        <v>945</v>
      </c>
      <c r="N5" s="39">
        <f>COUNTIF('INCLUDED_file edited'!BM:BM,"*sample*")</f>
        <v>18</v>
      </c>
      <c r="O5" s="53">
        <f t="shared" si="3"/>
        <v>0.18181818181818182</v>
      </c>
      <c r="P5" s="39"/>
      <c r="Q5" s="53" t="s">
        <v>233</v>
      </c>
      <c r="R5" s="39">
        <f>COUNTIF('INCLUDED_file edited'!BO:BO,"*N/a*")</f>
        <v>9</v>
      </c>
      <c r="S5" s="39"/>
      <c r="T5" s="39"/>
      <c r="U5" s="40" t="s">
        <v>2271</v>
      </c>
      <c r="V5" s="39">
        <v>1</v>
      </c>
      <c r="W5" s="53"/>
      <c r="X5" s="39"/>
      <c r="Y5" s="21" t="s">
        <v>1901</v>
      </c>
      <c r="Z5" s="39">
        <f>COUNTIF('INCLUDED_file edited'!BS:BS,"*iRecord*")</f>
        <v>4</v>
      </c>
      <c r="AA5" s="53">
        <f>Z5/68</f>
        <v>5.8823529411764705E-2</v>
      </c>
      <c r="AB5" s="39"/>
      <c r="AC5" s="40" t="s">
        <v>2351</v>
      </c>
      <c r="AD5" s="39">
        <f>COUNTIF('INCLUDED_file edited'!BU:BU,"*NBN*")</f>
        <v>3</v>
      </c>
      <c r="AE5" s="53">
        <f t="shared" si="4"/>
        <v>8.3333333333333329E-2</v>
      </c>
      <c r="AF5" s="39"/>
      <c r="AG5" s="39" t="s">
        <v>233</v>
      </c>
      <c r="AH5" s="39">
        <f>COUNTIF('INCLUDED_file edited'!BW:BW,"Not applicable")</f>
        <v>11</v>
      </c>
      <c r="AI5" s="53"/>
      <c r="AJ5" s="39"/>
      <c r="AK5" s="39" t="s">
        <v>738</v>
      </c>
      <c r="AL5" s="39">
        <f>COUNTIF('INCLUDED_file edited'!BZ:BZ,"*observer*") + COUNTIF('INCLUDED_file edited'!BZ:BZ,"*user*")</f>
        <v>2</v>
      </c>
      <c r="AM5" s="53">
        <f t="shared" si="6"/>
        <v>6.8965517241379309E-2</v>
      </c>
      <c r="AN5" s="39"/>
      <c r="AO5" s="39" t="s">
        <v>211</v>
      </c>
      <c r="AP5" s="39">
        <f>COUNTIF('INCLUDED_file edited'!CB:CB,"*non-indigenous*")</f>
        <v>15</v>
      </c>
      <c r="AQ5" s="53">
        <f t="shared" si="7"/>
        <v>0.16129032258064516</v>
      </c>
      <c r="AR5" s="39"/>
      <c r="AS5" s="39" t="s">
        <v>1722</v>
      </c>
      <c r="AT5" s="39">
        <f>COUNTIF('INCLUDED_file edited'!CD:CD,"*absent*")</f>
        <v>25</v>
      </c>
      <c r="AU5" s="53">
        <f t="shared" si="8"/>
        <v>0.27472527472527475</v>
      </c>
      <c r="AV5" s="39"/>
      <c r="AW5" s="39" t="s">
        <v>2326</v>
      </c>
      <c r="AX5" s="39">
        <f>COUNTIF('INCLUDED_file edited'!CF:CF,"*naturalized*")</f>
        <v>13</v>
      </c>
      <c r="AY5" s="53">
        <f t="shared" si="9"/>
        <v>0.18840579710144928</v>
      </c>
      <c r="AZ5" s="39"/>
      <c r="BA5" s="39"/>
    </row>
    <row r="6" spans="1:53">
      <c r="A6" s="38" t="s">
        <v>2229</v>
      </c>
      <c r="B6" s="39">
        <f>SUM(B2:B5)</f>
        <v>103</v>
      </c>
      <c r="C6" s="53"/>
      <c r="D6" s="39"/>
      <c r="E6" s="40" t="s">
        <v>107</v>
      </c>
      <c r="F6" s="39">
        <f>COUNTIF('INCLUDED_file edited'!BI:BI,"*unknown*")</f>
        <v>4</v>
      </c>
      <c r="G6" s="53"/>
      <c r="H6" s="39"/>
      <c r="I6" s="40" t="s">
        <v>738</v>
      </c>
      <c r="J6" s="39">
        <f>COUNTIF('INCLUDED_file edited'!BK:BK,"*other*")</f>
        <v>12</v>
      </c>
      <c r="K6" s="53">
        <f t="shared" ref="K6" si="10">J6/78</f>
        <v>0.15384615384615385</v>
      </c>
      <c r="L6" s="39"/>
      <c r="M6" s="38" t="s">
        <v>92</v>
      </c>
      <c r="N6" s="39">
        <f>COUNTIF('INCLUDED_file edited'!BM:BM,"*facebook*")</f>
        <v>16</v>
      </c>
      <c r="O6" s="53">
        <f t="shared" si="3"/>
        <v>0.16161616161616163</v>
      </c>
      <c r="P6" s="39"/>
      <c r="Q6" s="53" t="s">
        <v>2229</v>
      </c>
      <c r="R6" s="100">
        <f>SUM(R2:R5)</f>
        <v>101</v>
      </c>
      <c r="S6" s="99"/>
      <c r="T6" s="39"/>
      <c r="U6" s="40" t="s">
        <v>2229</v>
      </c>
      <c r="V6" s="39">
        <f>SUM(V2:V5)</f>
        <v>103</v>
      </c>
      <c r="W6" s="53"/>
      <c r="X6" s="39"/>
      <c r="Y6" s="39" t="s">
        <v>2088</v>
      </c>
      <c r="Z6" s="39">
        <f>COUNTIF('INCLUDED_file edited'!BS:BS,"*TBD*")</f>
        <v>2</v>
      </c>
      <c r="AB6" s="39"/>
      <c r="AC6" s="39" t="s">
        <v>738</v>
      </c>
      <c r="AD6" s="39">
        <f>COUNTIF('INCLUDED_file edited'!BU:BU,"*other*")</f>
        <v>5</v>
      </c>
      <c r="AE6" s="53">
        <f t="shared" si="4"/>
        <v>0.1388888888888889</v>
      </c>
      <c r="AF6" s="39"/>
      <c r="AG6" s="38" t="s">
        <v>107</v>
      </c>
      <c r="AH6" s="39">
        <f>COUNTIF('INCLUDED_file edited'!BW:BW,"Unknown")</f>
        <v>34</v>
      </c>
      <c r="AI6" s="53"/>
      <c r="AJ6" s="39"/>
      <c r="AK6" s="39" t="s">
        <v>284</v>
      </c>
      <c r="AL6" s="39">
        <f>COUNTIF('INCLUDED_file edited'!BZ:BZ,"*none*") + COUNTIF('INCLUDED_file edited'!BZ:BZ,"*no license*")</f>
        <v>1</v>
      </c>
      <c r="AM6" s="53">
        <f t="shared" si="6"/>
        <v>3.4482758620689655E-2</v>
      </c>
      <c r="AN6" s="39"/>
      <c r="AO6" s="41" t="s">
        <v>168</v>
      </c>
      <c r="AP6" s="39">
        <f>COUNTIF('INCLUDED_file edited'!CB:CB,"*invasive*") - COUNTIF('INCLUDED_file edited'!CB:CB,"*invasive alien*") - COUNTIF('INCLUDED_file edited'!CB:CB,"*neo*")</f>
        <v>11</v>
      </c>
      <c r="AQ6" s="53">
        <f t="shared" si="7"/>
        <v>0.11827956989247312</v>
      </c>
      <c r="AR6" s="39"/>
      <c r="AS6" s="39" t="s">
        <v>2188</v>
      </c>
      <c r="AT6" s="39">
        <f>COUNTIF('INCLUDED_file edited'!CD:CD,"*other*")</f>
        <v>2</v>
      </c>
      <c r="AU6" s="53">
        <f t="shared" si="8"/>
        <v>2.197802197802198E-2</v>
      </c>
      <c r="AV6" s="39"/>
      <c r="AW6" s="39" t="s">
        <v>2327</v>
      </c>
      <c r="AX6" s="39">
        <f>COUNTIF('INCLUDED_file edited'!CF:CF,"*transform*")</f>
        <v>3</v>
      </c>
      <c r="AY6" s="53">
        <f t="shared" si="9"/>
        <v>4.3478260869565216E-2</v>
      </c>
      <c r="AZ6" s="39"/>
      <c r="BA6" s="39"/>
    </row>
    <row r="7" spans="1:53">
      <c r="A7" s="112" t="s">
        <v>2283</v>
      </c>
      <c r="B7" s="84">
        <f>103-B5</f>
        <v>97</v>
      </c>
      <c r="C7" s="53"/>
      <c r="D7" s="39"/>
      <c r="E7" s="39"/>
      <c r="F7" s="39"/>
      <c r="G7" s="53"/>
      <c r="H7" s="39"/>
      <c r="I7" s="37" t="s">
        <v>2088</v>
      </c>
      <c r="J7" s="39">
        <f>COUNTIF('INCLUDED_file edited'!BK:BK,"*TBD*")</f>
        <v>1</v>
      </c>
      <c r="K7" s="53"/>
      <c r="L7" s="39"/>
      <c r="M7" s="38" t="s">
        <v>2318</v>
      </c>
      <c r="N7" s="39">
        <f>COUNTIF('INCLUDED_file edited'!BM:BM,"*sent by mail*")</f>
        <v>14</v>
      </c>
      <c r="O7" s="53">
        <f>N7/99</f>
        <v>0.14141414141414141</v>
      </c>
      <c r="P7" s="39"/>
      <c r="Q7" s="53"/>
      <c r="R7" s="53"/>
      <c r="S7" s="53"/>
      <c r="T7" s="39"/>
      <c r="U7" s="113" t="s">
        <v>2283</v>
      </c>
      <c r="V7" s="84">
        <f>103-V4-V5</f>
        <v>82</v>
      </c>
      <c r="W7" s="53"/>
      <c r="X7" s="39"/>
      <c r="Y7" s="39" t="s">
        <v>107</v>
      </c>
      <c r="Z7" s="39">
        <f>COUNTIF('INCLUDED_file edited'!BS:BS,"*unknown*")</f>
        <v>32</v>
      </c>
      <c r="AA7" s="53"/>
      <c r="AB7" s="39"/>
      <c r="AC7" s="39" t="s">
        <v>284</v>
      </c>
      <c r="AD7" s="39">
        <f>COUNTIF('INCLUDED_file edited'!BU:BU,"*None*")</f>
        <v>4</v>
      </c>
      <c r="AE7" s="53">
        <f t="shared" si="4"/>
        <v>0.1111111111111111</v>
      </c>
      <c r="AF7" s="39"/>
      <c r="AG7" s="43" t="s">
        <v>2289</v>
      </c>
      <c r="AH7" s="39">
        <v>1</v>
      </c>
      <c r="AI7" s="53"/>
      <c r="AJ7" s="39"/>
      <c r="AK7" s="39" t="s">
        <v>2088</v>
      </c>
      <c r="AL7" s="39">
        <f>COUNTIF('INCLUDED_file edited'!BZ:BZ,"*TBD*") - COUNTIF('INCLUDED_file edited'!BZ:BZ,"*TBD by observer*")</f>
        <v>2</v>
      </c>
      <c r="AM7" s="53"/>
      <c r="AN7" s="39"/>
      <c r="AO7" s="41" t="s">
        <v>2328</v>
      </c>
      <c r="AP7" s="39">
        <f>COUNTIF('INCLUDED_file edited'!CB:CB,"*Cryptogen*")</f>
        <v>3</v>
      </c>
      <c r="AQ7" s="53">
        <f t="shared" si="7"/>
        <v>3.2258064516129031E-2</v>
      </c>
      <c r="AR7" s="39"/>
      <c r="AS7" s="39" t="s">
        <v>233</v>
      </c>
      <c r="AT7" s="39">
        <f>COUNTIF('INCLUDED_file edited'!CD:CD,"*not applicable*")</f>
        <v>4</v>
      </c>
      <c r="AU7" s="53"/>
      <c r="AV7" s="39"/>
      <c r="AW7" t="s">
        <v>2188</v>
      </c>
      <c r="AX7" s="39">
        <f>COUNTIF('INCLUDED_file edited'!CF:CF,"*other*")</f>
        <v>5</v>
      </c>
      <c r="AY7" s="53">
        <f t="shared" si="9"/>
        <v>7.2463768115942032E-2</v>
      </c>
      <c r="AZ7" s="39"/>
      <c r="BA7" s="39"/>
    </row>
    <row r="8" spans="1:53">
      <c r="A8" s="39"/>
      <c r="B8" s="39"/>
      <c r="C8" s="53"/>
      <c r="D8" s="39"/>
      <c r="E8" s="113" t="s">
        <v>2283</v>
      </c>
      <c r="F8" s="84">
        <f>103-F5-F6</f>
        <v>96</v>
      </c>
      <c r="G8" s="53"/>
      <c r="H8" s="39"/>
      <c r="I8" s="40" t="s">
        <v>2308</v>
      </c>
      <c r="J8" s="39">
        <f>COUNTIF('INCLUDED_file edited'!BK:BK,"Not applicable")</f>
        <v>16</v>
      </c>
      <c r="K8" s="53"/>
      <c r="L8" s="39"/>
      <c r="M8" s="38" t="s">
        <v>2357</v>
      </c>
      <c r="N8" s="39">
        <f>COUNTIF('INCLUDED_file edited'!BM:BM,"*social media*")</f>
        <v>8</v>
      </c>
      <c r="O8" s="53">
        <f>N8/99</f>
        <v>8.0808080808080815E-2</v>
      </c>
      <c r="P8" s="39"/>
      <c r="Q8" s="67" t="s">
        <v>2196</v>
      </c>
      <c r="R8" s="53"/>
      <c r="S8" s="53"/>
      <c r="T8" s="39"/>
      <c r="U8" s="39"/>
      <c r="V8" s="39"/>
      <c r="W8" s="53"/>
      <c r="X8" s="39"/>
      <c r="Y8" s="39" t="s">
        <v>2271</v>
      </c>
      <c r="Z8" s="39">
        <v>1</v>
      </c>
      <c r="AA8" s="53"/>
      <c r="AB8" s="39"/>
      <c r="AC8" s="39" t="s">
        <v>2088</v>
      </c>
      <c r="AD8" s="39">
        <f>COUNTIF('INCLUDED_file edited'!BU:BU,"*TBD*")</f>
        <v>1</v>
      </c>
      <c r="AE8" s="53"/>
      <c r="AF8" s="39"/>
      <c r="AG8" s="98" t="s">
        <v>2290</v>
      </c>
      <c r="AH8" s="39">
        <f>SUM(AH2:AH7)</f>
        <v>103</v>
      </c>
      <c r="AI8" s="53"/>
      <c r="AJ8" s="39"/>
      <c r="AK8" s="39" t="s">
        <v>233</v>
      </c>
      <c r="AL8" s="39">
        <f>COUNTIF('INCLUDED_file edited'!BZ:BZ,"*Not applicable*")</f>
        <v>33</v>
      </c>
      <c r="AM8" s="53"/>
      <c r="AN8" s="39"/>
      <c r="AO8" s="41" t="s">
        <v>738</v>
      </c>
      <c r="AP8" s="39">
        <f>COUNTIF('INCLUDED_file edited'!CB:CB,"*other*")</f>
        <v>4</v>
      </c>
      <c r="AQ8" s="53">
        <f t="shared" ref="AQ8" si="11">AP8/93</f>
        <v>4.3010752688172046E-2</v>
      </c>
      <c r="AR8" s="39"/>
      <c r="AS8" s="39" t="s">
        <v>107</v>
      </c>
      <c r="AT8" s="39">
        <f>COUNTIF('INCLUDED_file edited'!CD:CD,"*unknown*")</f>
        <v>7</v>
      </c>
      <c r="AU8" s="53"/>
      <c r="AV8" s="39"/>
      <c r="AW8" s="39" t="s">
        <v>233</v>
      </c>
      <c r="AX8" s="39">
        <f>COUNTIF('INCLUDED_file edited'!CF:CF,"*not applicable*")</f>
        <v>13</v>
      </c>
      <c r="AY8" s="53"/>
      <c r="AZ8" s="39"/>
      <c r="BA8" s="39"/>
    </row>
    <row r="9" spans="1:53">
      <c r="A9" s="39"/>
      <c r="B9" s="39"/>
      <c r="C9" s="53"/>
      <c r="D9" s="39"/>
      <c r="E9" s="39"/>
      <c r="F9" s="39"/>
      <c r="G9" s="53"/>
      <c r="H9" s="39"/>
      <c r="I9" s="40" t="s">
        <v>107</v>
      </c>
      <c r="J9" s="39">
        <f>COUNTIF('INCLUDED_file edited'!BK:BK,"Unknown")</f>
        <v>8</v>
      </c>
      <c r="K9" s="53"/>
      <c r="L9" s="39"/>
      <c r="M9" s="38" t="s">
        <v>2182</v>
      </c>
      <c r="N9" s="39">
        <f>COUNTIF('INCLUDED_file edited'!BM:BM,"*other*")</f>
        <v>14</v>
      </c>
      <c r="O9" s="53">
        <f t="shared" si="3"/>
        <v>0.14141414141414141</v>
      </c>
      <c r="P9" s="39"/>
      <c r="Q9" s="53"/>
      <c r="R9" s="53"/>
      <c r="S9" s="53"/>
      <c r="T9" s="39"/>
      <c r="U9" s="39"/>
      <c r="V9" s="39"/>
      <c r="W9" s="53"/>
      <c r="X9" s="39"/>
      <c r="Y9" s="39"/>
      <c r="Z9" s="39"/>
      <c r="AA9" s="53"/>
      <c r="AB9" s="39"/>
      <c r="AC9" s="39" t="s">
        <v>233</v>
      </c>
      <c r="AD9" s="39">
        <f>COUNTIF('INCLUDED_file edited'!BU:BU,"*not applicable*")</f>
        <v>1</v>
      </c>
      <c r="AE9" s="53"/>
      <c r="AF9" s="39"/>
      <c r="AG9" s="114" t="s">
        <v>2283</v>
      </c>
      <c r="AH9" s="84">
        <f>103-AH4-AH5-AH6-AH7</f>
        <v>55</v>
      </c>
      <c r="AI9" s="53"/>
      <c r="AJ9" s="39"/>
      <c r="AK9" s="39" t="s">
        <v>107</v>
      </c>
      <c r="AL9" s="39">
        <f>COUNTIF('INCLUDED_file edited'!BZ:BZ,"*unknown*") + COUNTIF('INCLUDED_file edited'!BZ:BZ,"*need to check*") + COUNTIF('INCLUDED_file edited'!BZ:BZ,"*will be*")</f>
        <v>38</v>
      </c>
      <c r="AM9" s="53"/>
      <c r="AN9" s="39"/>
      <c r="AO9" s="39" t="s">
        <v>233</v>
      </c>
      <c r="AP9" s="39">
        <f>COUNTIF('INCLUDED_file edited'!CB:CB,"*not applicable*")</f>
        <v>3</v>
      </c>
      <c r="AQ9" s="53"/>
      <c r="AR9" s="39"/>
      <c r="AS9" s="39" t="s">
        <v>2271</v>
      </c>
      <c r="AT9" s="39">
        <v>1</v>
      </c>
      <c r="AU9" s="53"/>
      <c r="AV9" s="39"/>
      <c r="AW9" s="39" t="s">
        <v>107</v>
      </c>
      <c r="AX9" s="39">
        <f>COUNTIF('INCLUDED_file edited'!CF:CF,"*unknown*")</f>
        <v>12</v>
      </c>
      <c r="AY9" s="53"/>
      <c r="AZ9" s="39"/>
      <c r="BA9" s="39"/>
    </row>
    <row r="10" spans="1:53">
      <c r="A10" s="39"/>
      <c r="B10" s="39"/>
      <c r="C10" s="53"/>
      <c r="D10" s="39"/>
      <c r="E10" s="39"/>
      <c r="F10" s="39"/>
      <c r="G10" s="53"/>
      <c r="H10" s="39"/>
      <c r="K10" s="53"/>
      <c r="L10" s="39"/>
      <c r="M10" s="38" t="s">
        <v>2319</v>
      </c>
      <c r="N10" s="39">
        <f>COUNTIF('INCLUDED_file edited'!BM:BM,"*not applicable*")</f>
        <v>1</v>
      </c>
      <c r="O10" s="53"/>
      <c r="P10" s="39"/>
      <c r="Q10" s="53"/>
      <c r="R10" s="53"/>
      <c r="S10" s="53"/>
      <c r="T10" s="39"/>
      <c r="U10" s="39"/>
      <c r="V10" s="39"/>
      <c r="W10" s="53"/>
      <c r="X10" s="39"/>
      <c r="Y10" s="113" t="s">
        <v>2283</v>
      </c>
      <c r="Z10" s="84">
        <f>103-Z7-Z8-Z6</f>
        <v>68</v>
      </c>
      <c r="AA10" s="53"/>
      <c r="AB10" s="39"/>
      <c r="AC10" s="39" t="s">
        <v>107</v>
      </c>
      <c r="AD10" s="39">
        <f>COUNTIF('INCLUDED_file edited'!BU:BU,"*unknown*")</f>
        <v>65</v>
      </c>
      <c r="AE10" s="53"/>
      <c r="AF10" s="39"/>
      <c r="AI10" s="53"/>
      <c r="AJ10" s="39"/>
      <c r="AK10" s="38" t="s">
        <v>2271</v>
      </c>
      <c r="AL10" s="39">
        <v>1</v>
      </c>
      <c r="AM10" s="53"/>
      <c r="AN10" s="39"/>
      <c r="AO10" s="39" t="s">
        <v>107</v>
      </c>
      <c r="AP10" s="39">
        <f>COUNTIF('INCLUDED_file edited'!CB:CB,"*unknown*")</f>
        <v>7</v>
      </c>
      <c r="AQ10" s="53"/>
      <c r="AR10" s="39"/>
      <c r="AU10" s="53"/>
      <c r="AV10" s="39"/>
      <c r="AW10" s="39" t="s">
        <v>2271</v>
      </c>
      <c r="AX10" s="39">
        <v>9</v>
      </c>
      <c r="AY10" s="53"/>
      <c r="AZ10" s="39"/>
      <c r="BA10" s="39"/>
    </row>
    <row r="11" spans="1:53" ht="14.5">
      <c r="A11" s="39"/>
      <c r="B11" s="39"/>
      <c r="C11" s="53"/>
      <c r="D11" s="39"/>
      <c r="E11" s="39"/>
      <c r="F11" s="39"/>
      <c r="G11" s="53"/>
      <c r="H11" s="39"/>
      <c r="I11" s="113" t="s">
        <v>2283</v>
      </c>
      <c r="J11" s="84">
        <f>103-J7-J8-J9</f>
        <v>78</v>
      </c>
      <c r="K11" s="53"/>
      <c r="L11" s="39"/>
      <c r="M11" s="38" t="s">
        <v>107</v>
      </c>
      <c r="N11" s="39">
        <f>COUNTIF('INCLUDED_file edited'!BM:BM,"*unknown*")</f>
        <v>2</v>
      </c>
      <c r="O11" s="53"/>
      <c r="P11" s="39"/>
      <c r="Q11" s="53"/>
      <c r="R11" s="53"/>
      <c r="S11" s="53"/>
      <c r="T11" s="39"/>
      <c r="U11" s="39"/>
      <c r="V11" s="39"/>
      <c r="W11" s="53"/>
      <c r="X11" s="39"/>
      <c r="Y11" s="80"/>
      <c r="Z11" s="39"/>
      <c r="AA11" s="53"/>
      <c r="AB11" s="39"/>
      <c r="AC11" s="39"/>
      <c r="AD11" s="39"/>
      <c r="AE11" s="53"/>
      <c r="AF11" s="39"/>
      <c r="AG11" s="43"/>
      <c r="AH11" s="39"/>
      <c r="AI11" s="53"/>
      <c r="AJ11" s="39"/>
      <c r="AK11" s="39"/>
      <c r="AL11" s="39"/>
      <c r="AM11" s="53"/>
      <c r="AN11" s="39"/>
      <c r="AQ11" s="53"/>
      <c r="AR11" s="39"/>
      <c r="AS11" s="113" t="s">
        <v>2283</v>
      </c>
      <c r="AT11" s="84">
        <f>103-AT7-AT8-AT9</f>
        <v>91</v>
      </c>
      <c r="AU11" s="53"/>
      <c r="AV11" s="39"/>
      <c r="AW11" s="39"/>
      <c r="AX11" s="39"/>
      <c r="AY11" s="53"/>
      <c r="AZ11" s="39"/>
      <c r="BA11" s="39"/>
    </row>
    <row r="12" spans="1:53" ht="14.5">
      <c r="A12" s="39"/>
      <c r="B12" s="39"/>
      <c r="C12" s="53"/>
      <c r="D12" s="39"/>
      <c r="E12" s="39"/>
      <c r="F12" s="39"/>
      <c r="G12" s="53"/>
      <c r="H12" s="39"/>
      <c r="I12" s="40"/>
      <c r="J12" s="39"/>
      <c r="K12" s="53"/>
      <c r="L12" s="39"/>
      <c r="M12" s="39"/>
      <c r="N12" s="39"/>
      <c r="O12" s="53"/>
      <c r="P12" s="39"/>
      <c r="Q12" s="53"/>
      <c r="R12" s="53"/>
      <c r="S12" s="53"/>
      <c r="T12" s="39"/>
      <c r="U12" s="39"/>
      <c r="V12" s="39"/>
      <c r="W12" s="53"/>
      <c r="X12" s="39"/>
      <c r="Y12" s="80"/>
      <c r="Z12" s="39"/>
      <c r="AA12" s="53"/>
      <c r="AB12" s="39"/>
      <c r="AC12" s="113" t="s">
        <v>2283</v>
      </c>
      <c r="AD12" s="84">
        <f>103-AD8-AD9-AD10</f>
        <v>36</v>
      </c>
      <c r="AE12" s="53"/>
      <c r="AF12" s="39"/>
      <c r="AG12" s="38"/>
      <c r="AH12" s="39"/>
      <c r="AI12" s="53"/>
      <c r="AJ12" s="39"/>
      <c r="AK12" s="113" t="s">
        <v>2283</v>
      </c>
      <c r="AL12" s="84">
        <f>103-AL8-AL9-AL10-AL7</f>
        <v>29</v>
      </c>
      <c r="AM12" s="53"/>
      <c r="AN12" s="39"/>
      <c r="AO12" s="113" t="s">
        <v>2283</v>
      </c>
      <c r="AP12" s="84">
        <f>103-AP9-AP10</f>
        <v>93</v>
      </c>
      <c r="AQ12" s="53"/>
      <c r="AR12" s="39"/>
      <c r="AU12" s="53"/>
      <c r="AV12" s="39"/>
      <c r="AW12" s="112" t="s">
        <v>2283</v>
      </c>
      <c r="AX12" s="84">
        <f>103-AX8-AX9-AX10</f>
        <v>69</v>
      </c>
      <c r="AY12" s="53"/>
      <c r="AZ12" s="39"/>
      <c r="BA12" s="39"/>
    </row>
    <row r="13" spans="1:53" ht="14.5">
      <c r="A13" s="39"/>
      <c r="B13" s="39"/>
      <c r="C13" s="53"/>
      <c r="D13" s="39"/>
      <c r="E13" s="39"/>
      <c r="F13" s="39"/>
      <c r="G13" s="53"/>
      <c r="H13" s="39"/>
      <c r="I13" s="40"/>
      <c r="J13" s="39"/>
      <c r="K13" s="53"/>
      <c r="L13" s="39"/>
      <c r="M13" s="112" t="s">
        <v>2283</v>
      </c>
      <c r="N13" s="84">
        <f>103-N10-N11</f>
        <v>100</v>
      </c>
      <c r="O13" s="53"/>
      <c r="P13" s="39"/>
      <c r="Q13" s="53"/>
      <c r="R13" s="53"/>
      <c r="S13" s="53"/>
      <c r="T13" s="39"/>
      <c r="U13" s="39"/>
      <c r="V13" s="39"/>
      <c r="W13" s="53"/>
      <c r="X13" s="39"/>
      <c r="Y13" s="80"/>
      <c r="Z13" s="39"/>
      <c r="AA13" s="53"/>
      <c r="AB13" s="39"/>
      <c r="AE13" s="53"/>
      <c r="AF13" s="39"/>
      <c r="AG13" s="38"/>
      <c r="AH13" s="39"/>
      <c r="AI13" s="53"/>
      <c r="AJ13" s="39"/>
      <c r="AM13" s="53"/>
      <c r="AN13" s="39"/>
      <c r="AQ13" s="53"/>
      <c r="AR13" s="39"/>
      <c r="AS13" s="39"/>
      <c r="AT13" s="39"/>
      <c r="AU13" s="53"/>
      <c r="AV13" s="39"/>
      <c r="AW13" s="43"/>
      <c r="AX13" s="39"/>
      <c r="AY13" s="53"/>
      <c r="AZ13" s="39"/>
      <c r="BA13" s="39"/>
    </row>
    <row r="14" spans="1:53" ht="14.5">
      <c r="A14" s="39"/>
      <c r="B14" s="39"/>
      <c r="C14" s="53"/>
      <c r="D14" s="39"/>
      <c r="E14" s="39"/>
      <c r="F14" s="39"/>
      <c r="G14" s="53"/>
      <c r="H14" s="39"/>
      <c r="I14" s="40"/>
      <c r="J14" s="39"/>
      <c r="K14" s="53"/>
      <c r="L14" s="39"/>
      <c r="O14" s="53"/>
      <c r="P14" s="39"/>
      <c r="Q14" s="53"/>
      <c r="R14" s="53"/>
      <c r="S14" s="53"/>
      <c r="T14" s="39"/>
      <c r="U14" s="39"/>
      <c r="V14" s="39"/>
      <c r="W14" s="53"/>
      <c r="X14" s="39"/>
      <c r="Y14" s="80"/>
      <c r="Z14" s="39"/>
      <c r="AA14" s="53"/>
      <c r="AB14" s="39"/>
      <c r="AE14" s="53"/>
      <c r="AF14" s="39"/>
      <c r="AG14" s="39"/>
      <c r="AH14" s="39"/>
      <c r="AI14" s="53"/>
      <c r="AJ14" s="39"/>
      <c r="AM14" s="53"/>
      <c r="AN14" s="39"/>
      <c r="AQ14" s="53"/>
      <c r="AR14" s="39"/>
      <c r="AS14" s="39"/>
      <c r="AT14" s="39"/>
      <c r="AU14" s="53"/>
      <c r="AV14" s="39"/>
      <c r="AW14" s="38"/>
      <c r="AX14" s="39"/>
      <c r="AY14" s="53"/>
      <c r="AZ14" s="39"/>
      <c r="BA14" s="39"/>
    </row>
    <row r="15" spans="1:53">
      <c r="A15" s="39"/>
      <c r="B15" s="39"/>
      <c r="C15" s="53"/>
      <c r="D15" s="39"/>
      <c r="E15" s="39"/>
      <c r="F15" s="39"/>
      <c r="G15" s="53"/>
      <c r="H15" s="39"/>
      <c r="I15" s="40"/>
      <c r="J15" s="39"/>
      <c r="K15" s="53"/>
      <c r="L15" s="39"/>
      <c r="M15" s="38"/>
      <c r="N15" s="39"/>
      <c r="O15" s="53"/>
      <c r="P15" s="39"/>
      <c r="Q15" s="53"/>
      <c r="R15" s="53"/>
      <c r="S15" s="53"/>
      <c r="T15" s="39"/>
      <c r="U15" s="39"/>
      <c r="V15" s="39"/>
      <c r="W15" s="53"/>
      <c r="X15" s="39"/>
      <c r="Y15" s="39"/>
      <c r="Z15" s="39"/>
      <c r="AA15" s="53"/>
      <c r="AB15" s="39"/>
      <c r="AE15" s="53"/>
      <c r="AF15" s="39"/>
      <c r="AG15" s="81"/>
      <c r="AH15" s="39"/>
      <c r="AI15" s="53"/>
      <c r="AJ15" s="39"/>
      <c r="AM15" s="53"/>
      <c r="AN15" s="39"/>
      <c r="AO15" s="39"/>
      <c r="AP15" s="39"/>
      <c r="AQ15" s="53"/>
      <c r="AR15" s="39"/>
      <c r="AS15" s="39"/>
      <c r="AT15" s="39"/>
      <c r="AU15" s="53"/>
      <c r="AV15" s="39"/>
      <c r="AW15" s="38"/>
      <c r="AX15" s="39"/>
      <c r="AY15" s="53"/>
      <c r="AZ15" s="39"/>
      <c r="BA15" s="39"/>
    </row>
    <row r="16" spans="1:53" ht="14.5">
      <c r="A16" s="39"/>
      <c r="B16" s="39"/>
      <c r="C16" s="53"/>
      <c r="D16" s="39"/>
      <c r="E16" s="39"/>
      <c r="F16" s="39"/>
      <c r="G16" s="53"/>
      <c r="H16" s="39"/>
      <c r="I16" s="40"/>
      <c r="J16" s="39"/>
      <c r="K16" s="53"/>
      <c r="L16" s="39"/>
      <c r="P16" s="39"/>
      <c r="Q16" s="53"/>
      <c r="R16" s="53"/>
      <c r="S16" s="53"/>
      <c r="T16" s="39"/>
      <c r="U16" s="39"/>
      <c r="V16" s="39"/>
      <c r="W16" s="53"/>
      <c r="X16" s="39"/>
      <c r="Y16" s="80"/>
      <c r="Z16" s="39"/>
      <c r="AA16" s="53"/>
      <c r="AB16" s="39"/>
      <c r="AE16" s="53"/>
      <c r="AF16" s="39"/>
      <c r="AG16" s="81"/>
      <c r="AH16" s="39"/>
      <c r="AI16" s="53"/>
      <c r="AJ16" s="39"/>
      <c r="AM16" s="53"/>
      <c r="AN16" s="39"/>
      <c r="AO16" s="39"/>
      <c r="AP16" s="39"/>
      <c r="AQ16" s="53"/>
      <c r="AR16" s="39"/>
      <c r="AS16" s="39"/>
      <c r="AT16" s="39"/>
      <c r="AU16" s="53"/>
      <c r="AV16" s="39"/>
      <c r="AW16" s="45"/>
      <c r="AX16" s="39"/>
      <c r="AY16" s="53"/>
      <c r="AZ16" s="39"/>
      <c r="BA16" s="39"/>
    </row>
    <row r="17" spans="1:53">
      <c r="A17" s="39"/>
      <c r="B17" s="39"/>
      <c r="C17" s="53"/>
      <c r="D17" s="39"/>
      <c r="E17" s="39"/>
      <c r="F17" s="39"/>
      <c r="G17" s="53"/>
      <c r="H17" s="39"/>
      <c r="I17" s="40"/>
      <c r="J17" s="39"/>
      <c r="K17" s="53"/>
      <c r="L17" s="39"/>
      <c r="O17" s="53"/>
      <c r="P17" s="39"/>
      <c r="Q17" s="53"/>
      <c r="R17" s="53"/>
      <c r="S17" s="53"/>
      <c r="T17" s="39"/>
      <c r="U17" s="39"/>
      <c r="V17" s="39"/>
      <c r="W17" s="53"/>
      <c r="X17" s="39"/>
      <c r="Y17" s="39"/>
      <c r="Z17" s="39"/>
      <c r="AA17" s="53"/>
      <c r="AB17" s="39"/>
      <c r="AC17" s="39"/>
      <c r="AD17" s="39"/>
      <c r="AE17" s="53"/>
      <c r="AF17" s="39"/>
      <c r="AG17" s="38"/>
      <c r="AH17" s="39"/>
      <c r="AI17" s="53"/>
      <c r="AJ17" s="39"/>
      <c r="AM17" s="53"/>
      <c r="AN17" s="39"/>
      <c r="AO17" s="39"/>
      <c r="AP17" s="39"/>
      <c r="AQ17" s="53"/>
      <c r="AR17" s="39"/>
      <c r="AS17" s="39"/>
      <c r="AT17" s="39"/>
      <c r="AU17" s="53"/>
      <c r="AV17" s="39"/>
      <c r="AW17" s="39"/>
      <c r="AX17" s="39"/>
      <c r="AY17" s="53"/>
      <c r="AZ17" s="39"/>
      <c r="BA17" s="39"/>
    </row>
    <row r="18" spans="1:53">
      <c r="A18" s="39"/>
      <c r="B18" s="39"/>
      <c r="C18" s="53"/>
      <c r="D18" s="39"/>
      <c r="E18" s="39"/>
      <c r="F18" s="39"/>
      <c r="G18" s="53"/>
      <c r="H18" s="39"/>
      <c r="I18" s="40"/>
      <c r="J18" s="39"/>
      <c r="K18" s="53"/>
      <c r="L18" s="39"/>
      <c r="O18" s="53"/>
      <c r="P18" s="39"/>
      <c r="Q18" s="53"/>
      <c r="R18" s="53"/>
      <c r="S18" s="53"/>
      <c r="T18" s="39"/>
      <c r="U18" s="39"/>
      <c r="V18" s="39"/>
      <c r="W18" s="53"/>
      <c r="X18" s="39"/>
      <c r="Y18" s="39"/>
      <c r="Z18" s="39"/>
      <c r="AA18" s="53"/>
      <c r="AB18" s="39"/>
      <c r="AC18" s="39"/>
      <c r="AD18" s="39"/>
      <c r="AE18" s="53"/>
      <c r="AF18" s="39"/>
      <c r="AG18" s="39"/>
      <c r="AH18" s="39"/>
      <c r="AI18" s="53"/>
      <c r="AJ18" s="39"/>
      <c r="AK18" s="39"/>
      <c r="AL18" s="39"/>
      <c r="AM18" s="53"/>
      <c r="AN18" s="39"/>
      <c r="AO18" s="39"/>
      <c r="AP18" s="39"/>
      <c r="AQ18" s="53"/>
      <c r="AR18" s="39"/>
      <c r="AS18" s="39"/>
      <c r="AT18" s="39"/>
      <c r="AU18" s="53"/>
      <c r="AV18" s="39"/>
      <c r="AW18" s="39"/>
      <c r="AX18" s="39"/>
      <c r="AY18" s="53"/>
      <c r="AZ18" s="39"/>
      <c r="BA18" s="39"/>
    </row>
    <row r="19" spans="1:53">
      <c r="A19" s="39"/>
      <c r="B19" s="39"/>
      <c r="C19" s="53"/>
      <c r="D19" s="39"/>
      <c r="E19" s="39"/>
      <c r="F19" s="39"/>
      <c r="G19" s="53"/>
      <c r="H19" s="39"/>
      <c r="K19" s="53"/>
      <c r="L19" s="39"/>
      <c r="O19" s="53"/>
      <c r="P19" s="39"/>
      <c r="Q19" s="53"/>
      <c r="R19" s="53"/>
      <c r="S19" s="53"/>
      <c r="T19" s="39"/>
      <c r="U19" s="39"/>
      <c r="V19" s="39"/>
      <c r="W19" s="53"/>
      <c r="X19" s="39"/>
      <c r="AA19" s="53"/>
      <c r="AB19" s="39"/>
      <c r="AC19" s="39"/>
      <c r="AD19" s="39"/>
      <c r="AE19" s="53"/>
      <c r="AF19" s="39"/>
      <c r="AG19" s="39"/>
      <c r="AH19" s="39"/>
      <c r="AI19" s="53"/>
      <c r="AJ19" s="39"/>
      <c r="AK19" s="39"/>
      <c r="AL19" s="39"/>
      <c r="AM19" s="53"/>
      <c r="AN19" s="39"/>
      <c r="AQ19" s="53"/>
      <c r="AR19" s="39"/>
      <c r="AS19" s="39"/>
      <c r="AT19" s="39"/>
      <c r="AU19" s="53"/>
      <c r="AV19" s="39"/>
      <c r="AW19" s="39"/>
      <c r="AX19" s="39"/>
      <c r="AY19" s="53"/>
      <c r="AZ19" s="39"/>
      <c r="BA19" s="39"/>
    </row>
    <row r="20" spans="1:53">
      <c r="A20" s="39"/>
      <c r="B20" s="39"/>
      <c r="C20" s="53"/>
      <c r="D20" s="39"/>
      <c r="E20" s="39"/>
      <c r="F20" s="39"/>
      <c r="G20" s="53"/>
      <c r="H20" s="39"/>
      <c r="K20" s="53"/>
      <c r="L20" s="39"/>
      <c r="O20" s="53"/>
      <c r="P20" s="39"/>
      <c r="Q20" s="53"/>
      <c r="R20" s="53"/>
      <c r="S20" s="53"/>
      <c r="T20" s="39"/>
      <c r="U20" s="39"/>
      <c r="V20" s="39"/>
      <c r="W20" s="53"/>
      <c r="X20" s="39"/>
      <c r="AA20" s="53"/>
      <c r="AB20" s="39"/>
    </row>
    <row r="21" spans="1:53">
      <c r="A21" s="39"/>
      <c r="B21" s="39"/>
      <c r="C21" s="53"/>
      <c r="D21" s="39"/>
      <c r="E21" s="39"/>
      <c r="F21" s="39"/>
      <c r="G21" s="53"/>
      <c r="H21" s="39"/>
      <c r="K21" s="53"/>
      <c r="L21" s="39"/>
      <c r="O21" s="53"/>
      <c r="P21" s="39"/>
      <c r="Q21" s="53"/>
      <c r="R21" s="53"/>
      <c r="S21" s="53"/>
      <c r="T21" s="39"/>
      <c r="U21" s="39"/>
      <c r="V21" s="39"/>
      <c r="W21" s="53"/>
      <c r="X21" s="39"/>
      <c r="Y21" s="39"/>
      <c r="Z21" s="39"/>
      <c r="AA21" s="53"/>
      <c r="AB21" s="39"/>
    </row>
    <row r="22" spans="1:53">
      <c r="A22" s="39"/>
      <c r="B22" s="39"/>
      <c r="C22" s="53"/>
      <c r="D22" s="39"/>
      <c r="E22" s="39"/>
      <c r="F22" s="39"/>
      <c r="G22" s="53"/>
      <c r="H22" s="39"/>
      <c r="K22" s="53"/>
      <c r="L22" s="39"/>
      <c r="M22" s="39"/>
      <c r="N22" s="39"/>
      <c r="O22" s="53"/>
      <c r="P22" s="39"/>
      <c r="Q22" s="53"/>
      <c r="R22" s="53"/>
      <c r="S22" s="53"/>
      <c r="T22" s="39"/>
      <c r="U22" s="39"/>
      <c r="V22" s="39"/>
      <c r="W22" s="53"/>
      <c r="X22" s="39"/>
      <c r="AA22" s="53"/>
      <c r="AB22" s="39"/>
    </row>
    <row r="23" spans="1:53">
      <c r="A23" s="39"/>
      <c r="B23" s="39"/>
      <c r="C23" s="53"/>
      <c r="D23" s="39"/>
      <c r="E23" s="39"/>
      <c r="F23" s="39"/>
      <c r="G23" s="53"/>
      <c r="H23" s="39"/>
      <c r="I23" s="39"/>
      <c r="J23" s="39"/>
      <c r="K23" s="53"/>
      <c r="L23" s="39"/>
      <c r="M23" s="39"/>
      <c r="N23" s="39"/>
      <c r="O23" s="53"/>
      <c r="P23" s="39"/>
      <c r="Q23" s="53"/>
      <c r="R23" s="53"/>
      <c r="S23" s="53"/>
      <c r="T23" s="39"/>
      <c r="U23" s="39"/>
      <c r="V23" s="39"/>
      <c r="W23" s="53"/>
      <c r="X23" s="39"/>
      <c r="Y23" s="39"/>
      <c r="Z23" s="39"/>
      <c r="AA23" s="53"/>
      <c r="AB23" s="39"/>
    </row>
    <row r="24" spans="1:53">
      <c r="A24" s="39"/>
      <c r="B24" s="39"/>
      <c r="C24" s="53"/>
      <c r="D24" s="39"/>
      <c r="E24" s="39"/>
      <c r="F24" s="39"/>
      <c r="G24" s="53"/>
      <c r="H24" s="39"/>
      <c r="I24" s="39"/>
      <c r="J24" s="39"/>
      <c r="K24" s="53"/>
      <c r="L24" s="39"/>
      <c r="M24" s="39"/>
      <c r="N24" s="39"/>
      <c r="O24" s="53"/>
      <c r="P24" s="39"/>
      <c r="Q24" s="53"/>
      <c r="R24" s="53"/>
      <c r="S24" s="53"/>
      <c r="T24" s="39"/>
      <c r="U24" s="39"/>
      <c r="V24" s="39"/>
      <c r="W24" s="53"/>
      <c r="X24" s="39"/>
      <c r="Y24" s="39"/>
      <c r="Z24" s="39"/>
      <c r="AA24" s="53"/>
      <c r="AB24" s="39"/>
    </row>
    <row r="25" spans="1:53">
      <c r="A25" s="39"/>
      <c r="B25" s="39"/>
      <c r="C25" s="53"/>
      <c r="D25" s="39"/>
      <c r="E25" s="39"/>
      <c r="F25" s="39"/>
      <c r="G25" s="53"/>
      <c r="H25" s="39"/>
      <c r="I25" s="39"/>
      <c r="J25" s="39"/>
      <c r="K25" s="53"/>
      <c r="L25" s="39"/>
      <c r="M25" s="39"/>
      <c r="N25" s="39"/>
      <c r="O25" s="53"/>
      <c r="P25" s="39"/>
      <c r="Q25" s="53"/>
      <c r="R25" s="53"/>
      <c r="S25" s="53"/>
      <c r="T25" s="39"/>
      <c r="U25" s="39"/>
      <c r="V25" s="39"/>
      <c r="W25" s="53"/>
      <c r="X25" s="39"/>
      <c r="Y25" s="39"/>
      <c r="Z25" s="39"/>
      <c r="AA25" s="53"/>
      <c r="AB25" s="39"/>
    </row>
    <row r="26" spans="1:53">
      <c r="A26" s="39"/>
      <c r="B26" s="39"/>
      <c r="C26" s="53"/>
      <c r="D26" s="39"/>
      <c r="E26" s="39"/>
      <c r="F26" s="39"/>
      <c r="G26" s="53"/>
      <c r="H26" s="39"/>
      <c r="I26" s="40"/>
      <c r="J26" s="39"/>
      <c r="K26" s="53"/>
      <c r="L26" s="39"/>
      <c r="M26" s="39"/>
      <c r="N26" s="39"/>
      <c r="O26" s="53"/>
      <c r="P26" s="39"/>
      <c r="Q26" s="53"/>
      <c r="R26" s="53"/>
      <c r="S26" s="53"/>
      <c r="T26" s="39"/>
      <c r="U26" s="39"/>
      <c r="V26" s="39"/>
      <c r="W26" s="53"/>
      <c r="X26" s="39"/>
      <c r="Y26" s="39"/>
      <c r="Z26" s="39"/>
      <c r="AA26" s="53"/>
      <c r="AB26" s="39"/>
    </row>
    <row r="27" spans="1:53">
      <c r="A27" s="39"/>
      <c r="B27" s="39"/>
      <c r="C27" s="53"/>
      <c r="D27" s="39"/>
      <c r="E27" s="39"/>
      <c r="F27" s="39"/>
      <c r="G27" s="53"/>
      <c r="H27" s="39"/>
      <c r="I27" s="40"/>
      <c r="J27" s="39"/>
      <c r="K27" s="53"/>
      <c r="L27" s="39"/>
      <c r="M27" s="39"/>
      <c r="N27" s="39"/>
      <c r="O27" s="53"/>
      <c r="P27" s="39"/>
      <c r="Q27" s="53"/>
      <c r="R27" s="53"/>
      <c r="S27" s="53"/>
      <c r="T27" s="39"/>
      <c r="U27" s="39"/>
      <c r="V27" s="39"/>
      <c r="W27" s="53"/>
      <c r="X27" s="39"/>
      <c r="Y27" s="39"/>
      <c r="Z27" s="39"/>
      <c r="AA27" s="53"/>
      <c r="AB27" s="39"/>
    </row>
    <row r="28" spans="1:53">
      <c r="A28" s="39"/>
      <c r="B28" s="39"/>
      <c r="C28" s="53"/>
      <c r="D28" s="39"/>
      <c r="E28" s="39"/>
      <c r="F28" s="39"/>
      <c r="G28" s="53"/>
      <c r="H28" s="39"/>
      <c r="I28" s="39"/>
      <c r="J28" s="39"/>
      <c r="K28" s="53"/>
      <c r="L28" s="39"/>
      <c r="M28" s="39"/>
      <c r="N28" s="39"/>
      <c r="O28" s="53"/>
      <c r="P28" s="39"/>
      <c r="Q28" s="53"/>
      <c r="R28" s="53"/>
      <c r="S28" s="53"/>
      <c r="T28" s="39"/>
      <c r="U28" s="39"/>
      <c r="V28" s="39"/>
      <c r="W28" s="53"/>
      <c r="X28" s="39"/>
      <c r="Y28" s="39"/>
      <c r="Z28" s="39"/>
      <c r="AA28" s="53"/>
      <c r="AB28" s="39"/>
    </row>
    <row r="29" spans="1:53">
      <c r="A29" s="39"/>
      <c r="B29" s="39"/>
      <c r="C29" s="53"/>
      <c r="D29" s="39"/>
      <c r="E29" s="39"/>
      <c r="F29" s="39"/>
      <c r="G29" s="53"/>
      <c r="H29" s="39"/>
      <c r="I29" s="39"/>
      <c r="J29" s="39"/>
      <c r="K29" s="53"/>
      <c r="L29" s="39"/>
      <c r="M29" s="39"/>
      <c r="N29" s="39"/>
      <c r="O29" s="53"/>
      <c r="P29" s="39"/>
      <c r="Q29" s="53"/>
      <c r="R29" s="53"/>
      <c r="S29" s="53"/>
      <c r="T29" s="39"/>
      <c r="U29" s="39"/>
      <c r="V29" s="39"/>
      <c r="W29" s="53"/>
      <c r="X29" s="39"/>
      <c r="Y29" s="39"/>
      <c r="Z29" s="39"/>
      <c r="AA29" s="53"/>
      <c r="AB29" s="39"/>
    </row>
    <row r="30" spans="1:53">
      <c r="A30" s="39"/>
      <c r="B30" s="39"/>
      <c r="C30" s="53"/>
      <c r="D30" s="39"/>
      <c r="E30" s="39"/>
      <c r="F30" s="39"/>
      <c r="G30" s="53"/>
      <c r="H30" s="39"/>
      <c r="I30" s="39"/>
      <c r="J30" s="39"/>
      <c r="K30" s="53"/>
      <c r="L30" s="39"/>
      <c r="M30" s="39"/>
      <c r="N30" s="39"/>
      <c r="O30" s="53"/>
      <c r="P30" s="39"/>
      <c r="Q30" s="53"/>
      <c r="R30" s="53"/>
      <c r="S30" s="53"/>
      <c r="T30" s="39"/>
      <c r="U30" s="39"/>
      <c r="V30" s="39"/>
      <c r="W30" s="53"/>
      <c r="X30" s="39"/>
      <c r="Y30" s="39"/>
      <c r="Z30" s="39"/>
      <c r="AA30" s="53"/>
      <c r="AB30" s="39"/>
    </row>
    <row r="31" spans="1:53">
      <c r="A31" s="39"/>
      <c r="B31" s="39"/>
      <c r="C31" s="53"/>
      <c r="D31" s="39"/>
      <c r="E31" s="39"/>
      <c r="F31" s="39"/>
      <c r="G31" s="53"/>
      <c r="H31" s="39"/>
      <c r="I31" s="39"/>
      <c r="J31" s="39"/>
      <c r="K31" s="53"/>
      <c r="L31" s="39"/>
      <c r="M31" s="39"/>
      <c r="N31" s="39"/>
      <c r="O31" s="53"/>
      <c r="P31" s="39"/>
      <c r="Q31" s="53"/>
      <c r="R31" s="53"/>
      <c r="S31" s="53"/>
      <c r="T31" s="39"/>
      <c r="U31" s="39"/>
      <c r="V31" s="39"/>
      <c r="W31" s="53"/>
      <c r="X31" s="39"/>
      <c r="Y31" s="39"/>
      <c r="Z31" s="39"/>
      <c r="AA31" s="53"/>
      <c r="AB31" s="39"/>
    </row>
    <row r="32" spans="1:53">
      <c r="A32" s="39"/>
      <c r="B32" s="39"/>
      <c r="C32" s="53"/>
      <c r="D32" s="39"/>
      <c r="E32" s="39"/>
      <c r="F32" s="39"/>
      <c r="G32" s="53"/>
      <c r="H32" s="39"/>
      <c r="I32" s="39"/>
      <c r="J32" s="39"/>
      <c r="K32" s="53"/>
      <c r="L32" s="39"/>
      <c r="M32" s="39"/>
      <c r="N32" s="39"/>
      <c r="O32" s="53"/>
      <c r="P32" s="39"/>
      <c r="Q32" s="53"/>
      <c r="R32" s="53"/>
      <c r="S32" s="53"/>
      <c r="T32" s="39"/>
      <c r="U32" s="39"/>
      <c r="V32" s="39"/>
      <c r="W32" s="53"/>
      <c r="X32" s="39"/>
      <c r="Y32" s="39"/>
      <c r="Z32" s="39"/>
      <c r="AA32" s="53"/>
      <c r="AB32" s="3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9C8C7-CB51-4661-80F5-9767D5E2FD6E}">
  <dimension ref="A1:AA18"/>
  <sheetViews>
    <sheetView tabSelected="1" topLeftCell="H1" workbookViewId="0">
      <selection activeCell="M19" sqref="M19"/>
    </sheetView>
  </sheetViews>
  <sheetFormatPr defaultRowHeight="12.5"/>
  <sheetData>
    <row r="1" spans="1:27" ht="13">
      <c r="A1" s="92" t="s">
        <v>57</v>
      </c>
      <c r="B1" s="93"/>
      <c r="C1" s="94" t="s">
        <v>2273</v>
      </c>
      <c r="D1" s="95"/>
      <c r="E1" s="93" t="s">
        <v>2331</v>
      </c>
      <c r="F1" s="93"/>
      <c r="G1" s="94" t="s">
        <v>2273</v>
      </c>
      <c r="H1" s="95"/>
      <c r="I1" s="93" t="s">
        <v>2332</v>
      </c>
      <c r="J1" s="93"/>
      <c r="K1" s="94" t="s">
        <v>2273</v>
      </c>
      <c r="L1" s="95"/>
      <c r="M1" s="93" t="s">
        <v>60</v>
      </c>
      <c r="N1" s="95"/>
      <c r="O1" s="94" t="s">
        <v>2273</v>
      </c>
      <c r="P1" s="96"/>
      <c r="Q1" s="93" t="s">
        <v>2342</v>
      </c>
      <c r="R1" s="95"/>
      <c r="S1" s="94" t="s">
        <v>2273</v>
      </c>
      <c r="T1" s="95"/>
      <c r="U1" s="93" t="s">
        <v>2343</v>
      </c>
      <c r="V1" s="95"/>
      <c r="W1" s="97"/>
      <c r="X1" s="95"/>
      <c r="Y1" s="93" t="s">
        <v>2344</v>
      </c>
      <c r="Z1" s="95"/>
      <c r="AA1" s="97"/>
    </row>
    <row r="2" spans="1:27">
      <c r="A2" s="86">
        <v>0</v>
      </c>
      <c r="B2" s="39">
        <f>COUNTIF('INCLUDED_file edited'!CH:CH,0)</f>
        <v>5</v>
      </c>
      <c r="C2" s="53">
        <f>B2/17</f>
        <v>0.29411764705882354</v>
      </c>
      <c r="D2" s="39"/>
      <c r="E2" s="87" t="s">
        <v>171</v>
      </c>
      <c r="F2" s="39">
        <f>COUNTIF('INCLUDED_file edited'!CI:CI,"1 - 50")</f>
        <v>16</v>
      </c>
      <c r="G2" s="53">
        <f>F2/67</f>
        <v>0.23880597014925373</v>
      </c>
      <c r="H2" s="39"/>
      <c r="I2" s="87" t="s">
        <v>171</v>
      </c>
      <c r="J2" s="39">
        <f>COUNTIF('INCLUDED_file edited'!CJ:CJ, "1 - 50")</f>
        <v>16</v>
      </c>
      <c r="K2" s="53">
        <f>J2/68</f>
        <v>0.23529411764705882</v>
      </c>
      <c r="L2" s="39"/>
      <c r="M2" s="40" t="s">
        <v>74</v>
      </c>
      <c r="N2" s="39">
        <f>COUNTIF('INCLUDED_file edited'!CK:CK,"Yes")</f>
        <v>21</v>
      </c>
      <c r="O2" s="53">
        <f>N2/63</f>
        <v>0.33333333333333331</v>
      </c>
      <c r="Q2" s="90">
        <v>0</v>
      </c>
      <c r="R2" s="39">
        <f>COUNTIF('INCLUDED_file edited'!CL:CL, "0")</f>
        <v>22</v>
      </c>
      <c r="S2" s="53">
        <f>R2/62</f>
        <v>0.35483870967741937</v>
      </c>
      <c r="T2" s="39"/>
      <c r="U2" s="39" t="s">
        <v>213</v>
      </c>
      <c r="V2" s="39">
        <f>COUNTIF('INCLUDED_file edited'!CO:CO,"*Scientific peer*")</f>
        <v>31</v>
      </c>
      <c r="W2" s="53">
        <f>V2/37</f>
        <v>0.83783783783783783</v>
      </c>
      <c r="X2" s="39"/>
      <c r="Y2" s="39" t="s">
        <v>551</v>
      </c>
      <c r="Z2" s="39">
        <f>COUNTIF('INCLUDED_file edited'!CP:CP,"*Engagement*")</f>
        <v>12</v>
      </c>
      <c r="AA2" s="53">
        <f>Z2/51</f>
        <v>0.23529411764705882</v>
      </c>
    </row>
    <row r="3" spans="1:27" ht="13">
      <c r="A3" s="87" t="s">
        <v>775</v>
      </c>
      <c r="B3" s="39">
        <f>COUNTIF('INCLUDED_file edited'!CH:CH,"1-5%")</f>
        <v>1</v>
      </c>
      <c r="C3" s="53">
        <f t="shared" ref="C3:C7" si="0">B3/17</f>
        <v>5.8823529411764705E-2</v>
      </c>
      <c r="D3" s="75"/>
      <c r="E3" s="87" t="s">
        <v>172</v>
      </c>
      <c r="F3" s="39">
        <f>COUNTIF('INCLUDED_file edited'!CI:CI,"51 - 100")</f>
        <v>9</v>
      </c>
      <c r="G3" s="53">
        <f t="shared" ref="G3:G9" si="1">F3/67</f>
        <v>0.13432835820895522</v>
      </c>
      <c r="H3" s="39"/>
      <c r="I3" s="87" t="s">
        <v>172</v>
      </c>
      <c r="J3" s="39">
        <v>5</v>
      </c>
      <c r="K3" s="53">
        <f t="shared" ref="K3:K13" si="2">J3/68</f>
        <v>7.3529411764705885E-2</v>
      </c>
      <c r="L3" s="39"/>
      <c r="M3" s="40" t="s">
        <v>83</v>
      </c>
      <c r="N3" s="39">
        <f>COUNTIF('INCLUDED_file edited'!CK:CK,"No")</f>
        <v>42</v>
      </c>
      <c r="O3" s="53">
        <f>N3/63</f>
        <v>0.66666666666666663</v>
      </c>
      <c r="Q3" s="89" t="s">
        <v>141</v>
      </c>
      <c r="R3" s="39">
        <f>COUNTIF('INCLUDED_file edited'!CL:CL, "1 - 5")</f>
        <v>22</v>
      </c>
      <c r="S3" s="53">
        <f t="shared" ref="S3:S7" si="3">R3/62</f>
        <v>0.35483870967741937</v>
      </c>
      <c r="T3" s="39"/>
      <c r="U3" s="39" t="s">
        <v>572</v>
      </c>
      <c r="V3" s="39">
        <f>COUNTIF('INCLUDED_file edited'!CO:CO,"*Science comm*")</f>
        <v>29</v>
      </c>
      <c r="W3" s="53">
        <f t="shared" ref="W3:W5" si="4">V3/37</f>
        <v>0.78378378378378377</v>
      </c>
      <c r="X3" s="39"/>
      <c r="Y3" s="39" t="s">
        <v>587</v>
      </c>
      <c r="Z3" s="39">
        <f>COUNTIF('INCLUDED_file edited'!CP:CP,"*Descriptive*")</f>
        <v>22</v>
      </c>
      <c r="AA3" s="53">
        <f t="shared" ref="AA3:AA5" si="5">Z3/51</f>
        <v>0.43137254901960786</v>
      </c>
    </row>
    <row r="4" spans="1:27">
      <c r="A4" s="87" t="s">
        <v>170</v>
      </c>
      <c r="B4" s="39">
        <f>COUNTIF('INCLUDED_file edited'!CH:CH,"6-10%")</f>
        <v>1</v>
      </c>
      <c r="C4" s="53">
        <f t="shared" si="0"/>
        <v>5.8823529411764705E-2</v>
      </c>
      <c r="D4" s="39"/>
      <c r="E4" s="87" t="s">
        <v>139</v>
      </c>
      <c r="F4" s="39">
        <f>COUNTIF('INCLUDED_file edited'!CI:CI,"101 - 500")</f>
        <v>17</v>
      </c>
      <c r="G4" s="53">
        <f t="shared" si="1"/>
        <v>0.2537313432835821</v>
      </c>
      <c r="H4" s="39"/>
      <c r="I4" s="87" t="s">
        <v>139</v>
      </c>
      <c r="J4" s="39">
        <f>COUNTIF('INCLUDED_file edited'!CJ:CJ, "101 - 500")</f>
        <v>13</v>
      </c>
      <c r="K4" s="53">
        <f t="shared" si="2"/>
        <v>0.19117647058823528</v>
      </c>
      <c r="L4" s="39"/>
      <c r="M4" s="40" t="s">
        <v>233</v>
      </c>
      <c r="N4" s="39">
        <f>COUNTIF('INCLUDED_file edited'!CK:CK,"Not applicable")</f>
        <v>21</v>
      </c>
      <c r="O4" s="53"/>
      <c r="Q4" s="89" t="s">
        <v>270</v>
      </c>
      <c r="R4" s="39">
        <f>COUNTIF('INCLUDED_file edited'!CL:CL, "6 - 10")</f>
        <v>8</v>
      </c>
      <c r="S4" s="53">
        <f t="shared" si="3"/>
        <v>0.12903225806451613</v>
      </c>
      <c r="T4" s="39"/>
      <c r="U4" s="39" t="s">
        <v>2345</v>
      </c>
      <c r="V4" s="39">
        <f>COUNTIF('INCLUDED_file edited'!CO:CO,"*Scientific not*")</f>
        <v>10</v>
      </c>
      <c r="W4" s="53">
        <f t="shared" si="4"/>
        <v>0.27027027027027029</v>
      </c>
      <c r="X4" s="39"/>
      <c r="Y4" s="39" t="s">
        <v>173</v>
      </c>
      <c r="Z4" s="39">
        <f>COUNTIF('INCLUDED_file edited'!CP:CP,"*Data*")</f>
        <v>24</v>
      </c>
      <c r="AA4" s="53">
        <f t="shared" si="5"/>
        <v>0.47058823529411764</v>
      </c>
    </row>
    <row r="5" spans="1:27">
      <c r="A5" s="88" t="s">
        <v>138</v>
      </c>
      <c r="B5" s="39">
        <f>COUNTIF('INCLUDED_file edited'!CH:CH,"11-25%")</f>
        <v>4</v>
      </c>
      <c r="C5" s="53">
        <f t="shared" si="0"/>
        <v>0.23529411764705882</v>
      </c>
      <c r="D5" s="39"/>
      <c r="E5" s="87" t="s">
        <v>234</v>
      </c>
      <c r="F5" s="39">
        <f>COUNTIF('INCLUDED_file edited'!CI:CI,"501 - 1000")</f>
        <v>6</v>
      </c>
      <c r="G5" s="53">
        <f t="shared" si="1"/>
        <v>8.9552238805970144E-2</v>
      </c>
      <c r="H5" s="39"/>
      <c r="I5" s="87" t="s">
        <v>234</v>
      </c>
      <c r="J5" s="39">
        <f>COUNTIF('INCLUDED_file edited'!CJ:CJ,"501 - 1000")</f>
        <v>6</v>
      </c>
      <c r="K5" s="53">
        <f t="shared" si="2"/>
        <v>8.8235294117647065E-2</v>
      </c>
      <c r="L5" s="39"/>
      <c r="M5" s="40" t="s">
        <v>107</v>
      </c>
      <c r="N5" s="39">
        <f>COUNTIF('INCLUDED_file edited'!CK:CK,"unknown")</f>
        <v>12</v>
      </c>
      <c r="O5" s="53"/>
      <c r="Q5" s="89" t="s">
        <v>316</v>
      </c>
      <c r="R5" s="39">
        <f>COUNTIF('INCLUDED_file edited'!CL:CL, "11  -20")</f>
        <v>6</v>
      </c>
      <c r="S5" s="53">
        <f t="shared" si="3"/>
        <v>9.6774193548387094E-2</v>
      </c>
      <c r="T5" s="39"/>
      <c r="U5" t="s">
        <v>738</v>
      </c>
      <c r="V5" s="39">
        <f>COUNTIF('INCLUDED_file edited'!CO:CO,"*other*")</f>
        <v>4</v>
      </c>
      <c r="W5" s="53">
        <f t="shared" si="4"/>
        <v>0.10810810810810811</v>
      </c>
      <c r="X5" s="39"/>
      <c r="Y5" s="39" t="s">
        <v>282</v>
      </c>
      <c r="Z5" s="39">
        <f>COUNTIF('INCLUDED_file edited'!CP:CP,"*Mixed*")</f>
        <v>18</v>
      </c>
      <c r="AA5" s="53">
        <f t="shared" si="5"/>
        <v>0.35294117647058826</v>
      </c>
    </row>
    <row r="6" spans="1:27">
      <c r="A6" s="89" t="s">
        <v>212</v>
      </c>
      <c r="B6" s="39">
        <f>COUNTIF('INCLUDED_file edited'!CH:CH,"51-75%")</f>
        <v>4</v>
      </c>
      <c r="C6" s="53">
        <f t="shared" si="0"/>
        <v>0.23529411764705882</v>
      </c>
      <c r="D6" s="39"/>
      <c r="E6" s="87" t="s">
        <v>341</v>
      </c>
      <c r="F6" s="39">
        <f>COUNTIF('INCLUDED_file edited'!CI:CI,"1001 - 2000")</f>
        <v>4</v>
      </c>
      <c r="G6" s="53">
        <f t="shared" si="1"/>
        <v>5.9701492537313432E-2</v>
      </c>
      <c r="H6" s="39"/>
      <c r="I6" s="87" t="s">
        <v>341</v>
      </c>
      <c r="J6" s="39">
        <f>COUNTIF('INCLUDED_file edited'!CJ:CJ, "1001 - 2000")</f>
        <v>5</v>
      </c>
      <c r="K6" s="53">
        <f t="shared" si="2"/>
        <v>7.3529411764705885E-2</v>
      </c>
      <c r="L6" s="39"/>
      <c r="M6" s="40" t="s">
        <v>2289</v>
      </c>
      <c r="N6" s="39">
        <v>7</v>
      </c>
      <c r="O6" s="53"/>
      <c r="Q6" s="89" t="s">
        <v>814</v>
      </c>
      <c r="R6" s="39">
        <f>COUNTIF('INCLUDED_file edited'!CL:CL, "21 - 50")</f>
        <v>3</v>
      </c>
      <c r="S6" s="53">
        <f t="shared" si="3"/>
        <v>4.8387096774193547E-2</v>
      </c>
      <c r="T6" s="39"/>
      <c r="U6" t="s">
        <v>2346</v>
      </c>
      <c r="V6" s="39">
        <f>COUNTIF('INCLUDED_file edited'!CO:CO,"*preparation*")</f>
        <v>4</v>
      </c>
      <c r="W6" s="53"/>
      <c r="X6" s="39"/>
      <c r="Y6" s="39" t="s">
        <v>233</v>
      </c>
      <c r="Z6" s="39">
        <f>COUNTIF('INCLUDED_file edited'!CP:CP,"not applicable")</f>
        <v>31</v>
      </c>
      <c r="AA6" s="53"/>
    </row>
    <row r="7" spans="1:27">
      <c r="A7" s="89" t="s">
        <v>463</v>
      </c>
      <c r="B7" s="39">
        <f>COUNTIF('INCLUDED_file edited'!CH:CH,"76-100%")</f>
        <v>1</v>
      </c>
      <c r="C7" s="53">
        <f t="shared" si="0"/>
        <v>5.8823529411764705E-2</v>
      </c>
      <c r="D7" s="39"/>
      <c r="E7" s="87" t="s">
        <v>140</v>
      </c>
      <c r="F7" s="39">
        <f>COUNTIF('INCLUDED_file edited'!CI:CI,"2001 - 5000")</f>
        <v>9</v>
      </c>
      <c r="G7" s="53">
        <f t="shared" si="1"/>
        <v>0.13432835820895522</v>
      </c>
      <c r="H7" s="39"/>
      <c r="I7" s="87" t="s">
        <v>140</v>
      </c>
      <c r="J7" s="39">
        <f>COUNTIF('INCLUDED_file edited'!CJ:CJ,"2001 - 5000")</f>
        <v>6</v>
      </c>
      <c r="K7" s="53">
        <f t="shared" si="2"/>
        <v>8.8235294117647065E-2</v>
      </c>
      <c r="L7" s="39"/>
      <c r="M7" s="40" t="s">
        <v>2229</v>
      </c>
      <c r="N7" s="39">
        <f>SUM(N2:N6)</f>
        <v>103</v>
      </c>
      <c r="O7" s="53"/>
      <c r="Q7" s="89" t="s">
        <v>816</v>
      </c>
      <c r="R7" s="39">
        <v>1</v>
      </c>
      <c r="S7" s="53">
        <f t="shared" si="3"/>
        <v>1.6129032258064516E-2</v>
      </c>
      <c r="T7" s="39"/>
      <c r="U7" s="39" t="s">
        <v>233</v>
      </c>
      <c r="V7" s="39">
        <f>COUNTIF('INCLUDED_file edited'!CO:CO,"*Scientific peer*")</f>
        <v>31</v>
      </c>
      <c r="W7" s="53"/>
      <c r="X7" s="39"/>
      <c r="Y7" s="39" t="s">
        <v>107</v>
      </c>
      <c r="Z7" s="39">
        <f>COUNTIF('INCLUDED_file edited'!CP:CP,"unknown")</f>
        <v>21</v>
      </c>
      <c r="AA7" s="53"/>
    </row>
    <row r="8" spans="1:27">
      <c r="A8" s="40" t="s">
        <v>233</v>
      </c>
      <c r="B8" s="39">
        <f>COUNTIF('INCLUDED_file edited'!CH:CH, "Not applicable")</f>
        <v>51</v>
      </c>
      <c r="C8" s="53"/>
      <c r="D8" s="39"/>
      <c r="E8" s="87" t="s">
        <v>2333</v>
      </c>
      <c r="F8" s="39">
        <f>COUNTIF('INCLUDED_file edited'!CI:CI,"5001 - 10000")</f>
        <v>2</v>
      </c>
      <c r="G8" s="53">
        <f t="shared" si="1"/>
        <v>2.9850746268656716E-2</v>
      </c>
      <c r="H8" s="39"/>
      <c r="I8" s="87" t="s">
        <v>2333</v>
      </c>
      <c r="J8" s="39">
        <f>COUNTIF('INCLUDED_file edited'!CJ:CJ,"5001 - 10000")</f>
        <v>2</v>
      </c>
      <c r="K8" s="53">
        <f t="shared" si="2"/>
        <v>2.9411764705882353E-2</v>
      </c>
      <c r="L8" s="39"/>
      <c r="M8" s="115" t="s">
        <v>2283</v>
      </c>
      <c r="N8" s="95">
        <f>103-N4-N5-N6</f>
        <v>63</v>
      </c>
      <c r="O8" s="53"/>
      <c r="Q8" s="40" t="s">
        <v>107</v>
      </c>
      <c r="R8" s="39">
        <f>COUNTIF('INCLUDED_file edited'!CL:CL, "Unknown")</f>
        <v>28</v>
      </c>
      <c r="S8" s="53"/>
      <c r="T8" s="39"/>
      <c r="U8" s="39" t="s">
        <v>107</v>
      </c>
      <c r="V8" s="39">
        <f>COUNTIF('INCLUDED_file edited'!CO:CO,"*Scientific peer*")</f>
        <v>31</v>
      </c>
      <c r="W8" s="53"/>
      <c r="X8" s="39"/>
      <c r="Y8" s="39"/>
      <c r="Z8" s="39"/>
      <c r="AA8" s="53"/>
    </row>
    <row r="9" spans="1:27">
      <c r="A9" s="38" t="s">
        <v>107</v>
      </c>
      <c r="B9" s="39">
        <f>COUNTIF('INCLUDED_file edited'!CH:CH, "Unknown")</f>
        <v>35</v>
      </c>
      <c r="C9" s="53"/>
      <c r="D9" s="39"/>
      <c r="E9" s="87" t="s">
        <v>2334</v>
      </c>
      <c r="F9" s="39">
        <v>4</v>
      </c>
      <c r="G9" s="53">
        <f t="shared" si="1"/>
        <v>5.9701492537313432E-2</v>
      </c>
      <c r="H9" s="39"/>
      <c r="I9" s="87" t="s">
        <v>2335</v>
      </c>
      <c r="J9" s="39">
        <f>COUNTIF('INCLUDED_file edited'!CJ:CJ,"10001 - 50000")</f>
        <v>9</v>
      </c>
      <c r="K9" s="53">
        <f t="shared" si="2"/>
        <v>0.13235294117647059</v>
      </c>
      <c r="L9" s="39"/>
      <c r="M9" s="39"/>
      <c r="N9" s="39"/>
      <c r="O9" s="53"/>
      <c r="Q9" s="91" t="s">
        <v>2308</v>
      </c>
      <c r="R9" s="39">
        <f>COUNTIF('INCLUDED_file edited'!CL:CL, "Not Applicable")</f>
        <v>13</v>
      </c>
      <c r="S9" s="53"/>
      <c r="T9" s="39"/>
      <c r="U9" s="39"/>
      <c r="V9" s="39"/>
      <c r="W9" s="53"/>
      <c r="X9" s="39"/>
      <c r="Y9" s="115" t="s">
        <v>2283</v>
      </c>
      <c r="Z9" s="95">
        <f>103-Z6-Z7</f>
        <v>51</v>
      </c>
      <c r="AA9" s="53"/>
    </row>
    <row r="10" spans="1:27">
      <c r="A10" s="89" t="s">
        <v>2289</v>
      </c>
      <c r="B10" s="39">
        <v>1</v>
      </c>
      <c r="C10" s="53"/>
      <c r="D10" s="39"/>
      <c r="E10" s="40" t="s">
        <v>108</v>
      </c>
      <c r="F10" s="39">
        <f>COUNTIF('INCLUDED_file edited'!CI:CI,"Info not available")</f>
        <v>24</v>
      </c>
      <c r="G10" s="53"/>
      <c r="H10" s="39"/>
      <c r="I10" s="87" t="s">
        <v>2336</v>
      </c>
      <c r="J10" s="39">
        <f>COUNTIF('INCLUDED_file edited'!CJ:CJ,"50001 - 100000")</f>
        <v>2</v>
      </c>
      <c r="K10" s="53">
        <f t="shared" si="2"/>
        <v>2.9411764705882353E-2</v>
      </c>
      <c r="L10" s="39"/>
      <c r="M10" s="39"/>
      <c r="N10" s="39"/>
      <c r="O10" s="53"/>
      <c r="Q10" s="89" t="s">
        <v>2229</v>
      </c>
      <c r="R10" s="39">
        <f>SUM(R2:R9)</f>
        <v>103</v>
      </c>
      <c r="S10" s="53"/>
      <c r="T10" s="39"/>
      <c r="U10" s="116" t="s">
        <v>2283</v>
      </c>
      <c r="V10" s="95">
        <f>103-V7-V8-V6</f>
        <v>37</v>
      </c>
      <c r="W10" s="53"/>
      <c r="X10" s="39"/>
      <c r="Y10" s="39"/>
      <c r="Z10" s="39"/>
      <c r="AA10" s="53"/>
    </row>
    <row r="11" spans="1:27">
      <c r="A11" s="89" t="s">
        <v>2229</v>
      </c>
      <c r="B11" s="39">
        <f>SUM(B2:B10)</f>
        <v>103</v>
      </c>
      <c r="C11" s="53"/>
      <c r="D11" s="39"/>
      <c r="E11" s="40" t="s">
        <v>2337</v>
      </c>
      <c r="F11" s="39">
        <f>COUNTIF('INCLUDED_file edited'!CI:CI,"Not applicable")</f>
        <v>7</v>
      </c>
      <c r="G11" s="53"/>
      <c r="H11" s="39"/>
      <c r="I11" s="87" t="s">
        <v>2338</v>
      </c>
      <c r="J11" s="39">
        <f>COUNTIF('INCLUDED_file edited'!CJ:CJ,"100001 - 500000")</f>
        <v>2</v>
      </c>
      <c r="K11" s="53">
        <f t="shared" si="2"/>
        <v>2.9411764705882353E-2</v>
      </c>
      <c r="L11" s="39"/>
      <c r="M11" s="39"/>
      <c r="N11" s="39"/>
      <c r="O11" s="53"/>
      <c r="Q11" s="95" t="s">
        <v>2283</v>
      </c>
      <c r="R11" s="95">
        <f>103-R8-R9</f>
        <v>62</v>
      </c>
      <c r="S11" s="53"/>
      <c r="T11" s="39"/>
      <c r="W11" s="53"/>
      <c r="X11" s="39"/>
      <c r="Y11" s="39"/>
      <c r="Z11" s="39"/>
      <c r="AA11" s="53"/>
    </row>
    <row r="12" spans="1:27">
      <c r="A12" s="95" t="s">
        <v>2283</v>
      </c>
      <c r="B12" s="95">
        <f>103-B8-B9</f>
        <v>17</v>
      </c>
      <c r="C12" s="53"/>
      <c r="D12" s="39"/>
      <c r="E12" s="87" t="s">
        <v>2289</v>
      </c>
      <c r="F12" s="39">
        <v>5</v>
      </c>
      <c r="G12" s="53"/>
      <c r="H12" s="39"/>
      <c r="I12" s="87" t="s">
        <v>2339</v>
      </c>
      <c r="J12" s="39">
        <f>COUNTIF('INCLUDED_file edited'!CJ:CJ,"500001 - 1000000")</f>
        <v>1</v>
      </c>
      <c r="K12" s="53">
        <f t="shared" si="2"/>
        <v>1.4705882352941176E-2</v>
      </c>
      <c r="L12" s="39"/>
      <c r="M12" s="39"/>
      <c r="N12" s="39"/>
      <c r="O12" s="53"/>
      <c r="Q12" s="39"/>
      <c r="R12" s="39"/>
      <c r="S12" s="53"/>
      <c r="T12" s="39"/>
      <c r="U12" s="39"/>
      <c r="V12" s="39"/>
      <c r="W12" s="53"/>
      <c r="X12" s="39"/>
      <c r="Y12" s="39"/>
      <c r="Z12" s="39"/>
      <c r="AA12" s="53"/>
    </row>
    <row r="13" spans="1:27">
      <c r="A13" s="39"/>
      <c r="B13" s="39"/>
      <c r="C13" s="53"/>
      <c r="D13" s="39"/>
      <c r="E13" s="87" t="s">
        <v>2229</v>
      </c>
      <c r="F13" s="39">
        <f>SUM(F2:F12)</f>
        <v>103</v>
      </c>
      <c r="G13" s="53"/>
      <c r="H13" s="39"/>
      <c r="I13" s="87" t="s">
        <v>2340</v>
      </c>
      <c r="J13" s="39">
        <v>1</v>
      </c>
      <c r="K13" s="53">
        <f t="shared" si="2"/>
        <v>1.4705882352941176E-2</v>
      </c>
      <c r="L13" s="39"/>
      <c r="M13" s="39"/>
      <c r="N13" s="39"/>
      <c r="O13" s="53"/>
      <c r="Q13" s="39"/>
      <c r="R13" s="39"/>
      <c r="S13" s="53"/>
      <c r="T13" s="39"/>
      <c r="W13" s="53"/>
      <c r="X13" s="39"/>
      <c r="Y13" s="39"/>
      <c r="Z13" s="39"/>
      <c r="AA13" s="53"/>
    </row>
    <row r="14" spans="1:27">
      <c r="A14" s="39"/>
      <c r="B14" s="39"/>
      <c r="C14" s="53"/>
      <c r="D14" s="39"/>
      <c r="E14" s="95" t="s">
        <v>2283</v>
      </c>
      <c r="F14" s="95">
        <f>103-F10-F11-F12</f>
        <v>67</v>
      </c>
      <c r="G14" s="53"/>
      <c r="H14" s="39"/>
      <c r="I14" s="40" t="s">
        <v>2341</v>
      </c>
      <c r="J14" s="39">
        <f>COUNTIF('INCLUDED_file edited'!CJ:CJ,"Info Not Available")</f>
        <v>21</v>
      </c>
      <c r="K14" s="53"/>
      <c r="L14" s="39"/>
      <c r="M14" s="39"/>
      <c r="N14" s="39"/>
      <c r="O14" s="53"/>
      <c r="Q14" s="39"/>
      <c r="R14" s="39"/>
      <c r="S14" s="53"/>
      <c r="T14" s="39"/>
      <c r="W14" s="53"/>
      <c r="X14" s="39"/>
      <c r="Y14" s="39"/>
      <c r="Z14" s="39"/>
      <c r="AA14" s="53"/>
    </row>
    <row r="15" spans="1:27">
      <c r="A15" s="39"/>
      <c r="B15" s="39"/>
      <c r="C15" s="53"/>
      <c r="D15" s="39"/>
      <c r="E15" s="39"/>
      <c r="F15" s="39"/>
      <c r="G15" s="53"/>
      <c r="H15" s="39"/>
      <c r="I15" s="40" t="s">
        <v>2308</v>
      </c>
      <c r="J15" s="39">
        <f>COUNTIF('INCLUDED_file edited'!CJ:CJ,"Not Applicable")</f>
        <v>9</v>
      </c>
      <c r="K15" s="53"/>
      <c r="L15" s="39"/>
      <c r="M15" s="39"/>
      <c r="N15" s="39"/>
      <c r="O15" s="53"/>
      <c r="Q15" s="39"/>
      <c r="R15" s="39"/>
      <c r="S15" s="53"/>
      <c r="T15" s="39"/>
      <c r="W15" s="53"/>
      <c r="X15" s="39"/>
      <c r="Y15" s="39"/>
      <c r="Z15" s="39"/>
      <c r="AA15" s="53"/>
    </row>
    <row r="16" spans="1:27">
      <c r="A16" s="39"/>
      <c r="B16" s="39"/>
      <c r="C16" s="53"/>
      <c r="D16" s="39"/>
      <c r="E16" s="39"/>
      <c r="F16" s="39"/>
      <c r="G16" s="53"/>
      <c r="H16" s="39"/>
      <c r="I16" s="87" t="s">
        <v>2289</v>
      </c>
      <c r="J16" s="39">
        <v>5</v>
      </c>
      <c r="K16" s="53"/>
      <c r="L16" s="39"/>
      <c r="M16" s="39"/>
      <c r="N16" s="39"/>
      <c r="O16" s="53"/>
      <c r="Q16" s="39"/>
      <c r="R16" s="39"/>
      <c r="S16" s="53"/>
      <c r="T16" s="39"/>
      <c r="W16" s="53"/>
      <c r="X16" s="39"/>
      <c r="Y16" s="39"/>
      <c r="Z16" s="39"/>
      <c r="AA16" s="53"/>
    </row>
    <row r="17" spans="1:15">
      <c r="A17" s="39"/>
      <c r="B17" s="39"/>
      <c r="C17" s="53"/>
      <c r="D17" s="39"/>
      <c r="E17" s="39"/>
      <c r="F17" s="39"/>
      <c r="G17" s="53"/>
      <c r="H17" s="39"/>
      <c r="I17" s="87" t="s">
        <v>2229</v>
      </c>
      <c r="J17" s="39">
        <f>SUM(J2:J16)</f>
        <v>103</v>
      </c>
      <c r="K17" s="53"/>
      <c r="L17" s="39"/>
      <c r="M17" s="39"/>
      <c r="N17" s="39"/>
      <c r="O17" s="53"/>
    </row>
    <row r="18" spans="1:15">
      <c r="A18" s="39"/>
      <c r="B18" s="39"/>
      <c r="C18" s="53"/>
      <c r="D18" s="39"/>
      <c r="E18" s="39"/>
      <c r="F18" s="39"/>
      <c r="G18" s="53"/>
      <c r="H18" s="39"/>
      <c r="I18" s="95" t="s">
        <v>2283</v>
      </c>
      <c r="J18" s="95">
        <f>103-J14-J15-J16</f>
        <v>68</v>
      </c>
      <c r="K18" s="53"/>
      <c r="L18" s="39"/>
      <c r="M18" s="39"/>
      <c r="N18" s="39"/>
      <c r="O18" s="5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opLeftCell="A65" workbookViewId="0">
      <selection activeCell="B77" sqref="B77"/>
    </sheetView>
  </sheetViews>
  <sheetFormatPr defaultColWidth="14.453125" defaultRowHeight="15" customHeight="1"/>
  <cols>
    <col min="1" max="1" width="29.81640625" customWidth="1"/>
    <col min="2" max="26" width="8.7265625" customWidth="1"/>
  </cols>
  <sheetData>
    <row r="1" spans="1:26" ht="15" customHeight="1">
      <c r="A1" s="11" t="s">
        <v>175</v>
      </c>
      <c r="B1" s="8"/>
      <c r="C1" s="8"/>
      <c r="D1" s="8"/>
      <c r="E1" s="8"/>
      <c r="F1" s="8"/>
      <c r="G1" s="8"/>
      <c r="H1" s="8"/>
      <c r="I1" s="8"/>
      <c r="J1" s="8"/>
      <c r="K1" s="8"/>
      <c r="L1" s="8"/>
      <c r="M1" s="8"/>
      <c r="N1" s="8"/>
      <c r="O1" s="8"/>
      <c r="P1" s="8"/>
      <c r="Q1" s="8"/>
      <c r="R1" s="8"/>
      <c r="S1" s="8"/>
      <c r="T1" s="8"/>
      <c r="U1" s="8"/>
      <c r="V1" s="8"/>
      <c r="W1" s="8"/>
      <c r="X1" s="8"/>
      <c r="Y1" s="8"/>
      <c r="Z1" s="8"/>
    </row>
    <row r="2" spans="1:26" ht="15" customHeight="1">
      <c r="A2" s="8"/>
      <c r="B2" s="8"/>
      <c r="C2" s="8"/>
      <c r="D2" s="8"/>
      <c r="E2" s="8"/>
      <c r="F2" s="8"/>
      <c r="G2" s="8"/>
      <c r="H2" s="8"/>
      <c r="I2" s="8"/>
      <c r="J2" s="8"/>
      <c r="K2" s="8"/>
      <c r="L2" s="8"/>
      <c r="M2" s="8"/>
      <c r="N2" s="8"/>
      <c r="O2" s="8"/>
      <c r="P2" s="8"/>
      <c r="Q2" s="8"/>
      <c r="R2" s="8"/>
      <c r="S2" s="8"/>
      <c r="T2" s="8"/>
      <c r="U2" s="8"/>
      <c r="V2" s="8"/>
      <c r="W2" s="8"/>
      <c r="X2" s="8"/>
      <c r="Y2" s="8"/>
      <c r="Z2" s="8"/>
    </row>
    <row r="3" spans="1:26" ht="12" customHeight="1">
      <c r="B3" s="3" t="s">
        <v>673</v>
      </c>
      <c r="C3" s="3" t="s">
        <v>675</v>
      </c>
    </row>
    <row r="4" spans="1:26" ht="12" customHeight="1">
      <c r="A4" s="3" t="s">
        <v>677</v>
      </c>
      <c r="B4" s="3">
        <v>17</v>
      </c>
      <c r="C4" s="3" t="s">
        <v>678</v>
      </c>
    </row>
    <row r="5" spans="1:26" ht="12" customHeight="1">
      <c r="A5" s="3" t="s">
        <v>680</v>
      </c>
      <c r="B5" s="3">
        <v>15</v>
      </c>
    </row>
    <row r="6" spans="1:26" ht="12" customHeight="1">
      <c r="A6" s="3" t="s">
        <v>278</v>
      </c>
      <c r="B6" s="3">
        <v>10</v>
      </c>
    </row>
    <row r="7" spans="1:26" ht="12" customHeight="1">
      <c r="A7" s="3" t="s">
        <v>199</v>
      </c>
      <c r="B7" s="3">
        <v>7</v>
      </c>
    </row>
    <row r="8" spans="1:26" ht="12" customHeight="1">
      <c r="A8" s="3" t="s">
        <v>682</v>
      </c>
      <c r="B8" s="3">
        <v>5</v>
      </c>
    </row>
    <row r="9" spans="1:26" ht="12" customHeight="1">
      <c r="A9" s="3" t="s">
        <v>539</v>
      </c>
      <c r="B9" s="3">
        <v>4</v>
      </c>
    </row>
    <row r="10" spans="1:26" ht="12" customHeight="1">
      <c r="A10" s="3" t="s">
        <v>684</v>
      </c>
      <c r="B10" s="3">
        <v>4</v>
      </c>
    </row>
    <row r="11" spans="1:26" ht="12" customHeight="1">
      <c r="A11" s="3" t="s">
        <v>607</v>
      </c>
      <c r="B11" s="3">
        <v>4</v>
      </c>
    </row>
    <row r="12" spans="1:26" ht="12" customHeight="1">
      <c r="A12" s="3" t="s">
        <v>510</v>
      </c>
      <c r="B12" s="3">
        <v>4</v>
      </c>
    </row>
    <row r="13" spans="1:26" ht="12" customHeight="1">
      <c r="A13" s="3" t="s">
        <v>578</v>
      </c>
      <c r="B13" s="3">
        <v>3</v>
      </c>
    </row>
    <row r="14" spans="1:26" ht="12" customHeight="1">
      <c r="A14" s="3" t="s">
        <v>685</v>
      </c>
      <c r="B14" s="3">
        <v>3</v>
      </c>
    </row>
    <row r="15" spans="1:26" ht="12" customHeight="1">
      <c r="A15" s="3" t="s">
        <v>687</v>
      </c>
      <c r="B15" s="3">
        <v>3</v>
      </c>
    </row>
    <row r="16" spans="1:26" ht="12" customHeight="1">
      <c r="A16" s="3" t="s">
        <v>295</v>
      </c>
      <c r="B16" s="3">
        <v>3</v>
      </c>
    </row>
    <row r="17" spans="1:2" ht="12" customHeight="1">
      <c r="A17" s="3" t="s">
        <v>688</v>
      </c>
      <c r="B17" s="3">
        <v>2</v>
      </c>
    </row>
    <row r="18" spans="1:2" ht="12" customHeight="1">
      <c r="A18" s="3" t="s">
        <v>115</v>
      </c>
      <c r="B18" s="3">
        <v>2</v>
      </c>
    </row>
    <row r="19" spans="1:2" ht="12" customHeight="1">
      <c r="A19" s="3" t="s">
        <v>690</v>
      </c>
      <c r="B19" s="3">
        <v>2</v>
      </c>
    </row>
    <row r="20" spans="1:2" ht="12" customHeight="1">
      <c r="A20" s="3" t="s">
        <v>653</v>
      </c>
      <c r="B20" s="3">
        <v>2</v>
      </c>
    </row>
    <row r="21" spans="1:2" ht="12" customHeight="1">
      <c r="A21" s="3" t="s">
        <v>692</v>
      </c>
      <c r="B21" s="3">
        <v>2</v>
      </c>
    </row>
    <row r="22" spans="1:2" ht="12" customHeight="1">
      <c r="A22" s="3" t="s">
        <v>78</v>
      </c>
      <c r="B22" s="3">
        <v>2</v>
      </c>
    </row>
    <row r="23" spans="1:2" ht="12" customHeight="1">
      <c r="A23" s="3" t="s">
        <v>153</v>
      </c>
      <c r="B23" s="3">
        <v>1</v>
      </c>
    </row>
    <row r="24" spans="1:2" ht="12" customHeight="1">
      <c r="A24" s="3" t="s">
        <v>447</v>
      </c>
      <c r="B24" s="3">
        <v>1</v>
      </c>
    </row>
    <row r="25" spans="1:2" ht="12" customHeight="1">
      <c r="A25" s="3" t="s">
        <v>693</v>
      </c>
      <c r="B25" s="3">
        <v>1</v>
      </c>
    </row>
    <row r="26" spans="1:2" ht="12" customHeight="1">
      <c r="A26" s="3" t="s">
        <v>694</v>
      </c>
      <c r="B26" s="3">
        <v>1</v>
      </c>
    </row>
    <row r="27" spans="1:2" ht="12" customHeight="1">
      <c r="A27" s="3" t="s">
        <v>483</v>
      </c>
      <c r="B27" s="3">
        <v>1</v>
      </c>
    </row>
    <row r="28" spans="1:2" ht="12" customHeight="1">
      <c r="A28" s="3" t="s">
        <v>340</v>
      </c>
      <c r="B28" s="3">
        <v>1</v>
      </c>
    </row>
    <row r="29" spans="1:2" ht="12" customHeight="1">
      <c r="A29" s="3" t="s">
        <v>695</v>
      </c>
      <c r="B29" s="3">
        <v>1</v>
      </c>
    </row>
    <row r="30" spans="1:2" ht="12" customHeight="1">
      <c r="A30" s="3" t="s">
        <v>696</v>
      </c>
      <c r="B30" s="3">
        <v>1</v>
      </c>
    </row>
    <row r="31" spans="1:2" ht="12" customHeight="1">
      <c r="A31" s="3" t="s">
        <v>697</v>
      </c>
      <c r="B31" s="3">
        <v>1</v>
      </c>
    </row>
    <row r="32" spans="1:2" ht="12" customHeight="1">
      <c r="A32" s="3" t="s">
        <v>699</v>
      </c>
      <c r="B32" s="3">
        <v>1</v>
      </c>
    </row>
    <row r="33" spans="1:2" ht="12" customHeight="1">
      <c r="A33" s="3" t="s">
        <v>381</v>
      </c>
      <c r="B33" s="3">
        <v>1</v>
      </c>
    </row>
    <row r="34" spans="1:2" ht="12" customHeight="1">
      <c r="A34" s="3" t="s">
        <v>701</v>
      </c>
      <c r="B34" s="3">
        <v>1</v>
      </c>
    </row>
    <row r="35" spans="1:2" ht="12" customHeight="1"/>
    <row r="36" spans="1:2" ht="12" customHeight="1"/>
    <row r="37" spans="1:2" ht="12" customHeight="1">
      <c r="B37" s="3" t="s">
        <v>703</v>
      </c>
    </row>
    <row r="38" spans="1:2" ht="12" customHeight="1">
      <c r="A38" s="3">
        <v>2019</v>
      </c>
      <c r="B38" s="3">
        <v>21</v>
      </c>
    </row>
    <row r="39" spans="1:2" ht="12" customHeight="1">
      <c r="A39" s="3">
        <v>2018</v>
      </c>
      <c r="B39" s="3">
        <v>13</v>
      </c>
    </row>
    <row r="40" spans="1:2" ht="12" customHeight="1">
      <c r="A40" s="3">
        <v>2017</v>
      </c>
      <c r="B40" s="3">
        <v>17</v>
      </c>
    </row>
    <row r="41" spans="1:2" ht="12" customHeight="1">
      <c r="A41" s="3">
        <v>2016</v>
      </c>
      <c r="B41" s="3">
        <v>10</v>
      </c>
    </row>
    <row r="42" spans="1:2" ht="12" customHeight="1">
      <c r="A42" s="3">
        <v>2015</v>
      </c>
      <c r="B42" s="3">
        <v>6</v>
      </c>
    </row>
    <row r="43" spans="1:2" ht="12" customHeight="1">
      <c r="A43" s="3">
        <v>2014</v>
      </c>
      <c r="B43" s="3">
        <v>9</v>
      </c>
    </row>
    <row r="44" spans="1:2" ht="12" customHeight="1">
      <c r="A44" s="3">
        <v>2013</v>
      </c>
      <c r="B44" s="3">
        <v>8</v>
      </c>
    </row>
    <row r="45" spans="1:2" ht="12" customHeight="1">
      <c r="A45" s="3">
        <v>2012</v>
      </c>
      <c r="B45" s="3">
        <v>5</v>
      </c>
    </row>
    <row r="46" spans="1:2" ht="12" customHeight="1">
      <c r="A46" s="3">
        <v>2011</v>
      </c>
      <c r="B46" s="3">
        <v>3</v>
      </c>
    </row>
    <row r="47" spans="1:2" ht="12" customHeight="1">
      <c r="A47" s="3">
        <v>2010</v>
      </c>
      <c r="B47" s="3">
        <v>4</v>
      </c>
    </row>
    <row r="48" spans="1:2" ht="12" customHeight="1">
      <c r="A48" s="3">
        <v>2009</v>
      </c>
      <c r="B48" s="3">
        <v>2</v>
      </c>
    </row>
    <row r="49" spans="1:2" ht="12" customHeight="1">
      <c r="A49" s="3">
        <v>2008</v>
      </c>
      <c r="B49" s="3">
        <v>4</v>
      </c>
    </row>
    <row r="50" spans="1:2" ht="12" customHeight="1">
      <c r="A50" s="3">
        <v>2007</v>
      </c>
      <c r="B50" s="3">
        <v>2</v>
      </c>
    </row>
    <row r="51" spans="1:2" ht="12" customHeight="1">
      <c r="A51" s="3">
        <v>2006</v>
      </c>
      <c r="B51" s="3">
        <v>1</v>
      </c>
    </row>
    <row r="52" spans="1:2" ht="12" customHeight="1">
      <c r="A52" s="3">
        <v>2005</v>
      </c>
      <c r="B52" s="3">
        <v>1</v>
      </c>
    </row>
    <row r="53" spans="1:2" ht="12" customHeight="1"/>
    <row r="54" spans="1:2" ht="12" customHeight="1"/>
    <row r="55" spans="1:2" ht="12" customHeight="1"/>
    <row r="56" spans="1:2" ht="12" customHeight="1">
      <c r="B56" s="3" t="s">
        <v>713</v>
      </c>
    </row>
    <row r="57" spans="1:2" ht="12" customHeight="1">
      <c r="A57" s="3">
        <v>2014</v>
      </c>
      <c r="B57" s="3">
        <v>1</v>
      </c>
    </row>
    <row r="58" spans="1:2" ht="12" customHeight="1">
      <c r="A58" s="3">
        <v>2015</v>
      </c>
      <c r="B58" s="3">
        <v>2</v>
      </c>
    </row>
    <row r="59" spans="1:2" ht="12" customHeight="1">
      <c r="A59" s="3">
        <v>2016</v>
      </c>
      <c r="B59" s="3">
        <v>2</v>
      </c>
    </row>
    <row r="60" spans="1:2" ht="12" customHeight="1">
      <c r="A60" s="3">
        <v>2017</v>
      </c>
      <c r="B60" s="3">
        <v>5</v>
      </c>
    </row>
    <row r="61" spans="1:2" ht="12" customHeight="1">
      <c r="A61" s="3">
        <v>2018</v>
      </c>
      <c r="B61" s="3">
        <v>6</v>
      </c>
    </row>
    <row r="62" spans="1:2" ht="12" customHeight="1">
      <c r="A62" s="3">
        <v>2019</v>
      </c>
      <c r="B62" s="3">
        <v>8</v>
      </c>
    </row>
    <row r="63" spans="1:2" ht="12" customHeight="1">
      <c r="A63" s="3" t="s">
        <v>82</v>
      </c>
      <c r="B63" s="3">
        <v>77</v>
      </c>
    </row>
    <row r="64" spans="1:2" ht="12" customHeight="1">
      <c r="A64" s="3" t="s">
        <v>107</v>
      </c>
      <c r="B64" s="3">
        <v>5</v>
      </c>
    </row>
    <row r="65" spans="1:2" ht="12" customHeight="1"/>
    <row r="66" spans="1:2" ht="12" customHeight="1"/>
    <row r="67" spans="1:2" ht="12" customHeight="1"/>
    <row r="68" spans="1:2" ht="12" customHeight="1"/>
    <row r="69" spans="1:2" ht="12" customHeight="1"/>
    <row r="70" spans="1:2" ht="12" customHeight="1"/>
    <row r="71" spans="1:2" ht="12" customHeight="1"/>
    <row r="72" spans="1:2" ht="12" customHeight="1"/>
    <row r="73" spans="1:2" ht="12" customHeight="1"/>
    <row r="74" spans="1:2" ht="12" customHeight="1">
      <c r="B74" s="3" t="s">
        <v>717</v>
      </c>
    </row>
    <row r="75" spans="1:2" ht="12" customHeight="1">
      <c r="A75" s="3" t="s">
        <v>282</v>
      </c>
      <c r="B75" s="3">
        <v>25</v>
      </c>
    </row>
    <row r="76" spans="1:2" ht="12" customHeight="1">
      <c r="A76" s="3" t="s">
        <v>119</v>
      </c>
      <c r="B76" s="3">
        <v>24</v>
      </c>
    </row>
    <row r="77" spans="1:2" ht="12" customHeight="1">
      <c r="A77" s="3" t="s">
        <v>256</v>
      </c>
      <c r="B77" s="3">
        <v>16</v>
      </c>
    </row>
    <row r="78" spans="1:2" ht="12" customHeight="1">
      <c r="A78" s="3" t="s">
        <v>719</v>
      </c>
      <c r="B78" s="3">
        <v>8</v>
      </c>
    </row>
    <row r="79" spans="1:2" ht="12" customHeight="1">
      <c r="A79" s="3" t="s">
        <v>720</v>
      </c>
      <c r="B79" s="3">
        <v>3</v>
      </c>
    </row>
    <row r="80" spans="1:2" ht="12" customHeight="1">
      <c r="A80" s="3" t="s">
        <v>515</v>
      </c>
      <c r="B80" s="3">
        <v>3</v>
      </c>
    </row>
    <row r="81" spans="1:3" ht="12" customHeight="1">
      <c r="A81" s="3" t="s">
        <v>722</v>
      </c>
      <c r="B81" s="3">
        <v>1</v>
      </c>
    </row>
    <row r="82" spans="1:3" ht="12" customHeight="1">
      <c r="A82" s="3" t="s">
        <v>723</v>
      </c>
      <c r="B82" s="3">
        <v>1</v>
      </c>
    </row>
    <row r="83" spans="1:3" ht="12" customHeight="1">
      <c r="A83" s="3" t="s">
        <v>724</v>
      </c>
      <c r="B83" s="3">
        <v>1</v>
      </c>
    </row>
    <row r="84" spans="1:3" ht="12" customHeight="1"/>
    <row r="85" spans="1:3" ht="12" customHeight="1"/>
    <row r="86" spans="1:3" ht="12" customHeight="1"/>
    <row r="87" spans="1:3" ht="12" customHeight="1"/>
    <row r="88" spans="1:3" ht="12" customHeight="1">
      <c r="B88" s="3" t="s">
        <v>726</v>
      </c>
      <c r="C88" s="3" t="s">
        <v>727</v>
      </c>
    </row>
    <row r="89" spans="1:3" ht="12" customHeight="1">
      <c r="A89" s="3" t="s">
        <v>85</v>
      </c>
      <c r="B89" s="3">
        <v>25</v>
      </c>
      <c r="C89" s="3">
        <v>0</v>
      </c>
    </row>
    <row r="90" spans="1:3" ht="12" customHeight="1">
      <c r="A90" s="3" t="s">
        <v>120</v>
      </c>
      <c r="B90" s="3">
        <v>32</v>
      </c>
      <c r="C90" s="3">
        <v>1</v>
      </c>
    </row>
    <row r="91" spans="1:3" ht="12" customHeight="1">
      <c r="A91" s="3" t="s">
        <v>729</v>
      </c>
      <c r="B91" s="3">
        <v>14</v>
      </c>
      <c r="C91" s="3">
        <v>2</v>
      </c>
    </row>
    <row r="92" spans="1:3" ht="12" customHeight="1">
      <c r="A92" s="3" t="s">
        <v>731</v>
      </c>
      <c r="B92" s="3">
        <v>10</v>
      </c>
      <c r="C92" s="3">
        <v>2</v>
      </c>
    </row>
    <row r="93" spans="1:3" ht="12" customHeight="1">
      <c r="A93" s="3" t="s">
        <v>385</v>
      </c>
      <c r="B93" s="3">
        <v>7</v>
      </c>
      <c r="C93" s="3">
        <v>2</v>
      </c>
    </row>
    <row r="94" spans="1:3" ht="12" customHeight="1">
      <c r="A94" s="3" t="s">
        <v>733</v>
      </c>
      <c r="B94" s="3">
        <v>3</v>
      </c>
      <c r="C94" s="3">
        <v>2</v>
      </c>
    </row>
    <row r="95" spans="1:3" ht="12" customHeight="1">
      <c r="A95" s="3" t="s">
        <v>258</v>
      </c>
      <c r="B95" s="3">
        <v>25</v>
      </c>
      <c r="C95" s="3">
        <v>3</v>
      </c>
    </row>
    <row r="96" spans="1:3" ht="12" customHeight="1">
      <c r="A96" s="3" t="s">
        <v>734</v>
      </c>
      <c r="B96" s="3">
        <v>8</v>
      </c>
      <c r="C96" s="3">
        <v>3</v>
      </c>
    </row>
    <row r="97" spans="1:3" ht="12" customHeight="1">
      <c r="A97" s="3" t="s">
        <v>735</v>
      </c>
      <c r="B97" s="3">
        <v>6</v>
      </c>
      <c r="C97" s="3">
        <v>3</v>
      </c>
    </row>
    <row r="98" spans="1:3" ht="12" customHeight="1">
      <c r="A98" s="3" t="s">
        <v>453</v>
      </c>
      <c r="B98" s="3">
        <v>5</v>
      </c>
      <c r="C98" s="3">
        <v>3</v>
      </c>
    </row>
    <row r="99" spans="1:3" ht="12" customHeight="1">
      <c r="A99" s="3" t="s">
        <v>737</v>
      </c>
      <c r="B99" s="3">
        <v>5</v>
      </c>
      <c r="C99" s="3">
        <v>3</v>
      </c>
    </row>
    <row r="100" spans="1:3" ht="12" customHeight="1">
      <c r="A100" s="3" t="s">
        <v>738</v>
      </c>
      <c r="B100" s="3">
        <v>6</v>
      </c>
      <c r="C100" s="3">
        <v>4</v>
      </c>
    </row>
    <row r="101" spans="1:3" ht="12" customHeight="1"/>
    <row r="102" spans="1:3" ht="12" customHeight="1"/>
    <row r="103" spans="1:3" ht="12" customHeight="1"/>
    <row r="104" spans="1:3" ht="12" customHeight="1"/>
    <row r="105" spans="1:3" ht="12" customHeight="1"/>
    <row r="106" spans="1:3" ht="12" customHeight="1"/>
    <row r="107" spans="1:3" ht="12" customHeight="1"/>
    <row r="108" spans="1:3" ht="12" customHeight="1"/>
    <row r="109" spans="1:3" ht="12" customHeight="1"/>
    <row r="110" spans="1:3" ht="12" customHeight="1">
      <c r="B110" s="3" t="s">
        <v>739</v>
      </c>
    </row>
    <row r="111" spans="1:3" ht="12" customHeight="1">
      <c r="A111" s="3" t="s">
        <v>282</v>
      </c>
      <c r="B111" s="3">
        <v>21</v>
      </c>
    </row>
    <row r="112" spans="1:3" ht="12" customHeight="1">
      <c r="A112" s="3" t="s">
        <v>85</v>
      </c>
      <c r="B112" s="3">
        <v>21</v>
      </c>
    </row>
    <row r="113" spans="1:2" ht="12" customHeight="1">
      <c r="A113" s="3" t="s">
        <v>161</v>
      </c>
      <c r="B113" s="3">
        <v>11</v>
      </c>
    </row>
    <row r="114" spans="1:2" ht="12" customHeight="1">
      <c r="A114" s="3" t="s">
        <v>366</v>
      </c>
      <c r="B114" s="3">
        <v>10</v>
      </c>
    </row>
    <row r="115" spans="1:2" ht="12" customHeight="1">
      <c r="A115" s="3" t="s">
        <v>499</v>
      </c>
      <c r="B115" s="3">
        <v>24</v>
      </c>
    </row>
    <row r="116" spans="1:2" ht="12" customHeight="1">
      <c r="A116" s="3" t="s">
        <v>261</v>
      </c>
      <c r="B116" s="3">
        <v>19</v>
      </c>
    </row>
    <row r="117" spans="1:2" ht="12" customHeight="1"/>
    <row r="118" spans="1:2" ht="12" customHeight="1"/>
    <row r="119" spans="1:2" ht="12" customHeight="1"/>
    <row r="120" spans="1:2" ht="12" customHeight="1"/>
    <row r="121" spans="1:2" ht="12" customHeight="1"/>
    <row r="122" spans="1:2" ht="12" customHeight="1"/>
    <row r="123" spans="1:2" ht="12" customHeight="1"/>
    <row r="124" spans="1:2" ht="12" customHeight="1"/>
    <row r="125" spans="1:2" ht="12" customHeight="1"/>
    <row r="126" spans="1:2" ht="12" customHeight="1"/>
    <row r="127" spans="1:2" ht="12" customHeight="1"/>
    <row r="128" spans="1:2" ht="12" customHeight="1"/>
    <row r="129" spans="1:2" ht="12" customHeight="1"/>
    <row r="130" spans="1:2" ht="12" customHeight="1">
      <c r="B130" s="3" t="s">
        <v>744</v>
      </c>
    </row>
    <row r="131" spans="1:2" ht="12" customHeight="1">
      <c r="A131" s="3" t="s">
        <v>665</v>
      </c>
      <c r="B131" s="3">
        <v>1</v>
      </c>
    </row>
    <row r="132" spans="1:2" ht="12" customHeight="1">
      <c r="A132" s="3" t="s">
        <v>328</v>
      </c>
      <c r="B132" s="3">
        <v>10</v>
      </c>
    </row>
    <row r="133" spans="1:2" ht="12" customHeight="1">
      <c r="A133" s="3" t="s">
        <v>152</v>
      </c>
      <c r="B133" s="3">
        <v>69</v>
      </c>
    </row>
    <row r="134" spans="1:2" ht="12" customHeight="1">
      <c r="A134" s="3" t="s">
        <v>114</v>
      </c>
      <c r="B134" s="3">
        <v>4</v>
      </c>
    </row>
    <row r="135" spans="1:2" ht="12" customHeight="1">
      <c r="A135" s="3" t="s">
        <v>77</v>
      </c>
      <c r="B135" s="3">
        <v>14</v>
      </c>
    </row>
    <row r="136" spans="1:2" ht="12" customHeight="1">
      <c r="A136" s="3" t="s">
        <v>616</v>
      </c>
      <c r="B136" s="3">
        <v>3</v>
      </c>
    </row>
    <row r="137" spans="1:2" ht="12" customHeight="1">
      <c r="A137" s="3" t="s">
        <v>750</v>
      </c>
      <c r="B137" s="3">
        <v>1</v>
      </c>
    </row>
    <row r="138" spans="1:2" ht="12" customHeight="1">
      <c r="A138" s="3" t="s">
        <v>738</v>
      </c>
      <c r="B138" s="3">
        <v>4</v>
      </c>
    </row>
    <row r="139" spans="1:2" ht="12" customHeight="1"/>
    <row r="140" spans="1:2" ht="12" customHeight="1"/>
    <row r="141" spans="1:2" ht="12" customHeight="1"/>
    <row r="142" spans="1:2" ht="12" customHeight="1"/>
    <row r="143" spans="1:2" ht="12" customHeight="1"/>
    <row r="144" spans="1:2" ht="12" customHeight="1"/>
    <row r="145" spans="1:2" ht="12" customHeight="1"/>
    <row r="146" spans="1:2" ht="12" customHeight="1"/>
    <row r="147" spans="1:2" ht="12" customHeight="1"/>
    <row r="148" spans="1:2" ht="12" customHeight="1"/>
    <row r="149" spans="1:2" ht="12" customHeight="1"/>
    <row r="150" spans="1:2" ht="12" customHeight="1">
      <c r="B150" s="3" t="s">
        <v>755</v>
      </c>
    </row>
    <row r="151" spans="1:2" ht="12" customHeight="1">
      <c r="A151" s="3" t="s">
        <v>90</v>
      </c>
      <c r="B151" s="3">
        <v>48</v>
      </c>
    </row>
    <row r="152" spans="1:2" ht="12" customHeight="1">
      <c r="A152" s="3" t="s">
        <v>126</v>
      </c>
      <c r="B152" s="3">
        <v>44</v>
      </c>
    </row>
    <row r="153" spans="1:2" ht="12" customHeight="1">
      <c r="A153" s="3" t="s">
        <v>738</v>
      </c>
      <c r="B153" s="3">
        <v>8</v>
      </c>
    </row>
    <row r="154" spans="1:2" ht="12" customHeight="1">
      <c r="A154" s="3" t="s">
        <v>107</v>
      </c>
      <c r="B154" s="3">
        <v>6</v>
      </c>
    </row>
    <row r="155" spans="1:2" ht="12" customHeight="1"/>
    <row r="156" spans="1:2" ht="12" customHeight="1"/>
    <row r="157" spans="1:2" ht="12" customHeight="1">
      <c r="B157" s="3" t="s">
        <v>758</v>
      </c>
    </row>
    <row r="158" spans="1:2" ht="12" customHeight="1">
      <c r="A158" s="3" t="s">
        <v>353</v>
      </c>
      <c r="B158" s="3">
        <v>3</v>
      </c>
    </row>
    <row r="159" spans="1:2" ht="12" customHeight="1">
      <c r="A159" s="3" t="s">
        <v>93</v>
      </c>
      <c r="B159" s="3">
        <v>43</v>
      </c>
    </row>
    <row r="160" spans="1:2" ht="12" customHeight="1">
      <c r="A160" s="3" t="s">
        <v>284</v>
      </c>
      <c r="B160" s="3">
        <v>51</v>
      </c>
    </row>
    <row r="161" spans="1:2" ht="12" customHeight="1">
      <c r="A161" s="3" t="s">
        <v>738</v>
      </c>
      <c r="B161" s="3">
        <v>4</v>
      </c>
    </row>
    <row r="162" spans="1:2" ht="12" customHeight="1">
      <c r="A162" s="3" t="s">
        <v>107</v>
      </c>
      <c r="B162" s="3">
        <v>5</v>
      </c>
    </row>
    <row r="163" spans="1:2" ht="12" customHeight="1"/>
    <row r="164" spans="1:2" ht="12" customHeight="1"/>
    <row r="165" spans="1:2" ht="12" customHeight="1"/>
    <row r="166" spans="1:2" ht="12" customHeight="1"/>
    <row r="167" spans="1:2" ht="12" customHeight="1"/>
    <row r="168" spans="1:2" ht="12" customHeight="1"/>
    <row r="169" spans="1:2" ht="12" customHeight="1"/>
    <row r="170" spans="1:2" ht="12" customHeight="1"/>
    <row r="171" spans="1:2" ht="12" customHeight="1"/>
    <row r="172" spans="1:2" ht="12" customHeight="1">
      <c r="B172" s="3" t="s">
        <v>763</v>
      </c>
    </row>
    <row r="173" spans="1:2" ht="12" customHeight="1">
      <c r="A173" s="3" t="s">
        <v>74</v>
      </c>
      <c r="B173" s="3">
        <v>92</v>
      </c>
    </row>
    <row r="174" spans="1:2" ht="12" customHeight="1">
      <c r="A174" s="3" t="s">
        <v>95</v>
      </c>
      <c r="B174" s="3">
        <v>6</v>
      </c>
    </row>
    <row r="175" spans="1:2" ht="12" customHeight="1">
      <c r="A175" s="3" t="s">
        <v>83</v>
      </c>
      <c r="B175" s="3">
        <v>2</v>
      </c>
    </row>
    <row r="176" spans="1:2" ht="12" customHeight="1">
      <c r="A176" s="3" t="s">
        <v>107</v>
      </c>
      <c r="B176" s="3">
        <v>6</v>
      </c>
    </row>
    <row r="177" spans="1:2" ht="12" customHeight="1"/>
    <row r="178" spans="1:2" ht="12" customHeight="1"/>
    <row r="179" spans="1:2" ht="12" customHeight="1">
      <c r="B179" s="3" t="s">
        <v>767</v>
      </c>
    </row>
    <row r="180" spans="1:2" ht="12" customHeight="1">
      <c r="A180" s="3">
        <v>0</v>
      </c>
      <c r="B180" s="3">
        <v>5</v>
      </c>
    </row>
    <row r="181" spans="1:2" ht="12" customHeight="1">
      <c r="A181" s="3" t="s">
        <v>775</v>
      </c>
      <c r="B181" s="3">
        <v>1</v>
      </c>
    </row>
    <row r="182" spans="1:2" ht="12" customHeight="1">
      <c r="A182" s="3" t="s">
        <v>170</v>
      </c>
      <c r="B182" s="3">
        <v>2</v>
      </c>
    </row>
    <row r="183" spans="1:2" ht="12" customHeight="1">
      <c r="A183" s="3" t="s">
        <v>138</v>
      </c>
      <c r="B183" s="3">
        <v>4</v>
      </c>
    </row>
    <row r="184" spans="1:2" ht="12" customHeight="1">
      <c r="A184" s="3" t="s">
        <v>571</v>
      </c>
      <c r="B184" s="3">
        <v>1</v>
      </c>
    </row>
    <row r="185" spans="1:2" ht="12" customHeight="1">
      <c r="A185" s="3" t="s">
        <v>212</v>
      </c>
      <c r="B185" s="3">
        <v>5</v>
      </c>
    </row>
    <row r="186" spans="1:2" ht="12" customHeight="1">
      <c r="A186" s="3" t="s">
        <v>463</v>
      </c>
      <c r="B186" s="3">
        <v>1</v>
      </c>
    </row>
    <row r="187" spans="1:2" ht="12" customHeight="1">
      <c r="A187" s="3" t="s">
        <v>233</v>
      </c>
      <c r="B187" s="3">
        <v>50</v>
      </c>
    </row>
    <row r="188" spans="1:2" ht="12" customHeight="1">
      <c r="A188" s="3" t="s">
        <v>107</v>
      </c>
      <c r="B188" s="3">
        <v>36</v>
      </c>
    </row>
    <row r="189" spans="1:2" ht="12" customHeight="1"/>
    <row r="190" spans="1:2" ht="12" customHeight="1"/>
    <row r="191" spans="1:2" ht="12" customHeight="1"/>
    <row r="192" spans="1:2" ht="12" customHeight="1"/>
    <row r="193" spans="1:2" ht="12" customHeight="1"/>
    <row r="194" spans="1:2" ht="12" customHeight="1">
      <c r="B194" s="3" t="s">
        <v>785</v>
      </c>
    </row>
    <row r="195" spans="1:2" ht="12" customHeight="1">
      <c r="A195" s="3" t="s">
        <v>171</v>
      </c>
      <c r="B195" s="3">
        <v>17</v>
      </c>
    </row>
    <row r="196" spans="1:2" ht="12" customHeight="1">
      <c r="A196" s="3" t="s">
        <v>172</v>
      </c>
      <c r="B196" s="3">
        <v>10</v>
      </c>
    </row>
    <row r="197" spans="1:2" ht="12" customHeight="1">
      <c r="A197" s="3" t="s">
        <v>139</v>
      </c>
      <c r="B197" s="3">
        <v>17</v>
      </c>
    </row>
    <row r="198" spans="1:2" ht="12" customHeight="1">
      <c r="A198" s="3" t="s">
        <v>234</v>
      </c>
      <c r="B198" s="3">
        <v>7</v>
      </c>
    </row>
    <row r="199" spans="1:2" ht="12" customHeight="1">
      <c r="A199" s="3" t="s">
        <v>341</v>
      </c>
      <c r="B199" s="3">
        <v>4</v>
      </c>
    </row>
    <row r="200" spans="1:2" ht="12" customHeight="1">
      <c r="A200" s="3" t="s">
        <v>140</v>
      </c>
      <c r="B200" s="3">
        <v>9</v>
      </c>
    </row>
    <row r="201" spans="1:2" ht="12" customHeight="1">
      <c r="A201" s="3" t="s">
        <v>315</v>
      </c>
      <c r="B201" s="3">
        <v>2</v>
      </c>
    </row>
    <row r="202" spans="1:2" ht="12" customHeight="1">
      <c r="A202" s="3" t="s">
        <v>314</v>
      </c>
      <c r="B202" s="3">
        <v>4</v>
      </c>
    </row>
    <row r="203" spans="1:2" ht="12" customHeight="1">
      <c r="A203" s="3" t="s">
        <v>108</v>
      </c>
      <c r="B203" s="3">
        <v>24</v>
      </c>
    </row>
    <row r="204" spans="1:2" ht="12" customHeight="1">
      <c r="A204" s="3" t="s">
        <v>233</v>
      </c>
      <c r="B204" s="3">
        <v>7</v>
      </c>
    </row>
    <row r="205" spans="1:2" ht="12" customHeight="1"/>
    <row r="206" spans="1:2" ht="12" customHeight="1"/>
    <row r="207" spans="1:2" ht="12" customHeight="1"/>
    <row r="208" spans="1:2" ht="12" customHeight="1"/>
    <row r="209" spans="1:2" ht="12" customHeight="1"/>
    <row r="210" spans="1:2" ht="12" customHeight="1"/>
    <row r="211" spans="1:2" ht="12" customHeight="1">
      <c r="B211" s="3" t="s">
        <v>795</v>
      </c>
    </row>
    <row r="212" spans="1:2" ht="12" customHeight="1">
      <c r="A212" s="3" t="s">
        <v>171</v>
      </c>
      <c r="B212" s="3">
        <v>16</v>
      </c>
    </row>
    <row r="213" spans="1:2" ht="12" customHeight="1">
      <c r="A213" s="3" t="s">
        <v>172</v>
      </c>
      <c r="B213" s="3">
        <v>5</v>
      </c>
    </row>
    <row r="214" spans="1:2" ht="12" customHeight="1">
      <c r="A214" s="3" t="s">
        <v>139</v>
      </c>
      <c r="B214" s="3">
        <v>13</v>
      </c>
    </row>
    <row r="215" spans="1:2" ht="12" customHeight="1">
      <c r="A215" s="3" t="s">
        <v>234</v>
      </c>
      <c r="B215" s="3">
        <v>6</v>
      </c>
    </row>
    <row r="216" spans="1:2" ht="12" customHeight="1">
      <c r="A216" s="3" t="s">
        <v>341</v>
      </c>
      <c r="B216" s="3">
        <v>5</v>
      </c>
    </row>
    <row r="217" spans="1:2" ht="12" customHeight="1">
      <c r="A217" s="3" t="s">
        <v>140</v>
      </c>
      <c r="B217" s="3">
        <v>7</v>
      </c>
    </row>
    <row r="218" spans="1:2" ht="12" customHeight="1">
      <c r="A218" s="3" t="s">
        <v>315</v>
      </c>
      <c r="B218" s="3">
        <v>2</v>
      </c>
    </row>
    <row r="219" spans="1:2" ht="12" customHeight="1">
      <c r="A219" s="3" t="s">
        <v>235</v>
      </c>
      <c r="B219" s="3">
        <v>10</v>
      </c>
    </row>
    <row r="220" spans="1:2" ht="12" customHeight="1">
      <c r="A220" s="3" t="s">
        <v>801</v>
      </c>
      <c r="B220" s="3">
        <v>2</v>
      </c>
    </row>
    <row r="221" spans="1:2" ht="12" customHeight="1">
      <c r="A221" s="3" t="s">
        <v>789</v>
      </c>
      <c r="B221" s="3">
        <v>2</v>
      </c>
    </row>
    <row r="222" spans="1:2" ht="12" customHeight="1">
      <c r="A222" s="3" t="s">
        <v>803</v>
      </c>
      <c r="B222" s="3">
        <v>1</v>
      </c>
    </row>
    <row r="223" spans="1:2" ht="12" customHeight="1">
      <c r="A223" s="3" t="s">
        <v>806</v>
      </c>
      <c r="B223" s="3">
        <v>1</v>
      </c>
    </row>
    <row r="224" spans="1:2" ht="12" customHeight="1">
      <c r="A224" s="3" t="s">
        <v>108</v>
      </c>
      <c r="B224" s="3">
        <v>20</v>
      </c>
    </row>
    <row r="225" spans="1:2" ht="12" customHeight="1">
      <c r="A225" s="3" t="s">
        <v>233</v>
      </c>
      <c r="B225" s="3">
        <v>11</v>
      </c>
    </row>
    <row r="226" spans="1:2" ht="12" customHeight="1"/>
    <row r="227" spans="1:2" ht="12" customHeight="1"/>
    <row r="228" spans="1:2" ht="12" customHeight="1"/>
    <row r="229" spans="1:2" ht="12" customHeight="1"/>
    <row r="230" spans="1:2" ht="12" customHeight="1"/>
    <row r="231" spans="1:2" ht="12" customHeight="1">
      <c r="B231" s="3" t="s">
        <v>811</v>
      </c>
    </row>
    <row r="232" spans="1:2" ht="12" customHeight="1">
      <c r="A232" s="3">
        <v>0</v>
      </c>
      <c r="B232" s="3">
        <v>23</v>
      </c>
    </row>
    <row r="233" spans="1:2" ht="12" customHeight="1">
      <c r="A233" s="3" t="s">
        <v>141</v>
      </c>
      <c r="B233" s="3">
        <v>25</v>
      </c>
    </row>
    <row r="234" spans="1:2" ht="12" customHeight="1">
      <c r="A234" s="3" t="s">
        <v>270</v>
      </c>
      <c r="B234" s="3">
        <v>7</v>
      </c>
    </row>
    <row r="235" spans="1:2" ht="12" customHeight="1">
      <c r="A235" s="3" t="s">
        <v>316</v>
      </c>
      <c r="B235" s="3">
        <v>6</v>
      </c>
    </row>
    <row r="236" spans="1:2" ht="12" customHeight="1">
      <c r="A236" s="3" t="s">
        <v>814</v>
      </c>
      <c r="B236" s="3">
        <v>3</v>
      </c>
    </row>
    <row r="237" spans="1:2" ht="12" customHeight="1">
      <c r="A237" s="3" t="s">
        <v>816</v>
      </c>
      <c r="B237" s="3">
        <v>1</v>
      </c>
    </row>
    <row r="238" spans="1:2" ht="12" customHeight="1">
      <c r="A238" s="3" t="s">
        <v>233</v>
      </c>
      <c r="B238" s="3">
        <v>14</v>
      </c>
    </row>
    <row r="239" spans="1:2" ht="12" customHeight="1">
      <c r="A239" s="3" t="s">
        <v>107</v>
      </c>
      <c r="B239" s="3">
        <v>27</v>
      </c>
    </row>
    <row r="240" spans="1:2"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row r="1001" ht="12" customHeight="1"/>
    <row r="1002" ht="12" customHeight="1"/>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INCLUDED_file edited</vt:lpstr>
      <vt:lpstr>General</vt:lpstr>
      <vt:lpstr>Scope</vt:lpstr>
      <vt:lpstr>Policy</vt:lpstr>
      <vt:lpstr>Engagement</vt:lpstr>
      <vt:lpstr>F&amp;S</vt:lpstr>
      <vt:lpstr>Data</vt:lpstr>
      <vt:lpstr>PI</vt:lpstr>
      <vt:lpstr>(Graphs_OLD)</vt:lpstr>
      <vt:lpstr>(Type of data collected_OLD)</vt:lpstr>
      <vt:lpstr>EXCLUDED</vt:lpstr>
      <vt:lpstr>not responded</vt:lpstr>
      <vt:lpstr>ORIGINAL RESPONSES TO SURVEY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Veronica Price-Jones</dc:creator>
  <cp:lastModifiedBy>Veronica Price-Jones</cp:lastModifiedBy>
  <dcterms:created xsi:type="dcterms:W3CDTF">2020-07-08T02:04:08Z</dcterms:created>
  <dcterms:modified xsi:type="dcterms:W3CDTF">2020-07-09T03:01:20Z</dcterms:modified>
</cp:coreProperties>
</file>