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0" yWindow="0" windowWidth="20490" windowHeight="7755"/>
  </bookViews>
  <sheets>
    <sheet name="Trabalho Parte 1" sheetId="4" r:id="rId1"/>
  </sheets>
  <definedNames>
    <definedName name="_xlnm.Print_Area" localSheetId="0">'Trabalho Parte 1'!$A$1:$T$13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4"/>
  <c r="C19"/>
  <c r="C20"/>
  <c r="C18"/>
  <c r="D7" l="1"/>
  <c r="I18"/>
  <c r="N18" s="1"/>
  <c r="K18"/>
  <c r="K12"/>
  <c r="L12"/>
  <c r="M12"/>
  <c r="N12"/>
  <c r="O12"/>
  <c r="P12"/>
  <c r="Q12"/>
  <c r="R12"/>
  <c r="S12"/>
  <c r="T12"/>
  <c r="I12"/>
  <c r="E11"/>
  <c r="E1"/>
  <c r="E2"/>
  <c r="E3"/>
  <c r="E4"/>
  <c r="E5"/>
  <c r="E6"/>
  <c r="E8"/>
  <c r="E9"/>
  <c r="E10"/>
  <c r="I8"/>
  <c r="I9" s="1"/>
  <c r="J8"/>
  <c r="J10" s="1"/>
  <c r="K8"/>
  <c r="K9" s="1"/>
  <c r="L8"/>
  <c r="M8"/>
  <c r="M9" s="1"/>
  <c r="N8"/>
  <c r="N10" s="1"/>
  <c r="O8"/>
  <c r="O9" s="1"/>
  <c r="P8"/>
  <c r="Q8"/>
  <c r="Q9" s="1"/>
  <c r="R8"/>
  <c r="R10" s="1"/>
  <c r="S8"/>
  <c r="S9" s="1"/>
  <c r="T8"/>
  <c r="U5"/>
  <c r="U6"/>
  <c r="U7"/>
  <c r="I19" s="1"/>
  <c r="B13"/>
  <c r="I26" s="1"/>
  <c r="D13"/>
  <c r="P25" s="1"/>
  <c r="U12" l="1"/>
  <c r="U8"/>
  <c r="I20" s="1"/>
  <c r="I24" s="1"/>
  <c r="K19"/>
  <c r="N19"/>
  <c r="O19" s="1"/>
  <c r="J19"/>
  <c r="S18"/>
  <c r="I33" s="1"/>
  <c r="P18"/>
  <c r="O18"/>
  <c r="J26"/>
  <c r="O40"/>
  <c r="K25"/>
  <c r="P40"/>
  <c r="N25"/>
  <c r="I25"/>
  <c r="I17"/>
  <c r="K17" s="1"/>
  <c r="J40"/>
  <c r="S25"/>
  <c r="I40"/>
  <c r="J25"/>
  <c r="T25"/>
  <c r="U25"/>
  <c r="J18"/>
  <c r="O25"/>
  <c r="K40"/>
  <c r="E7"/>
  <c r="Q13" s="1"/>
  <c r="Q14" s="1"/>
  <c r="N40"/>
  <c r="N13"/>
  <c r="P13"/>
  <c r="O10"/>
  <c r="O11" s="1"/>
  <c r="I10"/>
  <c r="I11" s="1"/>
  <c r="M10"/>
  <c r="M11" s="1"/>
  <c r="S10"/>
  <c r="S11" s="1"/>
  <c r="K10"/>
  <c r="K11" s="1"/>
  <c r="Q10"/>
  <c r="Q11" s="1"/>
  <c r="T9"/>
  <c r="T10"/>
  <c r="P10"/>
  <c r="L10"/>
  <c r="P9"/>
  <c r="L9"/>
  <c r="L11" s="1"/>
  <c r="R9"/>
  <c r="R11" s="1"/>
  <c r="N9"/>
  <c r="N11" s="1"/>
  <c r="J9"/>
  <c r="J11" s="1"/>
  <c r="P11" l="1"/>
  <c r="P14"/>
  <c r="S19"/>
  <c r="I34" s="1"/>
  <c r="P19"/>
  <c r="K20"/>
  <c r="K21" s="1"/>
  <c r="T11"/>
  <c r="U11" s="1"/>
  <c r="I23" s="1"/>
  <c r="I27" s="1"/>
  <c r="M13"/>
  <c r="M14" s="1"/>
  <c r="L13"/>
  <c r="L14" s="1"/>
  <c r="J13"/>
  <c r="J14" s="1"/>
  <c r="N17"/>
  <c r="J17"/>
  <c r="J20" s="1"/>
  <c r="E13"/>
  <c r="I13" s="1"/>
  <c r="I14" s="1"/>
  <c r="O13"/>
  <c r="O14" s="1"/>
  <c r="N14"/>
  <c r="U10"/>
  <c r="I22" s="1"/>
  <c r="T13"/>
  <c r="K13"/>
  <c r="K14" s="1"/>
  <c r="U9"/>
  <c r="I21" s="1"/>
  <c r="U18"/>
  <c r="T18"/>
  <c r="R13"/>
  <c r="R14" s="1"/>
  <c r="S13"/>
  <c r="S14" s="1"/>
  <c r="T14" l="1"/>
  <c r="T19"/>
  <c r="U19"/>
  <c r="K22"/>
  <c r="K23" s="1"/>
  <c r="K24"/>
  <c r="J24"/>
  <c r="J21"/>
  <c r="J22"/>
  <c r="U13"/>
  <c r="P17"/>
  <c r="P20" s="1"/>
  <c r="N20"/>
  <c r="S17"/>
  <c r="O17"/>
  <c r="O20" s="1"/>
  <c r="J34"/>
  <c r="K34"/>
  <c r="N34"/>
  <c r="J33"/>
  <c r="K33"/>
  <c r="N33"/>
  <c r="U14"/>
  <c r="K27" l="1"/>
  <c r="O24"/>
  <c r="O21"/>
  <c r="O22"/>
  <c r="U17"/>
  <c r="U20" s="1"/>
  <c r="I32"/>
  <c r="S20"/>
  <c r="T17"/>
  <c r="T20" s="1"/>
  <c r="J23"/>
  <c r="J27" s="1"/>
  <c r="N22"/>
  <c r="N24"/>
  <c r="N21"/>
  <c r="N23" s="1"/>
  <c r="O34"/>
  <c r="P34"/>
  <c r="P24"/>
  <c r="P22"/>
  <c r="P21"/>
  <c r="P33"/>
  <c r="O33"/>
  <c r="O23" l="1"/>
  <c r="O27" s="1"/>
  <c r="P23"/>
  <c r="N27"/>
  <c r="T24"/>
  <c r="T21"/>
  <c r="T22"/>
  <c r="S22"/>
  <c r="S21"/>
  <c r="S24"/>
  <c r="P27"/>
  <c r="I35"/>
  <c r="J32"/>
  <c r="J35" s="1"/>
  <c r="J39" s="1"/>
  <c r="N32"/>
  <c r="K32"/>
  <c r="K35" s="1"/>
  <c r="U22"/>
  <c r="U21"/>
  <c r="U24"/>
  <c r="T23" l="1"/>
  <c r="T27" s="1"/>
  <c r="S23"/>
  <c r="S27" s="1"/>
  <c r="K36"/>
  <c r="K37"/>
  <c r="K39"/>
  <c r="P32"/>
  <c r="P35" s="1"/>
  <c r="O32"/>
  <c r="O35" s="1"/>
  <c r="O37" s="1"/>
  <c r="N35"/>
  <c r="I36"/>
  <c r="I39"/>
  <c r="I37"/>
  <c r="U23"/>
  <c r="U27" s="1"/>
  <c r="J36"/>
  <c r="J37"/>
  <c r="I38" l="1"/>
  <c r="J38"/>
  <c r="J42" s="1"/>
  <c r="P36"/>
  <c r="P39"/>
  <c r="P37"/>
  <c r="I42"/>
  <c r="N39"/>
  <c r="N36"/>
  <c r="N37"/>
  <c r="O39"/>
  <c r="O36"/>
  <c r="O38" s="1"/>
  <c r="K38"/>
  <c r="K42" s="1"/>
  <c r="P38" l="1"/>
  <c r="P42" s="1"/>
  <c r="O42"/>
  <c r="N38"/>
  <c r="N42" s="1"/>
</calcChain>
</file>

<file path=xl/sharedStrings.xml><?xml version="1.0" encoding="utf-8"?>
<sst xmlns="http://schemas.openxmlformats.org/spreadsheetml/2006/main" count="109" uniqueCount="45">
  <si>
    <t>Geladeiras</t>
  </si>
  <si>
    <t>Microondas</t>
  </si>
  <si>
    <t>Investimento</t>
  </si>
  <si>
    <t>Reforma da Infraestrutura</t>
  </si>
  <si>
    <t>Balança Digita Precisa</t>
  </si>
  <si>
    <t>Utencilios para produção</t>
  </si>
  <si>
    <t>Abertura da empresa oficial</t>
  </si>
  <si>
    <t>Valor</t>
  </si>
  <si>
    <t>Manutençao</t>
  </si>
  <si>
    <t>Funcionario s/imposto ao ano</t>
  </si>
  <si>
    <t>Dominio Do Site</t>
  </si>
  <si>
    <t>Marketing</t>
  </si>
  <si>
    <t>Total</t>
  </si>
  <si>
    <t>Imposto no salario</t>
  </si>
  <si>
    <t>MÊS</t>
  </si>
  <si>
    <t>FORNECIMENTO</t>
  </si>
  <si>
    <t>TOTAL</t>
  </si>
  <si>
    <t>ANO 1</t>
  </si>
  <si>
    <t>ANO 2</t>
  </si>
  <si>
    <t>ANO 3</t>
  </si>
  <si>
    <t>ANO 4</t>
  </si>
  <si>
    <t>ANO 5</t>
  </si>
  <si>
    <t>Pró-labore</t>
  </si>
  <si>
    <t>Tarifa bancária</t>
  </si>
  <si>
    <t>Encargos(20%)</t>
  </si>
  <si>
    <t>IR(15%)</t>
  </si>
  <si>
    <t>CSLL(9%)</t>
  </si>
  <si>
    <t>Despesas Mensais</t>
  </si>
  <si>
    <t>FESTAS</t>
  </si>
  <si>
    <t xml:space="preserve">PEDIDOS PARALELOS </t>
  </si>
  <si>
    <t>LUCRO BRUTO MENSAL</t>
  </si>
  <si>
    <t>LUCRO LIQUIDO</t>
  </si>
  <si>
    <t>DESPESAS MENSAIS</t>
  </si>
  <si>
    <t>MATERIAIS DIRETOS</t>
  </si>
  <si>
    <t>CRESCIMENTO</t>
  </si>
  <si>
    <t>INVESTIMENTO</t>
  </si>
  <si>
    <t>PESSIMISTA (-20%)</t>
  </si>
  <si>
    <t>OTIMISTA(+20%)</t>
  </si>
  <si>
    <t>Luz e Água</t>
  </si>
  <si>
    <t>KG costela bovina</t>
  </si>
  <si>
    <t>Pato</t>
  </si>
  <si>
    <t>Cordeiro</t>
  </si>
  <si>
    <t>moedor comercial</t>
  </si>
  <si>
    <t>formas de ferro</t>
  </si>
  <si>
    <t>Internet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</si>
</sst>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FFA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1"/>
    <xf numFmtId="164" fontId="1" fillId="0" borderId="1" xfId="1" applyNumberFormat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1" xfId="1" applyFill="1"/>
    <xf numFmtId="44" fontId="0" fillId="0" borderId="0" xfId="2" applyFont="1"/>
    <xf numFmtId="164" fontId="1" fillId="0" borderId="1" xfId="1" applyNumberFormat="1" applyFill="1"/>
    <xf numFmtId="44" fontId="1" fillId="0" borderId="0" xfId="0" applyNumberFormat="1" applyFont="1"/>
    <xf numFmtId="44" fontId="0" fillId="0" borderId="0" xfId="0" applyNumberFormat="1"/>
    <xf numFmtId="0" fontId="0" fillId="0" borderId="0" xfId="0" applyFill="1"/>
    <xf numFmtId="44" fontId="0" fillId="0" borderId="0" xfId="2" applyFont="1" applyFill="1"/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44" fontId="0" fillId="0" borderId="4" xfId="2" applyFont="1" applyBorder="1"/>
    <xf numFmtId="44" fontId="1" fillId="0" borderId="4" xfId="0" applyNumberFormat="1" applyFont="1" applyBorder="1"/>
    <xf numFmtId="44" fontId="1" fillId="0" borderId="2" xfId="0" applyNumberFormat="1" applyFont="1" applyBorder="1"/>
    <xf numFmtId="44" fontId="1" fillId="2" borderId="2" xfId="0" applyNumberFormat="1" applyFont="1" applyFill="1" applyBorder="1"/>
    <xf numFmtId="0" fontId="0" fillId="0" borderId="2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Border="1"/>
    <xf numFmtId="44" fontId="0" fillId="0" borderId="0" xfId="0" applyNumberFormat="1" applyFill="1" applyBorder="1"/>
    <xf numFmtId="0" fontId="0" fillId="0" borderId="0" xfId="0" applyNumberFormat="1" applyFill="1"/>
    <xf numFmtId="44" fontId="0" fillId="0" borderId="0" xfId="0" applyNumberFormat="1" applyFont="1"/>
    <xf numFmtId="44" fontId="2" fillId="0" borderId="3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4" fontId="0" fillId="0" borderId="0" xfId="0" applyNumberFormat="1" applyBorder="1"/>
    <xf numFmtId="44" fontId="0" fillId="0" borderId="9" xfId="0" applyNumberFormat="1" applyBorder="1"/>
    <xf numFmtId="0" fontId="0" fillId="0" borderId="8" xfId="0" applyFill="1" applyBorder="1"/>
    <xf numFmtId="44" fontId="0" fillId="0" borderId="0" xfId="2" applyFont="1" applyBorder="1"/>
    <xf numFmtId="44" fontId="0" fillId="0" borderId="9" xfId="2" applyFont="1" applyBorder="1"/>
    <xf numFmtId="44" fontId="0" fillId="0" borderId="9" xfId="0" applyNumberFormat="1" applyFill="1" applyBorder="1"/>
    <xf numFmtId="0" fontId="0" fillId="0" borderId="10" xfId="0" applyBorder="1"/>
    <xf numFmtId="0" fontId="0" fillId="0" borderId="11" xfId="0" applyBorder="1"/>
    <xf numFmtId="9" fontId="0" fillId="0" borderId="4" xfId="0" applyNumberFormat="1" applyBorder="1"/>
    <xf numFmtId="164" fontId="0" fillId="0" borderId="0" xfId="0" applyNumberFormat="1"/>
  </cellXfs>
  <cellStyles count="4">
    <cellStyle name="Moeda" xfId="2" builtinId="4"/>
    <cellStyle name="Moeda 2" xfId="3"/>
    <cellStyle name="Normal" xfId="0" builtinId="0"/>
    <cellStyle name="Total" xfId="1" builtinId="2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 style="double">
          <color theme="4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relativeIndent="255" justifyLastLine="0" shrinkToFit="0" readingOrder="0"/>
    </dxf>
    <dxf>
      <border outline="0">
        <top style="thin">
          <color theme="4"/>
        </top>
      </border>
    </dxf>
    <dxf>
      <numFmt numFmtId="164" formatCode="_-[$R$-416]\ * #,##0.00_-;\-[$R$-416]\ * #,##0.00_-;_-[$R$-416]\ * &quot;-&quot;??_-;_-@_-"/>
    </dxf>
  </dxfs>
  <tableStyles count="1" defaultTableStyle="TableStyleMedium2" defaultPivotStyle="PivotStyleLight16">
    <tableStyle name="Estilo de Tabela 1" pivot="0" count="0"/>
  </tableStyles>
  <colors>
    <mruColors>
      <color rgb="FFA7FFA7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14" displayName="Tabela14" ref="A1:B13" totalsRowCount="1" headerRowCellStyle="Total" dataCellStyle="Total">
  <autoFilter ref="A1:B12"/>
  <sortState ref="A2:B12">
    <sortCondition ref="B1:B12"/>
  </sortState>
  <tableColumns count="2">
    <tableColumn id="1" name="Investimento" totalsRowLabel="Total" totalsRowDxfId="3" dataCellStyle="Total"/>
    <tableColumn id="2" name="Valor" totalsRowFunction="sum" dataDxfId="11" totalsRowDxfId="2" dataCellStyle="Total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4" name="Tabela25" displayName="Tabela25" ref="C1:E13" headerRowCount="0" totalsRowCount="1" totalsRowBorderDxfId="10" headerRowCellStyle="Normal" dataCellStyle="Normal" totalsRowCellStyle="Normal">
  <tableColumns count="3">
    <tableColumn id="1" name="Despesas Anuais" totalsRowLabel="Total" headerRowDxfId="9" dataDxfId="8" headerRowCellStyle="Total" dataCellStyle="Normal"/>
    <tableColumn id="2" name="Valor" totalsRowFunction="custom" headerRowDxfId="7" dataDxfId="6" totalsRowDxfId="1" headerRowCellStyle="Total" dataCellStyle="Moeda">
      <totalsRowFormula>SUBTOTAL(109,D2:D11)</totalsRowFormula>
    </tableColumn>
    <tableColumn id="3" name="Colunas1" totalsRowFunction="custom" headerRowDxfId="5" dataDxfId="4" totalsRowDxfId="0" headerRowCellStyle="Normal" dataCellStyle="Moeda">
      <calculatedColumnFormula>Tabela25[[#This Row],[Valor]]/12</calculatedColumnFormula>
      <totalsRowFormula>SUBTOTAL(109,E2:E11)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topLeftCell="C1" workbookViewId="0">
      <selection activeCell="H16" sqref="H16"/>
    </sheetView>
  </sheetViews>
  <sheetFormatPr defaultRowHeight="15"/>
  <cols>
    <col min="1" max="1" width="28.85546875" customWidth="1"/>
    <col min="2" max="2" width="17.140625" customWidth="1"/>
    <col min="3" max="3" width="29.7109375" customWidth="1"/>
    <col min="4" max="4" width="18.28515625" customWidth="1"/>
    <col min="5" max="5" width="26.5703125" customWidth="1"/>
    <col min="6" max="6" width="20.85546875" customWidth="1"/>
    <col min="7" max="7" width="14.7109375" customWidth="1"/>
    <col min="8" max="8" width="21.42578125" customWidth="1"/>
    <col min="9" max="9" width="18" customWidth="1"/>
    <col min="10" max="10" width="17.5703125" customWidth="1"/>
    <col min="11" max="11" width="16.85546875" customWidth="1"/>
    <col min="12" max="12" width="21.28515625" customWidth="1"/>
    <col min="13" max="13" width="21" customWidth="1"/>
    <col min="14" max="14" width="15.42578125" bestFit="1" customWidth="1"/>
    <col min="15" max="15" width="18.28515625" customWidth="1"/>
    <col min="16" max="16" width="16.7109375" customWidth="1"/>
    <col min="17" max="17" width="17.42578125" customWidth="1"/>
    <col min="18" max="18" width="21.85546875" customWidth="1"/>
    <col min="19" max="19" width="15.5703125" customWidth="1"/>
    <col min="20" max="20" width="17.42578125" customWidth="1"/>
    <col min="21" max="21" width="15.42578125" customWidth="1"/>
  </cols>
  <sheetData>
    <row r="1" spans="1:21" ht="15.75" thickBot="1">
      <c r="A1" s="1" t="s">
        <v>2</v>
      </c>
      <c r="B1" s="2" t="s">
        <v>7</v>
      </c>
      <c r="C1" s="10" t="s">
        <v>27</v>
      </c>
      <c r="D1" s="6" t="s">
        <v>7</v>
      </c>
      <c r="E1" s="10" t="e">
        <f>Tabela25[[#This Row],[Valor]]/12</f>
        <v>#VALUE!</v>
      </c>
    </row>
    <row r="2" spans="1:21" ht="16.5" thickTop="1" thickBot="1">
      <c r="A2" s="1" t="s">
        <v>1</v>
      </c>
      <c r="B2" s="2"/>
      <c r="C2" s="10" t="s">
        <v>10</v>
      </c>
      <c r="D2" s="6">
        <v>-350</v>
      </c>
      <c r="E2" s="11">
        <f>Tabela25[[#This Row],[Valor]]/12</f>
        <v>-29.166666666666668</v>
      </c>
    </row>
    <row r="3" spans="1:21" ht="16.5" thickTop="1" thickBot="1">
      <c r="A3" s="1" t="s">
        <v>5</v>
      </c>
      <c r="B3" s="2">
        <v>-250</v>
      </c>
      <c r="C3" s="10" t="s">
        <v>8</v>
      </c>
      <c r="D3" s="6">
        <v>-400</v>
      </c>
      <c r="E3" s="11">
        <f>Tabela25[[#This Row],[Valor]]/12</f>
        <v>-33.333333333333336</v>
      </c>
      <c r="H3" t="s">
        <v>17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1" ht="16.5" thickTop="1" thickBot="1">
      <c r="A4" s="5" t="s">
        <v>4</v>
      </c>
      <c r="B4" s="7">
        <v>-100</v>
      </c>
      <c r="C4" s="10" t="s">
        <v>38</v>
      </c>
      <c r="D4" s="6">
        <v>-2400</v>
      </c>
      <c r="E4" s="11">
        <f>Tabela25[[#This Row],[Valor]]/12</f>
        <v>-200</v>
      </c>
      <c r="H4" t="s">
        <v>14</v>
      </c>
      <c r="I4" s="13">
        <v>1</v>
      </c>
      <c r="J4" s="13">
        <v>2</v>
      </c>
      <c r="K4" s="13">
        <v>3</v>
      </c>
      <c r="L4" s="13">
        <v>4</v>
      </c>
      <c r="M4" s="13">
        <v>5</v>
      </c>
      <c r="N4" s="13">
        <v>6</v>
      </c>
      <c r="O4" s="13">
        <v>7</v>
      </c>
      <c r="P4" s="13">
        <v>8</v>
      </c>
      <c r="Q4" s="13">
        <v>9</v>
      </c>
      <c r="R4" s="13">
        <v>10</v>
      </c>
      <c r="S4" s="13">
        <v>11</v>
      </c>
      <c r="T4" s="13">
        <v>12</v>
      </c>
      <c r="U4" s="13" t="s">
        <v>16</v>
      </c>
    </row>
    <row r="5" spans="1:21" ht="16.5" thickTop="1" thickBot="1">
      <c r="A5" s="5" t="s">
        <v>42</v>
      </c>
      <c r="B5" s="7">
        <v>-830</v>
      </c>
      <c r="C5" s="10" t="s">
        <v>11</v>
      </c>
      <c r="D5" s="6">
        <v>-3000</v>
      </c>
      <c r="E5" s="11">
        <f>Tabela25[[#This Row],[Valor]]/12</f>
        <v>-250</v>
      </c>
      <c r="H5" t="s">
        <v>15</v>
      </c>
      <c r="I5" s="6">
        <v>3600</v>
      </c>
      <c r="J5" s="6">
        <v>3690</v>
      </c>
      <c r="K5" s="6">
        <v>3780</v>
      </c>
      <c r="L5" s="6">
        <v>5670</v>
      </c>
      <c r="M5" s="6">
        <v>5805</v>
      </c>
      <c r="N5" s="6">
        <v>5940</v>
      </c>
      <c r="O5" s="6">
        <v>6075</v>
      </c>
      <c r="P5" s="6">
        <v>8010</v>
      </c>
      <c r="Q5" s="6">
        <v>8190</v>
      </c>
      <c r="R5" s="6">
        <v>8370</v>
      </c>
      <c r="S5" s="6">
        <v>8550</v>
      </c>
      <c r="T5" s="6">
        <v>10530</v>
      </c>
      <c r="U5" s="8">
        <f t="shared" ref="U5:U7" si="0">SUM(I5:T5)</f>
        <v>78210</v>
      </c>
    </row>
    <row r="6" spans="1:21" ht="16.5" thickTop="1" thickBot="1">
      <c r="A6" s="5" t="s">
        <v>6</v>
      </c>
      <c r="B6" s="7">
        <v>-1000</v>
      </c>
      <c r="C6" s="10" t="s">
        <v>9</v>
      </c>
      <c r="D6" s="6">
        <v>-21000</v>
      </c>
      <c r="E6" s="11">
        <f>Tabela25[[#This Row],[Valor]]/12</f>
        <v>-1750</v>
      </c>
      <c r="H6" t="s">
        <v>28</v>
      </c>
      <c r="I6" s="6">
        <v>3337.5</v>
      </c>
      <c r="J6" s="6">
        <v>3337.5</v>
      </c>
      <c r="K6" s="6">
        <v>3487.5</v>
      </c>
      <c r="L6" s="6">
        <v>3937.5</v>
      </c>
      <c r="M6" s="6">
        <v>3637.5</v>
      </c>
      <c r="N6" s="6">
        <v>3637.5</v>
      </c>
      <c r="O6" s="6">
        <v>3787.5</v>
      </c>
      <c r="P6" s="6">
        <v>3937.5</v>
      </c>
      <c r="Q6" s="6">
        <v>3937.5</v>
      </c>
      <c r="R6" s="6">
        <v>4087.5</v>
      </c>
      <c r="S6" s="6">
        <v>4087.5</v>
      </c>
      <c r="T6" s="6">
        <v>4237.5</v>
      </c>
      <c r="U6" s="8">
        <f t="shared" si="0"/>
        <v>45450</v>
      </c>
    </row>
    <row r="7" spans="1:21" ht="16.5" thickTop="1" thickBot="1">
      <c r="A7" s="5" t="s">
        <v>0</v>
      </c>
      <c r="B7" s="7">
        <v>-1200</v>
      </c>
      <c r="C7" s="10" t="s">
        <v>13</v>
      </c>
      <c r="D7" s="6">
        <f>(D6*0.86)</f>
        <v>-18060</v>
      </c>
      <c r="E7" s="11">
        <f>Tabela25[[#This Row],[Valor]]/12</f>
        <v>-1505</v>
      </c>
      <c r="H7" s="14" t="s">
        <v>29</v>
      </c>
      <c r="I7" s="15">
        <v>100</v>
      </c>
      <c r="J7" s="15">
        <v>150</v>
      </c>
      <c r="K7" s="15">
        <v>150</v>
      </c>
      <c r="L7" s="15">
        <v>200</v>
      </c>
      <c r="M7" s="15">
        <v>200</v>
      </c>
      <c r="N7" s="15">
        <v>350</v>
      </c>
      <c r="O7" s="15">
        <v>350</v>
      </c>
      <c r="P7" s="15">
        <v>375</v>
      </c>
      <c r="Q7" s="15">
        <v>375</v>
      </c>
      <c r="R7" s="15">
        <v>500</v>
      </c>
      <c r="S7" s="15">
        <v>500</v>
      </c>
      <c r="T7" s="15">
        <v>500</v>
      </c>
      <c r="U7" s="16">
        <f t="shared" si="0"/>
        <v>3750</v>
      </c>
    </row>
    <row r="8" spans="1:21" ht="16.5" thickTop="1" thickBot="1">
      <c r="A8" s="5" t="s">
        <v>3</v>
      </c>
      <c r="B8" s="7">
        <v>-2000</v>
      </c>
      <c r="C8" s="10" t="s">
        <v>44</v>
      </c>
      <c r="D8" s="6">
        <v>-800</v>
      </c>
      <c r="E8" s="11">
        <f>Tabela25[[#This Row],[Valor]]/12</f>
        <v>-66.666666666666671</v>
      </c>
      <c r="H8" s="19" t="s">
        <v>30</v>
      </c>
      <c r="I8" s="18">
        <f t="shared" ref="I8:T8" si="1">SUM(I5:I7)</f>
        <v>7037.5</v>
      </c>
      <c r="J8" s="18">
        <f t="shared" si="1"/>
        <v>7177.5</v>
      </c>
      <c r="K8" s="18">
        <f t="shared" si="1"/>
        <v>7417.5</v>
      </c>
      <c r="L8" s="18">
        <f t="shared" si="1"/>
        <v>9807.5</v>
      </c>
      <c r="M8" s="18">
        <f t="shared" si="1"/>
        <v>9642.5</v>
      </c>
      <c r="N8" s="18">
        <f t="shared" si="1"/>
        <v>9927.5</v>
      </c>
      <c r="O8" s="18">
        <f t="shared" si="1"/>
        <v>10212.5</v>
      </c>
      <c r="P8" s="18">
        <f t="shared" si="1"/>
        <v>12322.5</v>
      </c>
      <c r="Q8" s="18">
        <f t="shared" si="1"/>
        <v>12502.5</v>
      </c>
      <c r="R8" s="18">
        <f t="shared" si="1"/>
        <v>12957.5</v>
      </c>
      <c r="S8" s="18">
        <f t="shared" si="1"/>
        <v>13137.5</v>
      </c>
      <c r="T8" s="18">
        <f t="shared" si="1"/>
        <v>15267.5</v>
      </c>
      <c r="U8" s="18">
        <f>SUM(U5:U7)</f>
        <v>127410</v>
      </c>
    </row>
    <row r="9" spans="1:21" ht="16.5" thickTop="1" thickBot="1">
      <c r="A9" s="5" t="s">
        <v>43</v>
      </c>
      <c r="B9" s="7">
        <v>-400</v>
      </c>
      <c r="C9" s="10" t="s">
        <v>22</v>
      </c>
      <c r="D9" s="6">
        <v>-24000</v>
      </c>
      <c r="E9" s="11">
        <f>Tabela25[[#This Row],[Valor]]/12</f>
        <v>-2000</v>
      </c>
      <c r="H9" s="20" t="s">
        <v>25</v>
      </c>
      <c r="I9" s="9">
        <f>I8*0.15*-1</f>
        <v>-1055.625</v>
      </c>
      <c r="J9" s="9">
        <f t="shared" ref="J9:T9" si="2">J8*0.15*-1</f>
        <v>-1076.625</v>
      </c>
      <c r="K9" s="9">
        <f t="shared" si="2"/>
        <v>-1112.625</v>
      </c>
      <c r="L9" s="9">
        <f t="shared" si="2"/>
        <v>-1471.125</v>
      </c>
      <c r="M9" s="9">
        <f t="shared" si="2"/>
        <v>-1446.375</v>
      </c>
      <c r="N9" s="9">
        <f t="shared" si="2"/>
        <v>-1489.125</v>
      </c>
      <c r="O9" s="9">
        <f t="shared" si="2"/>
        <v>-1531.875</v>
      </c>
      <c r="P9" s="9">
        <f t="shared" si="2"/>
        <v>-1848.375</v>
      </c>
      <c r="Q9" s="9">
        <f t="shared" si="2"/>
        <v>-1875.375</v>
      </c>
      <c r="R9" s="9">
        <f t="shared" si="2"/>
        <v>-1943.625</v>
      </c>
      <c r="S9" s="9">
        <f t="shared" si="2"/>
        <v>-1970.625</v>
      </c>
      <c r="T9" s="9">
        <f t="shared" si="2"/>
        <v>-2290.125</v>
      </c>
      <c r="U9" s="8">
        <f t="shared" ref="U9:U14" si="3">SUM(I9:T9)</f>
        <v>-19111.5</v>
      </c>
    </row>
    <row r="10" spans="1:21" ht="16.5" thickTop="1" thickBot="1">
      <c r="A10" s="5"/>
      <c r="B10" s="7"/>
      <c r="C10" s="10" t="s">
        <v>24</v>
      </c>
      <c r="D10" s="6">
        <v>-2400</v>
      </c>
      <c r="E10" s="11">
        <f>Tabela25[[#This Row],[Valor]]/12</f>
        <v>-200</v>
      </c>
      <c r="H10" s="20" t="s">
        <v>26</v>
      </c>
      <c r="I10" s="9">
        <f>I8*0.09*-1</f>
        <v>-633.375</v>
      </c>
      <c r="J10" s="9">
        <f t="shared" ref="J10:T10" si="4">J8*0.09*-1</f>
        <v>-645.97500000000002</v>
      </c>
      <c r="K10" s="9">
        <f t="shared" si="4"/>
        <v>-667.57499999999993</v>
      </c>
      <c r="L10" s="9">
        <f t="shared" si="4"/>
        <v>-882.67499999999995</v>
      </c>
      <c r="M10" s="9">
        <f t="shared" si="4"/>
        <v>-867.82499999999993</v>
      </c>
      <c r="N10" s="9">
        <f t="shared" si="4"/>
        <v>-893.47500000000002</v>
      </c>
      <c r="O10" s="9">
        <f t="shared" si="4"/>
        <v>-919.125</v>
      </c>
      <c r="P10" s="9">
        <f t="shared" si="4"/>
        <v>-1109.0249999999999</v>
      </c>
      <c r="Q10" s="9">
        <f t="shared" si="4"/>
        <v>-1125.2249999999999</v>
      </c>
      <c r="R10" s="9">
        <f t="shared" si="4"/>
        <v>-1166.175</v>
      </c>
      <c r="S10" s="9">
        <f t="shared" si="4"/>
        <v>-1182.375</v>
      </c>
      <c r="T10" s="9">
        <f t="shared" si="4"/>
        <v>-1374.075</v>
      </c>
      <c r="U10" s="8">
        <f t="shared" si="3"/>
        <v>-11466.9</v>
      </c>
    </row>
    <row r="11" spans="1:21" ht="16.5" thickTop="1" thickBot="1">
      <c r="A11" s="5"/>
      <c r="B11" s="7"/>
      <c r="C11" s="12" t="s">
        <v>23</v>
      </c>
      <c r="D11" s="6">
        <v>-3000</v>
      </c>
      <c r="E11" s="11">
        <f>Tabela25[[#This Row],[Valor]]/12</f>
        <v>-250</v>
      </c>
      <c r="H11" s="21" t="s">
        <v>31</v>
      </c>
      <c r="I11" s="18">
        <f t="shared" ref="I11:T11" si="5">SUM(I8:I10)</f>
        <v>5348.5</v>
      </c>
      <c r="J11" s="18">
        <f t="shared" si="5"/>
        <v>5454.9</v>
      </c>
      <c r="K11" s="18">
        <f t="shared" si="5"/>
        <v>5637.3</v>
      </c>
      <c r="L11" s="18">
        <f t="shared" si="5"/>
        <v>7453.7</v>
      </c>
      <c r="M11" s="18">
        <f t="shared" si="5"/>
        <v>7328.3</v>
      </c>
      <c r="N11" s="18">
        <f t="shared" si="5"/>
        <v>7544.9</v>
      </c>
      <c r="O11" s="18">
        <f t="shared" si="5"/>
        <v>7761.5</v>
      </c>
      <c r="P11" s="18">
        <f t="shared" si="5"/>
        <v>9365.1</v>
      </c>
      <c r="Q11" s="18">
        <f t="shared" si="5"/>
        <v>9501.9</v>
      </c>
      <c r="R11" s="18">
        <f t="shared" si="5"/>
        <v>9847.7000000000007</v>
      </c>
      <c r="S11" s="18">
        <f t="shared" si="5"/>
        <v>9984.5</v>
      </c>
      <c r="T11" s="18">
        <f t="shared" si="5"/>
        <v>11603.3</v>
      </c>
      <c r="U11" s="18">
        <f t="shared" si="3"/>
        <v>96831.6</v>
      </c>
    </row>
    <row r="12" spans="1:21" ht="16.5" thickTop="1" thickBot="1">
      <c r="A12" s="5"/>
      <c r="B12" s="7"/>
      <c r="C12" s="10"/>
      <c r="D12" s="6"/>
      <c r="E12" s="24"/>
      <c r="H12" s="20" t="s">
        <v>33</v>
      </c>
      <c r="I12" s="6">
        <f>((I5+I6+I7)/1.75)*0.65*-1</f>
        <v>-2613.9285714285716</v>
      </c>
      <c r="J12" s="6">
        <f>((J5+J6+J7)/4)*2.4*-1</f>
        <v>-4306.5</v>
      </c>
      <c r="K12" s="6">
        <f t="shared" ref="K12:T12" si="6">((K5+K6+K7)/1.75)*0.65*-1</f>
        <v>-2755.0714285714284</v>
      </c>
      <c r="L12" s="6">
        <f t="shared" si="6"/>
        <v>-3642.7857142857147</v>
      </c>
      <c r="M12" s="6">
        <f t="shared" si="6"/>
        <v>-3581.5</v>
      </c>
      <c r="N12" s="6">
        <f t="shared" si="6"/>
        <v>-3687.3571428571431</v>
      </c>
      <c r="O12" s="6">
        <f t="shared" si="6"/>
        <v>-3793.2142857142858</v>
      </c>
      <c r="P12" s="6">
        <f t="shared" si="6"/>
        <v>-4576.9285714285716</v>
      </c>
      <c r="Q12" s="6">
        <f t="shared" si="6"/>
        <v>-4643.7857142857147</v>
      </c>
      <c r="R12" s="6">
        <f t="shared" si="6"/>
        <v>-4812.7857142857147</v>
      </c>
      <c r="S12" s="6">
        <f t="shared" si="6"/>
        <v>-4879.6428571428569</v>
      </c>
      <c r="T12" s="6">
        <f t="shared" si="6"/>
        <v>-5670.7857142857138</v>
      </c>
      <c r="U12" s="8">
        <f t="shared" si="3"/>
        <v>-48964.28571428571</v>
      </c>
    </row>
    <row r="13" spans="1:21" ht="16.5" thickTop="1" thickBot="1">
      <c r="A13" s="3" t="s">
        <v>12</v>
      </c>
      <c r="B13" s="4">
        <f>SUBTOTAL(109,[Valor])</f>
        <v>-5780</v>
      </c>
      <c r="C13" s="12" t="s">
        <v>12</v>
      </c>
      <c r="D13" s="25">
        <f>SUBTOTAL(109,D2:D11)</f>
        <v>-75410</v>
      </c>
      <c r="E13" s="26">
        <f>SUBTOTAL(109,E2:E11)</f>
        <v>-6284.1666666666661</v>
      </c>
      <c r="H13" s="20" t="s">
        <v>32</v>
      </c>
      <c r="I13" s="9">
        <f>Tabela25[[#Totals],[Colunas1]]</f>
        <v>-6284.1666666666661</v>
      </c>
      <c r="J13" s="9">
        <f>SUBTOTAL(109,E2:E11)</f>
        <v>-6284.1666666666661</v>
      </c>
      <c r="K13" s="9">
        <f>SUBTOTAL(109,E2:E11)</f>
        <v>-6284.1666666666661</v>
      </c>
      <c r="L13" s="9">
        <f>SUBTOTAL(109,E2:E11)</f>
        <v>-6284.1666666666661</v>
      </c>
      <c r="M13" s="9">
        <f>SUBTOTAL(109,E2:E11)</f>
        <v>-6284.1666666666661</v>
      </c>
      <c r="N13" s="6">
        <f>SUBTOTAL(109,E2:E11)</f>
        <v>-6284.1666666666661</v>
      </c>
      <c r="O13" s="6">
        <f>SUBTOTAL(109,E2:E11)</f>
        <v>-6284.1666666666661</v>
      </c>
      <c r="P13" s="6">
        <f>SUBTOTAL(109,E2:E11)</f>
        <v>-6284.1666666666661</v>
      </c>
      <c r="Q13" s="6">
        <f>SUBTOTAL(109,E2:E11)</f>
        <v>-6284.1666666666661</v>
      </c>
      <c r="R13" s="6">
        <f>SUBTOTAL(109,E2:E11)</f>
        <v>-6284.1666666666661</v>
      </c>
      <c r="S13" s="6">
        <f>SUBTOTAL(109,E2:E11)</f>
        <v>-6284.1666666666661</v>
      </c>
      <c r="T13" s="6">
        <f>SUBTOTAL(109,E2:E11)</f>
        <v>-6284.1666666666661</v>
      </c>
      <c r="U13" s="8">
        <f t="shared" si="3"/>
        <v>-75409.999999999985</v>
      </c>
    </row>
    <row r="14" spans="1:21" ht="15.75" thickTop="1">
      <c r="I14" s="8">
        <f t="shared" ref="I14:T14" si="7">SUM(I11:I13)</f>
        <v>-3549.5952380952376</v>
      </c>
      <c r="J14" s="8">
        <f t="shared" si="7"/>
        <v>-5135.7666666666664</v>
      </c>
      <c r="K14" s="8">
        <f t="shared" si="7"/>
        <v>-3401.9380952380943</v>
      </c>
      <c r="L14" s="8">
        <f t="shared" si="7"/>
        <v>-2473.2523809523809</v>
      </c>
      <c r="M14" s="8">
        <f t="shared" si="7"/>
        <v>-2537.3666666666659</v>
      </c>
      <c r="N14" s="8">
        <f t="shared" si="7"/>
        <v>-2426.6238095238095</v>
      </c>
      <c r="O14" s="8">
        <f t="shared" si="7"/>
        <v>-2315.8809523809518</v>
      </c>
      <c r="P14" s="8">
        <f t="shared" si="7"/>
        <v>-1495.9952380952373</v>
      </c>
      <c r="Q14" s="8">
        <f t="shared" si="7"/>
        <v>-1426.0523809523811</v>
      </c>
      <c r="R14" s="8">
        <f t="shared" si="7"/>
        <v>-1249.25238095238</v>
      </c>
      <c r="S14" s="8">
        <f t="shared" si="7"/>
        <v>-1179.3095238095229</v>
      </c>
      <c r="T14" s="8">
        <f t="shared" si="7"/>
        <v>-351.65238095238055</v>
      </c>
      <c r="U14" s="8">
        <f t="shared" si="3"/>
        <v>-27542.685714285712</v>
      </c>
    </row>
    <row r="16" spans="1:21">
      <c r="H16" s="27" t="s">
        <v>17</v>
      </c>
      <c r="I16" s="28"/>
      <c r="J16" s="28" t="s">
        <v>36</v>
      </c>
      <c r="K16" s="29" t="s">
        <v>37</v>
      </c>
      <c r="M16" s="27" t="s">
        <v>18</v>
      </c>
      <c r="N16" s="28"/>
      <c r="O16" s="28" t="s">
        <v>36</v>
      </c>
      <c r="P16" s="29" t="s">
        <v>37</v>
      </c>
      <c r="R16" s="27" t="s">
        <v>19</v>
      </c>
      <c r="S16" s="28"/>
      <c r="T16" s="28" t="s">
        <v>36</v>
      </c>
      <c r="U16" s="29" t="s">
        <v>37</v>
      </c>
    </row>
    <row r="17" spans="1:21">
      <c r="H17" s="30" t="s">
        <v>15</v>
      </c>
      <c r="I17" s="31">
        <f>U5</f>
        <v>78210</v>
      </c>
      <c r="J17" s="31">
        <f>I17-(I17*0.2)</f>
        <v>62568</v>
      </c>
      <c r="K17" s="32">
        <f>I17*1.2</f>
        <v>93852</v>
      </c>
      <c r="M17" s="30" t="s">
        <v>15</v>
      </c>
      <c r="N17" s="31">
        <f>I17+(I17*0.13)</f>
        <v>88377.3</v>
      </c>
      <c r="O17" s="31">
        <f>N17-(N17*0.2)</f>
        <v>70701.84</v>
      </c>
      <c r="P17" s="32">
        <f>N17*1.2</f>
        <v>106052.76</v>
      </c>
      <c r="R17" s="30" t="s">
        <v>15</v>
      </c>
      <c r="S17" s="31">
        <f>N17+(N17*0.13)</f>
        <v>99866.349000000002</v>
      </c>
      <c r="T17" s="31">
        <f>S17-(S17*0.2)</f>
        <v>79893.079200000007</v>
      </c>
      <c r="U17" s="32">
        <f>S17*1.2</f>
        <v>119839.6188</v>
      </c>
    </row>
    <row r="18" spans="1:21">
      <c r="A18" s="12" t="s">
        <v>39</v>
      </c>
      <c r="B18" s="40">
        <v>12</v>
      </c>
      <c r="C18" s="40">
        <f>B18/5</f>
        <v>2.4</v>
      </c>
      <c r="H18" s="30" t="s">
        <v>28</v>
      </c>
      <c r="I18" s="31">
        <f>U6</f>
        <v>45450</v>
      </c>
      <c r="J18" s="31">
        <f t="shared" ref="J18:J19" si="8">I18-(I18*0.2)</f>
        <v>36360</v>
      </c>
      <c r="K18" s="32">
        <f>I18*1.2</f>
        <v>54540</v>
      </c>
      <c r="M18" s="30" t="s">
        <v>28</v>
      </c>
      <c r="N18" s="31">
        <f>I18+(I18*0.13)</f>
        <v>51358.5</v>
      </c>
      <c r="O18" s="31">
        <f t="shared" ref="O18:O19" si="9">N18-(N18*0.2)</f>
        <v>41086.800000000003</v>
      </c>
      <c r="P18" s="32">
        <f>N18*1.2</f>
        <v>61630.2</v>
      </c>
      <c r="R18" s="30" t="s">
        <v>28</v>
      </c>
      <c r="S18" s="31">
        <f>N18+(N18*0.13)</f>
        <v>58035.105000000003</v>
      </c>
      <c r="T18" s="31">
        <f t="shared" ref="T18:T19" si="10">S18-(S18*0.2)</f>
        <v>46428.084000000003</v>
      </c>
      <c r="U18" s="32">
        <f>S18*1.2</f>
        <v>69642.126000000004</v>
      </c>
    </row>
    <row r="19" spans="1:21">
      <c r="A19" s="12" t="s">
        <v>40</v>
      </c>
      <c r="B19" s="40">
        <v>18</v>
      </c>
      <c r="C19" s="40">
        <f t="shared" ref="C19:C20" si="11">B19/5</f>
        <v>3.6</v>
      </c>
      <c r="H19" s="30" t="s">
        <v>29</v>
      </c>
      <c r="I19" s="31">
        <f t="shared" ref="I19:I23" si="12">U7</f>
        <v>3750</v>
      </c>
      <c r="J19" s="31">
        <f t="shared" si="8"/>
        <v>3000</v>
      </c>
      <c r="K19" s="32">
        <f>I19*1.2</f>
        <v>4500</v>
      </c>
      <c r="M19" s="30" t="s">
        <v>29</v>
      </c>
      <c r="N19" s="31">
        <f>I19+(I19*0.13)</f>
        <v>4237.5</v>
      </c>
      <c r="O19" s="31">
        <f t="shared" si="9"/>
        <v>3390</v>
      </c>
      <c r="P19" s="32">
        <f>N19*1.2</f>
        <v>5085</v>
      </c>
      <c r="R19" s="30" t="s">
        <v>29</v>
      </c>
      <c r="S19" s="31">
        <f>N19+(N19*0.13)</f>
        <v>4788.375</v>
      </c>
      <c r="T19" s="31">
        <f t="shared" si="10"/>
        <v>3830.7</v>
      </c>
      <c r="U19" s="32">
        <f>S19*1.2</f>
        <v>5746.05</v>
      </c>
    </row>
    <row r="20" spans="1:21">
      <c r="A20" s="12" t="s">
        <v>41</v>
      </c>
      <c r="B20" s="40">
        <v>20</v>
      </c>
      <c r="C20" s="40">
        <f t="shared" si="11"/>
        <v>4</v>
      </c>
      <c r="H20" s="21" t="s">
        <v>30</v>
      </c>
      <c r="I20" s="18">
        <f t="shared" si="12"/>
        <v>127410</v>
      </c>
      <c r="J20" s="18">
        <f>SUM(J17:J19)</f>
        <v>101928</v>
      </c>
      <c r="K20" s="18">
        <f>SUM(K17:K19)</f>
        <v>152892</v>
      </c>
      <c r="M20" s="21" t="s">
        <v>30</v>
      </c>
      <c r="N20" s="18">
        <f>SUM(N17:N19)</f>
        <v>143973.29999999999</v>
      </c>
      <c r="O20" s="18">
        <f>SUM(O17:O19)</f>
        <v>115178.64</v>
      </c>
      <c r="P20" s="18">
        <f>SUM(P17:P19)</f>
        <v>172767.96</v>
      </c>
      <c r="R20" s="21" t="s">
        <v>30</v>
      </c>
      <c r="S20" s="18">
        <f>SUM(S17:S19)</f>
        <v>162689.829</v>
      </c>
      <c r="T20" s="18">
        <f>SUM(T17:T19)</f>
        <v>130151.86320000001</v>
      </c>
      <c r="U20" s="18">
        <f>SUM(U17:U19)</f>
        <v>195227.79479999997</v>
      </c>
    </row>
    <row r="21" spans="1:21">
      <c r="B21" s="40"/>
      <c r="C21" s="40"/>
      <c r="H21" s="33" t="s">
        <v>25</v>
      </c>
      <c r="I21" s="31">
        <f t="shared" si="12"/>
        <v>-19111.5</v>
      </c>
      <c r="J21" s="31">
        <f>J20*0.15*-1</f>
        <v>-15289.199999999999</v>
      </c>
      <c r="K21" s="32">
        <f>K20*0.15*-1</f>
        <v>-22933.8</v>
      </c>
      <c r="M21" s="33" t="s">
        <v>25</v>
      </c>
      <c r="N21" s="31">
        <f>N20*0.15*-1</f>
        <v>-21595.994999999999</v>
      </c>
      <c r="O21" s="31">
        <f>O20*0.15*-1</f>
        <v>-17276.795999999998</v>
      </c>
      <c r="P21" s="32">
        <f>P20*0.15*-1</f>
        <v>-25915.194</v>
      </c>
      <c r="R21" s="33" t="s">
        <v>25</v>
      </c>
      <c r="S21" s="31">
        <f>S20*0.15*-1</f>
        <v>-24403.47435</v>
      </c>
      <c r="T21" s="31">
        <f>T20*0.15*-1</f>
        <v>-19522.779480000001</v>
      </c>
      <c r="U21" s="32">
        <f>U20*0.15*-1</f>
        <v>-29284.169219999996</v>
      </c>
    </row>
    <row r="22" spans="1:21">
      <c r="B22" s="40"/>
      <c r="C22" s="40"/>
      <c r="H22" s="33" t="s">
        <v>26</v>
      </c>
      <c r="I22" s="31">
        <f t="shared" si="12"/>
        <v>-11466.9</v>
      </c>
      <c r="J22" s="31">
        <f>J20*-1*0.09</f>
        <v>-9173.52</v>
      </c>
      <c r="K22" s="32">
        <f>K20*-1*0.09</f>
        <v>-13760.279999999999</v>
      </c>
      <c r="M22" s="33" t="s">
        <v>26</v>
      </c>
      <c r="N22" s="31">
        <f>N20*0.09*-1</f>
        <v>-12957.596999999998</v>
      </c>
      <c r="O22" s="31">
        <f>O20*-1*0.09</f>
        <v>-10366.077599999999</v>
      </c>
      <c r="P22" s="32">
        <f>P20*-1*0.09</f>
        <v>-15549.116399999999</v>
      </c>
      <c r="R22" s="33" t="s">
        <v>26</v>
      </c>
      <c r="S22" s="31">
        <f>S20*0.09*-1</f>
        <v>-14642.08461</v>
      </c>
      <c r="T22" s="31">
        <f>T20*-1*0.09</f>
        <v>-11713.667688</v>
      </c>
      <c r="U22" s="32">
        <f>U20*-1*0.09</f>
        <v>-17570.501531999998</v>
      </c>
    </row>
    <row r="23" spans="1:21">
      <c r="B23" s="40"/>
      <c r="C23" s="40"/>
      <c r="H23" s="21" t="s">
        <v>31</v>
      </c>
      <c r="I23" s="18">
        <f t="shared" si="12"/>
        <v>96831.6</v>
      </c>
      <c r="J23" s="18">
        <f>SUM(J20:J22)</f>
        <v>77465.279999999999</v>
      </c>
      <c r="K23" s="18">
        <f>SUM(K20:K22)</f>
        <v>116197.92</v>
      </c>
      <c r="M23" s="21" t="s">
        <v>31</v>
      </c>
      <c r="N23" s="18">
        <f>SUM(N20:N22)</f>
        <v>109419.708</v>
      </c>
      <c r="O23" s="18">
        <f>SUM(O20:O22)</f>
        <v>87535.766399999993</v>
      </c>
      <c r="P23" s="18">
        <f>SUM(P20:P22)</f>
        <v>131303.6496</v>
      </c>
      <c r="R23" s="21" t="s">
        <v>31</v>
      </c>
      <c r="S23" s="18">
        <f>SUM(S20:S22)</f>
        <v>123644.27003999999</v>
      </c>
      <c r="T23" s="18">
        <f>SUM(T20:T22)</f>
        <v>98915.416032000008</v>
      </c>
      <c r="U23" s="18">
        <f>SUM(U20:U22)</f>
        <v>148373.124048</v>
      </c>
    </row>
    <row r="24" spans="1:21">
      <c r="B24" s="40"/>
      <c r="C24" s="40"/>
      <c r="H24" s="33" t="s">
        <v>33</v>
      </c>
      <c r="I24" s="31">
        <f>((I20/1.75)*0.65)*-1</f>
        <v>-47323.71428571429</v>
      </c>
      <c r="J24" s="34">
        <f>(J20/1.75)*0.65*-1</f>
        <v>-37858.971428571429</v>
      </c>
      <c r="K24" s="35">
        <f>(K20/1.75)*0.65*-1</f>
        <v>-56788.457142857143</v>
      </c>
      <c r="M24" s="33" t="s">
        <v>33</v>
      </c>
      <c r="N24" s="31">
        <f>(N20/1.75)*0.65*-1</f>
        <v>-53475.79714285714</v>
      </c>
      <c r="O24" s="34">
        <f>(O20/1.75)*0.65*-1</f>
        <v>-42780.637714285716</v>
      </c>
      <c r="P24" s="35">
        <f>(P20/1.75)*0.65*-1</f>
        <v>-64170.956571428564</v>
      </c>
      <c r="R24" s="33" t="s">
        <v>33</v>
      </c>
      <c r="S24" s="31">
        <f>(S20/1.75)*0.65*-1</f>
        <v>-60427.650771428576</v>
      </c>
      <c r="T24" s="34">
        <f>(T20/1.75)*0.65*-1</f>
        <v>-48342.120617142864</v>
      </c>
      <c r="U24" s="35">
        <f>(U20/1.75)*0.65*-1</f>
        <v>-72513.180925714274</v>
      </c>
    </row>
    <row r="25" spans="1:21">
      <c r="H25" s="33" t="s">
        <v>32</v>
      </c>
      <c r="I25" s="31">
        <f>Tabela25[[#Totals],[Valor]]</f>
        <v>-75410</v>
      </c>
      <c r="J25" s="31">
        <f>Tabela25[[#Totals],[Valor]]</f>
        <v>-75410</v>
      </c>
      <c r="K25" s="32">
        <f>Tabela25[[#Totals],[Valor]]</f>
        <v>-75410</v>
      </c>
      <c r="M25" s="33" t="s">
        <v>32</v>
      </c>
      <c r="N25" s="31">
        <f>Tabela25[[#Totals],[Valor]]</f>
        <v>-75410</v>
      </c>
      <c r="O25" s="31">
        <f>Tabela25[[#Totals],[Valor]]</f>
        <v>-75410</v>
      </c>
      <c r="P25" s="32">
        <f>Tabela25[[#Totals],[Valor]]</f>
        <v>-75410</v>
      </c>
      <c r="R25" s="33" t="s">
        <v>32</v>
      </c>
      <c r="S25" s="31">
        <f>Tabela25[[#Totals],[Valor]]</f>
        <v>-75410</v>
      </c>
      <c r="T25" s="31">
        <f>Tabela25[[#Totals],[Valor]]</f>
        <v>-75410</v>
      </c>
      <c r="U25" s="32">
        <f>Tabela25[[#Totals],[Valor]]</f>
        <v>-75410</v>
      </c>
    </row>
    <row r="26" spans="1:21">
      <c r="H26" s="33" t="s">
        <v>35</v>
      </c>
      <c r="I26" s="23">
        <f>Tabela14[[#Totals],[Valor]]</f>
        <v>-5780</v>
      </c>
      <c r="J26" s="23">
        <f>Tabela14[[#Totals],[Valor]]</f>
        <v>-5780</v>
      </c>
      <c r="K26" s="36"/>
      <c r="M26" s="33" t="s">
        <v>35</v>
      </c>
      <c r="N26" s="22"/>
      <c r="O26" s="23"/>
      <c r="P26" s="36"/>
      <c r="R26" s="33" t="s">
        <v>35</v>
      </c>
      <c r="S26" s="22"/>
      <c r="T26" s="23"/>
      <c r="U26" s="36"/>
    </row>
    <row r="27" spans="1:21">
      <c r="H27" s="30"/>
      <c r="I27" s="17">
        <f>SUM(I23:I26)</f>
        <v>-31682.114285714284</v>
      </c>
      <c r="J27" s="17">
        <f>SUM(J23:J26)</f>
        <v>-41583.69142857143</v>
      </c>
      <c r="K27" s="17">
        <f>SUM(K23:K26)</f>
        <v>-16000.537142857145</v>
      </c>
      <c r="M27" s="30"/>
      <c r="N27" s="17">
        <f>SUM(N23:N25)</f>
        <v>-19466.089142857141</v>
      </c>
      <c r="O27" s="17">
        <f>SUM(O23:O26)</f>
        <v>-30654.871314285723</v>
      </c>
      <c r="P27" s="17">
        <f>SUM(P23:P26)</f>
        <v>-8277.3069714285666</v>
      </c>
      <c r="R27" s="30"/>
      <c r="S27" s="17">
        <f>SUM(S23:S25)</f>
        <v>-12193.380731428588</v>
      </c>
      <c r="T27" s="17">
        <f>SUM(T23:T26)</f>
        <v>-24836.704585142856</v>
      </c>
      <c r="U27" s="17">
        <f>SUM(U23:U26)</f>
        <v>449.9431222857238</v>
      </c>
    </row>
    <row r="28" spans="1:21">
      <c r="H28" s="37" t="s">
        <v>34</v>
      </c>
      <c r="I28" s="14"/>
      <c r="J28" s="14"/>
      <c r="K28" s="38"/>
      <c r="M28" s="37" t="s">
        <v>34</v>
      </c>
      <c r="N28" s="39">
        <v>0.1</v>
      </c>
      <c r="O28" s="14"/>
      <c r="P28" s="38"/>
      <c r="R28" s="37" t="s">
        <v>34</v>
      </c>
      <c r="S28" s="39">
        <v>0.11</v>
      </c>
      <c r="T28" s="14"/>
      <c r="U28" s="38"/>
    </row>
    <row r="31" spans="1:21">
      <c r="H31" s="27" t="s">
        <v>20</v>
      </c>
      <c r="I31" s="28"/>
      <c r="J31" s="28" t="s">
        <v>36</v>
      </c>
      <c r="K31" s="29" t="s">
        <v>37</v>
      </c>
      <c r="M31" s="27" t="s">
        <v>21</v>
      </c>
      <c r="N31" s="28"/>
      <c r="O31" s="28" t="s">
        <v>36</v>
      </c>
      <c r="P31" s="29" t="s">
        <v>37</v>
      </c>
    </row>
    <row r="32" spans="1:21">
      <c r="H32" s="30" t="s">
        <v>15</v>
      </c>
      <c r="I32" s="31">
        <f>S17+(S17*0.12)</f>
        <v>111850.31088</v>
      </c>
      <c r="J32" s="31">
        <f>I32-(I32*0.2)</f>
        <v>89480.248703999998</v>
      </c>
      <c r="K32" s="32">
        <f>I32*1.2</f>
        <v>134220.37305600001</v>
      </c>
      <c r="M32" s="30" t="s">
        <v>15</v>
      </c>
      <c r="N32" s="31">
        <f>I32+(I32*0.13)</f>
        <v>126390.85129440001</v>
      </c>
      <c r="O32" s="31">
        <f>N32-(N32*0.2)</f>
        <v>101112.68103552001</v>
      </c>
      <c r="P32" s="32">
        <f>N32*1.2</f>
        <v>151669.02155328001</v>
      </c>
    </row>
    <row r="33" spans="8:16">
      <c r="H33" s="30" t="s">
        <v>28</v>
      </c>
      <c r="I33" s="31">
        <f>S18+(S18*0.12)</f>
        <v>64999.317600000002</v>
      </c>
      <c r="J33" s="31">
        <f t="shared" ref="J33:J34" si="13">I33-(I33*0.2)</f>
        <v>51999.454080000003</v>
      </c>
      <c r="K33" s="32">
        <f>I33*1.2</f>
        <v>77999.181119999994</v>
      </c>
      <c r="M33" s="30" t="s">
        <v>28</v>
      </c>
      <c r="N33" s="31">
        <f>I33+(I33*0.13)</f>
        <v>73449.228887999998</v>
      </c>
      <c r="O33" s="31">
        <f t="shared" ref="O33:O34" si="14">N33-(N33*0.2)</f>
        <v>58759.383110399998</v>
      </c>
      <c r="P33" s="32">
        <f>N33*1.2</f>
        <v>88139.074665599997</v>
      </c>
    </row>
    <row r="34" spans="8:16">
      <c r="H34" s="30" t="s">
        <v>29</v>
      </c>
      <c r="I34" s="31">
        <f>S19+(S19*0.12)</f>
        <v>5362.98</v>
      </c>
      <c r="J34" s="31">
        <f t="shared" si="13"/>
        <v>4290.384</v>
      </c>
      <c r="K34" s="32">
        <f>I34*1.2</f>
        <v>6435.5759999999991</v>
      </c>
      <c r="M34" s="30" t="s">
        <v>29</v>
      </c>
      <c r="N34" s="31">
        <f>I34+(I34*0.13)</f>
        <v>6060.1673999999994</v>
      </c>
      <c r="O34" s="31">
        <f t="shared" si="14"/>
        <v>4848.1339199999993</v>
      </c>
      <c r="P34" s="32">
        <f>N34*1.2</f>
        <v>7272.2008799999994</v>
      </c>
    </row>
    <row r="35" spans="8:16">
      <c r="H35" s="21" t="s">
        <v>30</v>
      </c>
      <c r="I35" s="18">
        <f>SUM(I32:I34)</f>
        <v>182212.60848000002</v>
      </c>
      <c r="J35" s="18">
        <f>SUM(J32:J34)</f>
        <v>145770.08678399998</v>
      </c>
      <c r="K35" s="18">
        <f>SUM(K32:K34)</f>
        <v>218655.13017600001</v>
      </c>
      <c r="M35" s="21" t="s">
        <v>30</v>
      </c>
      <c r="N35" s="18">
        <f>SUM(N32:N34)</f>
        <v>205900.24758240001</v>
      </c>
      <c r="O35" s="18">
        <f>SUM(O32:O34)</f>
        <v>164720.19806592001</v>
      </c>
      <c r="P35" s="18">
        <f>SUM(P32:P34)</f>
        <v>247080.29709887999</v>
      </c>
    </row>
    <row r="36" spans="8:16">
      <c r="H36" s="33" t="s">
        <v>25</v>
      </c>
      <c r="I36" s="31">
        <f>I35*0.15*-1</f>
        <v>-27331.891272000004</v>
      </c>
      <c r="J36" s="31">
        <f>J35*0.15*-1</f>
        <v>-21865.513017599998</v>
      </c>
      <c r="K36" s="32">
        <f>K35*0.15*-1</f>
        <v>-32798.269526399999</v>
      </c>
      <c r="M36" s="33" t="s">
        <v>25</v>
      </c>
      <c r="N36" s="31">
        <f>N35*0.15*-1</f>
        <v>-30885.037137359999</v>
      </c>
      <c r="O36" s="31">
        <f>O35*0.15*-1</f>
        <v>-24708.029709888</v>
      </c>
      <c r="P36" s="32">
        <f>P35*0.15*-1</f>
        <v>-37062.044564831995</v>
      </c>
    </row>
    <row r="37" spans="8:16">
      <c r="H37" s="33" t="s">
        <v>26</v>
      </c>
      <c r="I37" s="31">
        <f>I35*0.09*-1</f>
        <v>-16399.134763200003</v>
      </c>
      <c r="J37" s="31">
        <f>J35*-1*0.09</f>
        <v>-13119.307810559998</v>
      </c>
      <c r="K37" s="32">
        <f>K35*-1*0.09</f>
        <v>-19678.96171584</v>
      </c>
      <c r="M37" s="33" t="s">
        <v>26</v>
      </c>
      <c r="N37" s="31">
        <f>N35*0.09*-1</f>
        <v>-18531.022282416001</v>
      </c>
      <c r="O37" s="31">
        <f>O35*-1*0.09</f>
        <v>-14824.8178259328</v>
      </c>
      <c r="P37" s="32">
        <f>P35*-1*0.09</f>
        <v>-22237.226738899197</v>
      </c>
    </row>
    <row r="38" spans="8:16">
      <c r="H38" s="21" t="s">
        <v>31</v>
      </c>
      <c r="I38" s="18">
        <f>SUM(I35:I37)</f>
        <v>138481.58244480001</v>
      </c>
      <c r="J38" s="18">
        <f>SUM(J35:J37)</f>
        <v>110785.26595583999</v>
      </c>
      <c r="K38" s="18">
        <f>SUM(K35:K37)</f>
        <v>166177.89893376001</v>
      </c>
      <c r="M38" s="21" t="s">
        <v>31</v>
      </c>
      <c r="N38" s="18">
        <f>SUM(N35:N37)</f>
        <v>156484.18816262402</v>
      </c>
      <c r="O38" s="18">
        <f>SUM(O35:O37)</f>
        <v>125187.3505300992</v>
      </c>
      <c r="P38" s="18">
        <f>SUM(P35:P37)</f>
        <v>187781.0257951488</v>
      </c>
    </row>
    <row r="39" spans="8:16">
      <c r="H39" s="33" t="s">
        <v>33</v>
      </c>
      <c r="I39" s="31">
        <f>(I35/1.75)*0.65*-1</f>
        <v>-67678.968864000009</v>
      </c>
      <c r="J39" s="34">
        <f>(J35/1.75)*0.65*-1</f>
        <v>-54143.175091199992</v>
      </c>
      <c r="K39" s="35">
        <f>(K35/1.75)*0.65*-1</f>
        <v>-81214.762636800006</v>
      </c>
      <c r="M39" s="33" t="s">
        <v>33</v>
      </c>
      <c r="N39" s="31">
        <f>(N35/1.75)*0.65*-1</f>
        <v>-76477.234816320008</v>
      </c>
      <c r="O39" s="34">
        <f>(O35/1.75)*0.65*-1</f>
        <v>-61181.787853056005</v>
      </c>
      <c r="P39" s="35">
        <f>(P35/1.75)*0.65*-1</f>
        <v>-91772.681779584003</v>
      </c>
    </row>
    <row r="40" spans="8:16">
      <c r="H40" s="33" t="s">
        <v>32</v>
      </c>
      <c r="I40" s="31">
        <f>Tabela25[[#Totals],[Valor]]</f>
        <v>-75410</v>
      </c>
      <c r="J40" s="31">
        <f>Tabela25[[#Totals],[Valor]]</f>
        <v>-75410</v>
      </c>
      <c r="K40" s="32">
        <f>Tabela25[[#Totals],[Valor]]</f>
        <v>-75410</v>
      </c>
      <c r="M40" s="33" t="s">
        <v>32</v>
      </c>
      <c r="N40" s="31">
        <f>Tabela25[[#Totals],[Valor]]</f>
        <v>-75410</v>
      </c>
      <c r="O40" s="31">
        <f>Tabela25[[#Totals],[Valor]]</f>
        <v>-75410</v>
      </c>
      <c r="P40" s="32">
        <f>Tabela25[[#Totals],[Valor]]</f>
        <v>-75410</v>
      </c>
    </row>
    <row r="41" spans="8:16">
      <c r="H41" s="33" t="s">
        <v>35</v>
      </c>
      <c r="I41" s="22"/>
      <c r="J41" s="23"/>
      <c r="K41" s="36"/>
      <c r="M41" s="33" t="s">
        <v>35</v>
      </c>
      <c r="N41" s="22"/>
      <c r="O41" s="23"/>
      <c r="P41" s="36"/>
    </row>
    <row r="42" spans="8:16">
      <c r="H42" s="30"/>
      <c r="I42" s="17">
        <f>SUM(I38:I40)</f>
        <v>-4607.3864192000037</v>
      </c>
      <c r="J42" s="17">
        <f>SUM(J38:J41)</f>
        <v>-18767.909135360002</v>
      </c>
      <c r="K42" s="17">
        <f>SUM(K38:K41)</f>
        <v>9553.1362969600013</v>
      </c>
      <c r="M42" s="30"/>
      <c r="N42" s="17">
        <f>SUM(N38:N40)</f>
        <v>4596.9533463040134</v>
      </c>
      <c r="O42" s="17">
        <f>SUM(O38:O41)</f>
        <v>-11404.437322956808</v>
      </c>
      <c r="P42" s="17">
        <f>SUM(P38:P41)</f>
        <v>20598.344015564799</v>
      </c>
    </row>
    <row r="43" spans="8:16">
      <c r="H43" s="37" t="s">
        <v>34</v>
      </c>
      <c r="I43" s="39">
        <v>0.12</v>
      </c>
      <c r="J43" s="14"/>
      <c r="K43" s="38"/>
      <c r="M43" s="37" t="s">
        <v>34</v>
      </c>
      <c r="N43" s="39">
        <v>0.13</v>
      </c>
      <c r="O43" s="14"/>
      <c r="P43" s="38"/>
    </row>
  </sheetData>
  <pageMargins left="0.511811024" right="0.511811024" top="0.78740157499999996" bottom="0.78740157499999996" header="0.31496062000000002" footer="0.31496062000000002"/>
  <pageSetup paperSize="9" fitToWidth="0" fitToHeight="0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Trabalho Parte 1</vt:lpstr>
      <vt:lpstr>'Trabalho Parte 1'!Area_de_impressao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Grisa</dc:creator>
  <cp:lastModifiedBy>aliffe_2</cp:lastModifiedBy>
  <dcterms:created xsi:type="dcterms:W3CDTF">2016-06-15T19:08:24Z</dcterms:created>
  <dcterms:modified xsi:type="dcterms:W3CDTF">2017-06-23T04:30:14Z</dcterms:modified>
</cp:coreProperties>
</file>