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6420" yWindow="0" windowWidth="13005" windowHeight="7500"/>
  </bookViews>
  <sheets>
    <sheet name="Trabalho Parte 1" sheetId="4" r:id="rId1"/>
    <sheet name="Plan1" sheetId="5" r:id="rId2"/>
  </sheets>
  <definedNames>
    <definedName name="_xlnm.Print_Area" localSheetId="0">'Trabalho Parte 1'!$A$1:$T$13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/>
  <c r="E19"/>
  <c r="E20"/>
  <c r="C31"/>
  <c r="C30"/>
  <c r="B31"/>
  <c r="Q9" l="1"/>
  <c r="K9"/>
  <c r="J9"/>
  <c r="G19" l="1"/>
  <c r="C25"/>
  <c r="C24"/>
  <c r="AB61"/>
  <c r="T3" s="1"/>
  <c r="T10" s="1"/>
  <c r="AB60"/>
  <c r="AB59"/>
  <c r="AB58"/>
  <c r="Q3" s="1"/>
  <c r="Q10" s="1"/>
  <c r="AB57"/>
  <c r="P3" s="1"/>
  <c r="P10" s="1"/>
  <c r="AB56"/>
  <c r="O3" s="1"/>
  <c r="O10" s="1"/>
  <c r="AB55"/>
  <c r="N3" s="1"/>
  <c r="N10" s="1"/>
  <c r="AB54"/>
  <c r="M3" s="1"/>
  <c r="M10" s="1"/>
  <c r="AB53"/>
  <c r="L3" s="1"/>
  <c r="L10" s="1"/>
  <c r="AB52"/>
  <c r="K3" s="1"/>
  <c r="K10" s="1"/>
  <c r="AB51"/>
  <c r="J3" s="1"/>
  <c r="J10" s="1"/>
  <c r="AB50"/>
  <c r="I3" s="1"/>
  <c r="I10" s="1"/>
  <c r="AG61"/>
  <c r="T4" s="1"/>
  <c r="T11" s="1"/>
  <c r="AG60"/>
  <c r="S4" s="1"/>
  <c r="S11" s="1"/>
  <c r="AG59"/>
  <c r="R4" s="1"/>
  <c r="R11" s="1"/>
  <c r="AG57"/>
  <c r="P4" s="1"/>
  <c r="P11" s="1"/>
  <c r="AG56"/>
  <c r="O4" s="1"/>
  <c r="O11" s="1"/>
  <c r="AG55"/>
  <c r="N4" s="1"/>
  <c r="N11" s="1"/>
  <c r="AG54"/>
  <c r="M4" s="1"/>
  <c r="M11" s="1"/>
  <c r="AG53"/>
  <c r="L4" s="1"/>
  <c r="L11" s="1"/>
  <c r="AG52"/>
  <c r="K4" s="1"/>
  <c r="K11" s="1"/>
  <c r="AG51"/>
  <c r="J4" s="1"/>
  <c r="J11" s="1"/>
  <c r="AG50"/>
  <c r="I4" s="1"/>
  <c r="I11" s="1"/>
  <c r="C23"/>
  <c r="B18"/>
  <c r="C18" s="1"/>
  <c r="C17"/>
  <c r="W50"/>
  <c r="I2" s="1"/>
  <c r="I9" s="1"/>
  <c r="J12" l="1"/>
  <c r="K12"/>
  <c r="I12"/>
  <c r="W51"/>
  <c r="J2" s="1"/>
  <c r="W52"/>
  <c r="K2" s="1"/>
  <c r="D21"/>
  <c r="E9"/>
  <c r="E2"/>
  <c r="E3"/>
  <c r="E4"/>
  <c r="E5"/>
  <c r="E6"/>
  <c r="E7"/>
  <c r="E8"/>
  <c r="I5"/>
  <c r="I6" s="1"/>
  <c r="B13"/>
  <c r="D13"/>
  <c r="P28" s="1"/>
  <c r="I30" l="1"/>
  <c r="K30"/>
  <c r="J5"/>
  <c r="J7" s="1"/>
  <c r="K5"/>
  <c r="K6" s="1"/>
  <c r="W54"/>
  <c r="M2" s="1"/>
  <c r="M9" s="1"/>
  <c r="M12" s="1"/>
  <c r="W53"/>
  <c r="L2" s="1"/>
  <c r="L9" s="1"/>
  <c r="L12" s="1"/>
  <c r="W55"/>
  <c r="N2" s="1"/>
  <c r="N9" s="1"/>
  <c r="J30"/>
  <c r="O48"/>
  <c r="K29"/>
  <c r="P48"/>
  <c r="N28"/>
  <c r="I29"/>
  <c r="J48"/>
  <c r="S28"/>
  <c r="I48"/>
  <c r="J29"/>
  <c r="T28"/>
  <c r="U28"/>
  <c r="O28"/>
  <c r="K48"/>
  <c r="Q13"/>
  <c r="N48"/>
  <c r="N13"/>
  <c r="I7"/>
  <c r="I8" s="1"/>
  <c r="I14" s="1"/>
  <c r="N12" l="1"/>
  <c r="J6"/>
  <c r="J8" s="1"/>
  <c r="J14" s="1"/>
  <c r="P13"/>
  <c r="K7"/>
  <c r="K8" s="1"/>
  <c r="K14" s="1"/>
  <c r="M5"/>
  <c r="L5"/>
  <c r="W56"/>
  <c r="O2" s="1"/>
  <c r="O9" s="1"/>
  <c r="O12" s="1"/>
  <c r="N5"/>
  <c r="M13"/>
  <c r="L13"/>
  <c r="J13"/>
  <c r="E13"/>
  <c r="I13" s="1"/>
  <c r="O13"/>
  <c r="T13"/>
  <c r="K13"/>
  <c r="R13"/>
  <c r="S13"/>
  <c r="M6" l="1"/>
  <c r="M7"/>
  <c r="L6"/>
  <c r="L7"/>
  <c r="N7"/>
  <c r="N6"/>
  <c r="W57"/>
  <c r="P2" s="1"/>
  <c r="P9" s="1"/>
  <c r="P12" s="1"/>
  <c r="O5"/>
  <c r="U13"/>
  <c r="M8" l="1"/>
  <c r="M14" s="1"/>
  <c r="L8"/>
  <c r="L14" s="1"/>
  <c r="W58"/>
  <c r="Q2" s="1"/>
  <c r="O6"/>
  <c r="O7"/>
  <c r="P5"/>
  <c r="N8"/>
  <c r="N14" s="1"/>
  <c r="O8" l="1"/>
  <c r="O14" s="1"/>
  <c r="W59"/>
  <c r="R2" s="1"/>
  <c r="R9" s="1"/>
  <c r="P6"/>
  <c r="P7"/>
  <c r="AG58" l="1"/>
  <c r="Q4" s="1"/>
  <c r="Q11" s="1"/>
  <c r="W61"/>
  <c r="T2" s="1"/>
  <c r="T9" s="1"/>
  <c r="T12" s="1"/>
  <c r="W60"/>
  <c r="S2" s="1"/>
  <c r="S9" s="1"/>
  <c r="P8"/>
  <c r="P14" s="1"/>
  <c r="V9" l="1"/>
  <c r="Q12"/>
  <c r="V11"/>
  <c r="U4"/>
  <c r="I19" s="1"/>
  <c r="Q5"/>
  <c r="T5"/>
  <c r="U2"/>
  <c r="I26" l="1"/>
  <c r="K19"/>
  <c r="K26" s="1"/>
  <c r="J19"/>
  <c r="J26" s="1"/>
  <c r="N19"/>
  <c r="Q7"/>
  <c r="Q6"/>
  <c r="R3"/>
  <c r="R10" s="1"/>
  <c r="I17"/>
  <c r="I24" s="1"/>
  <c r="T7"/>
  <c r="T6"/>
  <c r="Q8" l="1"/>
  <c r="Q14" s="1"/>
  <c r="R12"/>
  <c r="N26"/>
  <c r="P19"/>
  <c r="P26" s="1"/>
  <c r="O19"/>
  <c r="O26" s="1"/>
  <c r="S19"/>
  <c r="R5"/>
  <c r="S3"/>
  <c r="T8"/>
  <c r="T14" s="1"/>
  <c r="K17"/>
  <c r="K24" s="1"/>
  <c r="J17"/>
  <c r="J24" s="1"/>
  <c r="N17"/>
  <c r="N24" s="1"/>
  <c r="U3" l="1"/>
  <c r="U5" s="1"/>
  <c r="I20" s="1"/>
  <c r="S10"/>
  <c r="S26"/>
  <c r="I39"/>
  <c r="T19"/>
  <c r="T26" s="1"/>
  <c r="U19"/>
  <c r="U26" s="1"/>
  <c r="S5"/>
  <c r="R7"/>
  <c r="R6"/>
  <c r="P17"/>
  <c r="P24" s="1"/>
  <c r="S17"/>
  <c r="S24" s="1"/>
  <c r="O17"/>
  <c r="O24" s="1"/>
  <c r="S12" l="1"/>
  <c r="V10"/>
  <c r="I18"/>
  <c r="J18" s="1"/>
  <c r="I46"/>
  <c r="J39"/>
  <c r="J46" s="1"/>
  <c r="N39"/>
  <c r="K39"/>
  <c r="K46" s="1"/>
  <c r="S7"/>
  <c r="U7" s="1"/>
  <c r="I22" s="1"/>
  <c r="S6"/>
  <c r="S8" s="1"/>
  <c r="R8"/>
  <c r="R14" s="1"/>
  <c r="T17"/>
  <c r="T24" s="1"/>
  <c r="I37"/>
  <c r="I44" s="1"/>
  <c r="U17"/>
  <c r="U24" s="1"/>
  <c r="N18" l="1"/>
  <c r="N25" s="1"/>
  <c r="N27" s="1"/>
  <c r="S14"/>
  <c r="U12"/>
  <c r="K18"/>
  <c r="K20" s="1"/>
  <c r="I25"/>
  <c r="I27" s="1"/>
  <c r="N46"/>
  <c r="P39"/>
  <c r="P46" s="1"/>
  <c r="O39"/>
  <c r="O46" s="1"/>
  <c r="U6"/>
  <c r="I21" s="1"/>
  <c r="U14"/>
  <c r="U8"/>
  <c r="I23" s="1"/>
  <c r="S18"/>
  <c r="S25" s="1"/>
  <c r="J25"/>
  <c r="J27" s="1"/>
  <c r="J20"/>
  <c r="K37"/>
  <c r="K44" s="1"/>
  <c r="N37"/>
  <c r="N44" s="1"/>
  <c r="J37"/>
  <c r="J44" s="1"/>
  <c r="O18" l="1"/>
  <c r="O25" s="1"/>
  <c r="P18"/>
  <c r="P25" s="1"/>
  <c r="P27" s="1"/>
  <c r="N20"/>
  <c r="N22" s="1"/>
  <c r="K25"/>
  <c r="K27" s="1"/>
  <c r="I31"/>
  <c r="E31" s="1"/>
  <c r="I28"/>
  <c r="J21"/>
  <c r="J22"/>
  <c r="O27"/>
  <c r="K22"/>
  <c r="K21"/>
  <c r="S27"/>
  <c r="T18"/>
  <c r="T25" s="1"/>
  <c r="U18"/>
  <c r="U25" s="1"/>
  <c r="I38"/>
  <c r="I45" s="1"/>
  <c r="S20"/>
  <c r="P37"/>
  <c r="P44" s="1"/>
  <c r="O37"/>
  <c r="O44" s="1"/>
  <c r="O20" l="1"/>
  <c r="P20"/>
  <c r="P22" s="1"/>
  <c r="N21"/>
  <c r="N23" s="1"/>
  <c r="N30" s="1"/>
  <c r="J23"/>
  <c r="T27"/>
  <c r="T20"/>
  <c r="O22"/>
  <c r="O21"/>
  <c r="U27"/>
  <c r="U20"/>
  <c r="I47"/>
  <c r="J38"/>
  <c r="J45" s="1"/>
  <c r="N38"/>
  <c r="N45" s="1"/>
  <c r="K38"/>
  <c r="K45" s="1"/>
  <c r="I40"/>
  <c r="K23"/>
  <c r="S21"/>
  <c r="S22"/>
  <c r="P21" l="1"/>
  <c r="P23" s="1"/>
  <c r="P30" s="1"/>
  <c r="J31"/>
  <c r="F31" s="1"/>
  <c r="J28"/>
  <c r="K31"/>
  <c r="G31" s="1"/>
  <c r="K28"/>
  <c r="E32"/>
  <c r="S23"/>
  <c r="S30" s="1"/>
  <c r="E33" s="1"/>
  <c r="J47"/>
  <c r="J40"/>
  <c r="N47"/>
  <c r="P38"/>
  <c r="P45" s="1"/>
  <c r="O38"/>
  <c r="O45" s="1"/>
  <c r="N40"/>
  <c r="T21"/>
  <c r="T22"/>
  <c r="K47"/>
  <c r="K40"/>
  <c r="U21"/>
  <c r="U22"/>
  <c r="I42"/>
  <c r="I41"/>
  <c r="O23"/>
  <c r="O30" s="1"/>
  <c r="F32" l="1"/>
  <c r="G32"/>
  <c r="I43"/>
  <c r="I50" s="1"/>
  <c r="T23"/>
  <c r="T30" s="1"/>
  <c r="F33" s="1"/>
  <c r="P47"/>
  <c r="P40"/>
  <c r="O47"/>
  <c r="O40"/>
  <c r="J42"/>
  <c r="J41"/>
  <c r="U23"/>
  <c r="U30" s="1"/>
  <c r="G33" s="1"/>
  <c r="N42"/>
  <c r="N41"/>
  <c r="K42"/>
  <c r="K41"/>
  <c r="E34" l="1"/>
  <c r="K43"/>
  <c r="K50" s="1"/>
  <c r="G34" s="1"/>
  <c r="P42"/>
  <c r="P41"/>
  <c r="J43"/>
  <c r="J50" s="1"/>
  <c r="F34" s="1"/>
  <c r="O41"/>
  <c r="O42"/>
  <c r="N43"/>
  <c r="N50" s="1"/>
  <c r="E35" s="1"/>
  <c r="E38" l="1"/>
  <c r="E36"/>
  <c r="O43"/>
  <c r="O50" s="1"/>
  <c r="F35" s="1"/>
  <c r="F36" s="1"/>
  <c r="P43"/>
  <c r="P50" s="1"/>
  <c r="G35" l="1"/>
  <c r="G36" s="1"/>
  <c r="G38"/>
  <c r="F38"/>
</calcChain>
</file>

<file path=xl/sharedStrings.xml><?xml version="1.0" encoding="utf-8"?>
<sst xmlns="http://schemas.openxmlformats.org/spreadsheetml/2006/main" count="188" uniqueCount="92">
  <si>
    <t>Geladeiras</t>
  </si>
  <si>
    <t>Investimento</t>
  </si>
  <si>
    <t>Reforma da Infraestrutura</t>
  </si>
  <si>
    <t>Balança Digita Precisa</t>
  </si>
  <si>
    <t>Utencilios para produção</t>
  </si>
  <si>
    <t>Abertura da empresa oficial</t>
  </si>
  <si>
    <t>Valor</t>
  </si>
  <si>
    <t>Manutençao</t>
  </si>
  <si>
    <t>Marketing</t>
  </si>
  <si>
    <t>Total</t>
  </si>
  <si>
    <t>MÊS</t>
  </si>
  <si>
    <t>FORNECIMENTO</t>
  </si>
  <si>
    <t>TOTAL</t>
  </si>
  <si>
    <t>ANO 1</t>
  </si>
  <si>
    <t>ANO 2</t>
  </si>
  <si>
    <t>ANO 3</t>
  </si>
  <si>
    <t>ANO 5</t>
  </si>
  <si>
    <t>Pró-labore</t>
  </si>
  <si>
    <t>Tarifa bancária</t>
  </si>
  <si>
    <t>Encargos(20%)</t>
  </si>
  <si>
    <t>IR(15%)</t>
  </si>
  <si>
    <t>CSLL(9%)</t>
  </si>
  <si>
    <t>Despesas Mensais</t>
  </si>
  <si>
    <t>FESTAS</t>
  </si>
  <si>
    <t xml:space="preserve">PEDIDOS PARALELOS </t>
  </si>
  <si>
    <t>LUCRO BRUTO MENSAL</t>
  </si>
  <si>
    <t>LUCRO LIQUIDO</t>
  </si>
  <si>
    <t>DESPESAS MENSAIS</t>
  </si>
  <si>
    <t>MATERIAIS DIRETOS</t>
  </si>
  <si>
    <t>CRESCIMENTO</t>
  </si>
  <si>
    <t>INVESTIMENTO</t>
  </si>
  <si>
    <t>Luz e Água</t>
  </si>
  <si>
    <t>Pato</t>
  </si>
  <si>
    <t>Cordeiro</t>
  </si>
  <si>
    <t>moedor comercial</t>
  </si>
  <si>
    <t>formas de ferro</t>
  </si>
  <si>
    <t>Internet</t>
  </si>
  <si>
    <t>caixas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</si>
  <si>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</si>
  <si>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</si>
  <si>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</si>
  <si>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</si>
  <si>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</si>
  <si>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</si>
  <si>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</si>
  <si>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</si>
  <si>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</si>
  <si>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</si>
  <si>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</si>
  <si>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</si>
  <si>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caixa 10 uni</t>
  </si>
  <si>
    <t>valor</t>
  </si>
  <si>
    <t>produto</t>
  </si>
  <si>
    <t>venda mês</t>
  </si>
  <si>
    <t>VPL</t>
  </si>
  <si>
    <t>Gelo seco  (R$15 pacote)</t>
  </si>
  <si>
    <t>OTIMISTA(+30%)</t>
  </si>
  <si>
    <t>PESSIMISTA (-10%)</t>
  </si>
  <si>
    <t>pato</t>
  </si>
  <si>
    <t>cordeiro</t>
  </si>
  <si>
    <t>Pernil</t>
  </si>
  <si>
    <t>pernil</t>
  </si>
  <si>
    <t>Tempo de preparo</t>
  </si>
  <si>
    <t>15 mim / Caixa</t>
  </si>
  <si>
    <t>TIR</t>
  </si>
  <si>
    <t>otimista</t>
  </si>
  <si>
    <t>pessimista</t>
  </si>
  <si>
    <t>normal</t>
  </si>
  <si>
    <t xml:space="preserve"> Site</t>
  </si>
  <si>
    <t>Produto</t>
  </si>
  <si>
    <t>Caixa Armazenamento</t>
  </si>
  <si>
    <t>P/unidade</t>
  </si>
  <si>
    <t>funcionário</t>
  </si>
  <si>
    <t>sálario</t>
  </si>
  <si>
    <t>impostos</t>
  </si>
  <si>
    <t>M.D Pernil</t>
  </si>
  <si>
    <t>M.D Pato</t>
  </si>
  <si>
    <t>M.D Cordeiro</t>
  </si>
  <si>
    <t>1KG</t>
  </si>
  <si>
    <t>Peça</t>
  </si>
  <si>
    <t>Valor por unidade</t>
  </si>
  <si>
    <t>Paleta de Cordeiro URUGUAIA</t>
  </si>
  <si>
    <t>Unidade</t>
  </si>
  <si>
    <t>Custo por unidade no produto</t>
  </si>
  <si>
    <t>Outros gastos (energia, água e depreciação)</t>
  </si>
  <si>
    <t>Custo produção p/unidade</t>
  </si>
  <si>
    <t>Preço final p/unidade</t>
  </si>
  <si>
    <t>Hambúrguer Pernil</t>
  </si>
  <si>
    <t>HambúrguerPato</t>
  </si>
  <si>
    <t>Hambúrguer Cordeiro</t>
  </si>
  <si>
    <t/>
  </si>
  <si>
    <t>Ano</t>
  </si>
</sst>
</file>

<file path=xl/styles.xml><?xml version="1.0" encoding="utf-8"?>
<styleSheet xmlns="http://schemas.openxmlformats.org/spreadsheetml/2006/main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C4646"/>
      <name val="Consolas"/>
      <family val="3"/>
    </font>
    <font>
      <sz val="12"/>
      <color rgb="FF2F2F2F"/>
      <name val="Segoe UI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7FFA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1" xfId="1"/>
    <xf numFmtId="164" fontId="1" fillId="0" borderId="1" xfId="1" applyNumberFormat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1" applyFill="1"/>
    <xf numFmtId="44" fontId="0" fillId="0" borderId="0" xfId="2" applyFont="1"/>
    <xf numFmtId="164" fontId="1" fillId="0" borderId="1" xfId="1" applyNumberFormat="1" applyFill="1"/>
    <xf numFmtId="44" fontId="1" fillId="0" borderId="0" xfId="0" applyNumberFormat="1" applyFont="1"/>
    <xf numFmtId="44" fontId="0" fillId="0" borderId="0" xfId="0" applyNumberFormat="1"/>
    <xf numFmtId="0" fontId="0" fillId="0" borderId="0" xfId="0" applyFill="1"/>
    <xf numFmtId="44" fontId="0" fillId="0" borderId="0" xfId="2" applyFont="1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44" fontId="0" fillId="0" borderId="4" xfId="2" applyFont="1" applyBorder="1"/>
    <xf numFmtId="44" fontId="1" fillId="0" borderId="4" xfId="0" applyNumberFormat="1" applyFont="1" applyBorder="1"/>
    <xf numFmtId="44" fontId="1" fillId="0" borderId="2" xfId="0" applyNumberFormat="1" applyFont="1" applyBorder="1"/>
    <xf numFmtId="44" fontId="1" fillId="2" borderId="2" xfId="0" applyNumberFormat="1" applyFont="1" applyFill="1" applyBorder="1"/>
    <xf numFmtId="0" fontId="0" fillId="0" borderId="2" xfId="0" applyBorder="1"/>
    <xf numFmtId="0" fontId="0" fillId="0" borderId="0" xfId="0" applyFill="1" applyBorder="1"/>
    <xf numFmtId="0" fontId="0" fillId="2" borderId="2" xfId="0" applyFill="1" applyBorder="1"/>
    <xf numFmtId="0" fontId="0" fillId="0" borderId="0" xfId="0" applyBorder="1"/>
    <xf numFmtId="44" fontId="0" fillId="0" borderId="0" xfId="0" applyNumberFormat="1" applyFill="1" applyBorder="1"/>
    <xf numFmtId="0" fontId="0" fillId="0" borderId="0" xfId="0" applyNumberFormat="1" applyFill="1"/>
    <xf numFmtId="44" fontId="0" fillId="0" borderId="0" xfId="0" applyNumberFormat="1" applyBorder="1"/>
    <xf numFmtId="44" fontId="0" fillId="0" borderId="0" xfId="2" applyFont="1" applyBorder="1"/>
    <xf numFmtId="0" fontId="0" fillId="0" borderId="5" xfId="0" applyBorder="1"/>
    <xf numFmtId="0" fontId="0" fillId="0" borderId="6" xfId="0" applyBorder="1"/>
    <xf numFmtId="9" fontId="0" fillId="0" borderId="4" xfId="0" applyNumberFormat="1" applyBorder="1"/>
    <xf numFmtId="164" fontId="0" fillId="0" borderId="0" xfId="0" applyNumberFormat="1"/>
    <xf numFmtId="9" fontId="3" fillId="0" borderId="0" xfId="0" applyNumberFormat="1" applyFont="1"/>
    <xf numFmtId="9" fontId="0" fillId="0" borderId="0" xfId="0" applyNumberFormat="1" applyAlignment="1">
      <alignment vertical="center"/>
    </xf>
    <xf numFmtId="0" fontId="0" fillId="0" borderId="0" xfId="0" applyAlignment="1"/>
    <xf numFmtId="165" fontId="0" fillId="0" borderId="0" xfId="0" applyNumberFormat="1" applyBorder="1"/>
    <xf numFmtId="165" fontId="0" fillId="0" borderId="0" xfId="0" applyNumberFormat="1"/>
    <xf numFmtId="8" fontId="4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2" borderId="12" xfId="0" applyFill="1" applyBorder="1"/>
    <xf numFmtId="44" fontId="1" fillId="2" borderId="13" xfId="0" applyNumberFormat="1" applyFont="1" applyFill="1" applyBorder="1"/>
    <xf numFmtId="0" fontId="0" fillId="0" borderId="10" xfId="0" applyFill="1" applyBorder="1"/>
    <xf numFmtId="165" fontId="0" fillId="0" borderId="11" xfId="0" applyNumberFormat="1" applyBorder="1"/>
    <xf numFmtId="44" fontId="0" fillId="0" borderId="11" xfId="2" applyFont="1" applyBorder="1"/>
    <xf numFmtId="44" fontId="0" fillId="0" borderId="11" xfId="0" applyNumberFormat="1" applyFill="1" applyBorder="1"/>
    <xf numFmtId="0" fontId="0" fillId="0" borderId="14" xfId="0" applyBorder="1"/>
    <xf numFmtId="44" fontId="1" fillId="0" borderId="15" xfId="0" applyNumberFormat="1" applyFont="1" applyBorder="1"/>
    <xf numFmtId="44" fontId="1" fillId="0" borderId="16" xfId="0" applyNumberFormat="1" applyFont="1" applyBorder="1"/>
    <xf numFmtId="44" fontId="1" fillId="0" borderId="13" xfId="0" applyNumberFormat="1" applyFont="1" applyBorder="1"/>
    <xf numFmtId="9" fontId="0" fillId="0" borderId="17" xfId="0" applyNumberFormat="1" applyBorder="1"/>
    <xf numFmtId="0" fontId="0" fillId="0" borderId="17" xfId="0" applyBorder="1"/>
    <xf numFmtId="0" fontId="0" fillId="0" borderId="18" xfId="0" applyBorder="1"/>
    <xf numFmtId="44" fontId="5" fillId="0" borderId="0" xfId="0" applyNumberFormat="1" applyFont="1"/>
    <xf numFmtId="44" fontId="5" fillId="0" borderId="3" xfId="0" applyNumberFormat="1" applyFont="1" applyFill="1" applyBorder="1"/>
    <xf numFmtId="165" fontId="0" fillId="0" borderId="0" xfId="2" applyNumberFormat="1" applyFont="1"/>
    <xf numFmtId="44" fontId="5" fillId="0" borderId="0" xfId="2" applyFont="1"/>
    <xf numFmtId="44" fontId="0" fillId="0" borderId="19" xfId="2" applyNumberFormat="1" applyFont="1" applyBorder="1"/>
    <xf numFmtId="44" fontId="0" fillId="3" borderId="20" xfId="2" applyNumberFormat="1" applyFont="1" applyFill="1" applyBorder="1"/>
    <xf numFmtId="0" fontId="0" fillId="0" borderId="0" xfId="2" applyNumberFormat="1" applyFont="1" applyFill="1"/>
    <xf numFmtId="165" fontId="1" fillId="0" borderId="0" xfId="0" applyNumberFormat="1" applyFont="1" applyFill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5" fontId="0" fillId="0" borderId="18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quotePrefix="1" applyBorder="1"/>
    <xf numFmtId="44" fontId="0" fillId="0" borderId="19" xfId="2" applyNumberFormat="1" applyFont="1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44" fontId="0" fillId="0" borderId="17" xfId="0" applyNumberFormat="1" applyBorder="1"/>
    <xf numFmtId="44" fontId="0" fillId="0" borderId="18" xfId="0" applyNumberFormat="1" applyBorder="1"/>
    <xf numFmtId="9" fontId="3" fillId="0" borderId="8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11" xfId="0" applyNumberFormat="1" applyBorder="1"/>
    <xf numFmtId="8" fontId="3" fillId="0" borderId="17" xfId="0" applyNumberFormat="1" applyFont="1" applyBorder="1"/>
    <xf numFmtId="8" fontId="0" fillId="0" borderId="17" xfId="0" applyNumberFormat="1" applyBorder="1"/>
    <xf numFmtId="8" fontId="0" fillId="0" borderId="18" xfId="0" applyNumberFormat="1" applyBorder="1"/>
  </cellXfs>
  <cellStyles count="4">
    <cellStyle name="Moeda" xfId="2" builtinId="4"/>
    <cellStyle name="Moeda 2" xfId="3"/>
    <cellStyle name="Normal" xfId="0" builtinId="0"/>
    <cellStyle name="Total" xfId="1" builtinId="2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relativeIndent="255" justifyLastLine="0" shrinkToFit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</dxfs>
  <tableStyles count="1" defaultTableStyle="TableStyleMedium2" defaultPivotStyle="PivotStyleLight16">
    <tableStyle name="Estilo de Tabela 1" pivot="0" count="0"/>
  </tableStyles>
  <colors>
    <mruColors>
      <color rgb="FFA7FFA7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14" displayName="Tabela14" ref="A1:B13" totalsRowCount="1" headerRowCellStyle="Total" dataCellStyle="Total">
  <autoFilter ref="A1:B12"/>
  <sortState ref="A2:B12">
    <sortCondition ref="B1:B12"/>
  </sortState>
  <tableColumns count="2">
    <tableColumn id="1" name="Investimento" totalsRowLabel="Total" totalsRowDxfId="11" dataCellStyle="Total"/>
    <tableColumn id="2" name="Valor" totalsRowFunction="sum" dataDxfId="10" totalsRowDxfId="9" dataCellStyle="Total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4" name="Tabela25" displayName="Tabela25" ref="C1:E13" headerRowCount="0" totalsRowCount="1" totalsRowBorderDxfId="8" headerRowCellStyle="Normal" dataCellStyle="Normal" totalsRowCellStyle="Normal">
  <tableColumns count="3">
    <tableColumn id="1" name="Despesas Anuais" totalsRowLabel="Total" headerRowDxfId="7" dataDxfId="6" headerRowCellStyle="Total" dataCellStyle="Normal"/>
    <tableColumn id="2" name="Valor" totalsRowFunction="custom" headerRowDxfId="5" dataDxfId="4" totalsRowDxfId="1" headerRowCellStyle="Total" dataCellStyle="Moeda">
      <totalsRowFormula>SUBTOTAL(109,D2:D10)</totalsRowFormula>
    </tableColumn>
    <tableColumn id="3" name="Colunas1" totalsRowFunction="custom" headerRowDxfId="3" dataDxfId="2" totalsRowDxfId="0" headerRowCellStyle="Normal" dataCellStyle="Moeda">
      <calculatedColumnFormula>Tabela25[[#This Row],[Valor]]/12</calculatedColumnFormula>
      <totalsRowFormula>SUBTOTAL(109,E2:E11)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5"/>
  <sheetViews>
    <sheetView tabSelected="1" topLeftCell="E1" zoomScale="75" zoomScaleNormal="75" workbookViewId="0">
      <selection activeCell="M16" sqref="M16:P31"/>
    </sheetView>
  </sheetViews>
  <sheetFormatPr defaultRowHeight="15"/>
  <cols>
    <col min="1" max="1" width="40.5703125" customWidth="1"/>
    <col min="2" max="2" width="17.140625" customWidth="1"/>
    <col min="3" max="3" width="29.7109375" customWidth="1"/>
    <col min="4" max="4" width="20.5703125" customWidth="1"/>
    <col min="5" max="5" width="28.28515625" customWidth="1"/>
    <col min="6" max="6" width="20.85546875" customWidth="1"/>
    <col min="7" max="7" width="20.42578125" customWidth="1"/>
    <col min="8" max="8" width="21.42578125" customWidth="1"/>
    <col min="9" max="9" width="18" customWidth="1"/>
    <col min="10" max="10" width="17.5703125" customWidth="1"/>
    <col min="11" max="11" width="16.85546875" customWidth="1"/>
    <col min="12" max="12" width="24.7109375" customWidth="1"/>
    <col min="13" max="13" width="21" customWidth="1"/>
    <col min="14" max="14" width="20.5703125" bestFit="1" customWidth="1"/>
    <col min="15" max="15" width="18.28515625" customWidth="1"/>
    <col min="16" max="16" width="16.7109375" customWidth="1"/>
    <col min="17" max="17" width="17.42578125" customWidth="1"/>
    <col min="18" max="18" width="21.85546875" customWidth="1"/>
    <col min="19" max="19" width="15.5703125" customWidth="1"/>
    <col min="20" max="20" width="17.42578125" customWidth="1"/>
    <col min="21" max="21" width="15.42578125" customWidth="1"/>
    <col min="22" max="22" width="16.42578125" customWidth="1"/>
    <col min="23" max="23" width="13.7109375" customWidth="1"/>
    <col min="24" max="24" width="11.7109375" customWidth="1"/>
    <col min="26" max="26" width="12.85546875" customWidth="1"/>
    <col min="28" max="28" width="14" bestFit="1" customWidth="1"/>
    <col min="31" max="31" width="12" customWidth="1"/>
    <col min="33" max="33" width="14" bestFit="1" customWidth="1"/>
  </cols>
  <sheetData>
    <row r="1" spans="1:22" ht="15.75" thickBot="1">
      <c r="A1" s="1" t="s">
        <v>1</v>
      </c>
      <c r="B1" s="2" t="s">
        <v>6</v>
      </c>
      <c r="C1" s="10" t="s">
        <v>22</v>
      </c>
      <c r="D1" s="6" t="s">
        <v>6</v>
      </c>
      <c r="E1" s="6" t="s">
        <v>6</v>
      </c>
      <c r="G1" t="s">
        <v>13</v>
      </c>
      <c r="H1" t="s">
        <v>10</v>
      </c>
      <c r="I1" s="13">
        <v>1</v>
      </c>
      <c r="J1" s="13">
        <v>2</v>
      </c>
      <c r="K1" s="13">
        <v>3</v>
      </c>
      <c r="L1" s="13">
        <v>4</v>
      </c>
      <c r="M1" s="13">
        <v>5</v>
      </c>
      <c r="N1" s="13">
        <v>6</v>
      </c>
      <c r="O1" s="13">
        <v>7</v>
      </c>
      <c r="P1" s="13">
        <v>8</v>
      </c>
      <c r="Q1" s="13">
        <v>9</v>
      </c>
      <c r="R1" s="13">
        <v>10</v>
      </c>
      <c r="S1" s="13">
        <v>11</v>
      </c>
      <c r="T1" s="13">
        <v>12</v>
      </c>
      <c r="U1" s="13" t="s">
        <v>12</v>
      </c>
    </row>
    <row r="2" spans="1:22" ht="16.5" thickTop="1" thickBot="1">
      <c r="A2" s="1" t="s">
        <v>4</v>
      </c>
      <c r="B2" s="2">
        <v>-250</v>
      </c>
      <c r="C2" s="10" t="s">
        <v>68</v>
      </c>
      <c r="D2" s="6">
        <v>-1000</v>
      </c>
      <c r="E2" s="11">
        <f>Tabela25[[#This Row],[Valor]]/12</f>
        <v>-83.333333333333329</v>
      </c>
      <c r="H2" s="12" t="s">
        <v>60</v>
      </c>
      <c r="I2" s="6">
        <f>W50</f>
        <v>4750</v>
      </c>
      <c r="J2" s="6">
        <f>W51</f>
        <v>4500</v>
      </c>
      <c r="K2" s="6">
        <f>W52</f>
        <v>4500</v>
      </c>
      <c r="L2" s="6">
        <f>W53</f>
        <v>4500</v>
      </c>
      <c r="M2" s="6">
        <f>W54</f>
        <v>5000</v>
      </c>
      <c r="N2" s="6">
        <f>W55</f>
        <v>5500</v>
      </c>
      <c r="O2" s="6">
        <f>W56</f>
        <v>6250</v>
      </c>
      <c r="P2" s="6">
        <f>W57</f>
        <v>6000</v>
      </c>
      <c r="Q2" s="6">
        <f>W58</f>
        <v>5500</v>
      </c>
      <c r="R2" s="6">
        <f>W59</f>
        <v>8000</v>
      </c>
      <c r="S2" s="6">
        <f>W60</f>
        <v>7000</v>
      </c>
      <c r="T2" s="6">
        <f>W61</f>
        <v>7500</v>
      </c>
      <c r="U2" s="8">
        <f t="shared" ref="U2:U4" si="0">SUM(I2:T2)</f>
        <v>69000</v>
      </c>
    </row>
    <row r="3" spans="1:22" ht="16.5" thickTop="1" thickBot="1">
      <c r="A3" s="5" t="s">
        <v>3</v>
      </c>
      <c r="B3" s="7">
        <v>-120</v>
      </c>
      <c r="C3" s="10" t="s">
        <v>7</v>
      </c>
      <c r="D3" s="6">
        <v>-1000</v>
      </c>
      <c r="E3" s="11">
        <f>Tabela25[[#This Row],[Valor]]/12</f>
        <v>-83.333333333333329</v>
      </c>
      <c r="H3" s="12" t="s">
        <v>32</v>
      </c>
      <c r="I3" s="6">
        <f>AB50</f>
        <v>3600</v>
      </c>
      <c r="J3" s="6">
        <f>AB51</f>
        <v>3000</v>
      </c>
      <c r="K3" s="6">
        <f>AB52</f>
        <v>3000</v>
      </c>
      <c r="L3" s="6">
        <f>AB53</f>
        <v>3000</v>
      </c>
      <c r="M3" s="6">
        <f>AB54</f>
        <v>3300</v>
      </c>
      <c r="N3" s="6">
        <f>AB55</f>
        <v>3900</v>
      </c>
      <c r="O3" s="6">
        <f>AB56</f>
        <v>4800</v>
      </c>
      <c r="P3" s="6">
        <f>AB57</f>
        <v>4200</v>
      </c>
      <c r="Q3" s="6">
        <f>AB58</f>
        <v>4200</v>
      </c>
      <c r="R3" s="6">
        <f>AB59</f>
        <v>7500</v>
      </c>
      <c r="S3" s="6">
        <f>AB60</f>
        <v>4800</v>
      </c>
      <c r="T3" s="6">
        <f>AB61</f>
        <v>5400</v>
      </c>
      <c r="U3" s="8">
        <f t="shared" si="0"/>
        <v>50700</v>
      </c>
    </row>
    <row r="4" spans="1:22" ht="16.5" thickTop="1" thickBot="1">
      <c r="A4" s="5" t="s">
        <v>34</v>
      </c>
      <c r="B4" s="7">
        <v>-830</v>
      </c>
      <c r="C4" s="10" t="s">
        <v>31</v>
      </c>
      <c r="D4" s="6">
        <v>-2400</v>
      </c>
      <c r="E4" s="11">
        <f>Tabela25[[#This Row],[Valor]]/12</f>
        <v>-200</v>
      </c>
      <c r="H4" s="14" t="s">
        <v>33</v>
      </c>
      <c r="I4" s="15">
        <f>AG50</f>
        <v>3660</v>
      </c>
      <c r="J4" s="15">
        <f>AG51</f>
        <v>3050</v>
      </c>
      <c r="K4" s="15">
        <f>AG52</f>
        <v>7625</v>
      </c>
      <c r="L4" s="15">
        <f>AG53</f>
        <v>3050</v>
      </c>
      <c r="M4" s="15">
        <f>AG54</f>
        <v>3355</v>
      </c>
      <c r="N4" s="15">
        <f>AG55</f>
        <v>3964.9999999999995</v>
      </c>
      <c r="O4" s="15">
        <f>AG56</f>
        <v>4880</v>
      </c>
      <c r="P4" s="15">
        <f>AG57</f>
        <v>4270</v>
      </c>
      <c r="Q4" s="15">
        <f>AG58</f>
        <v>4270</v>
      </c>
      <c r="R4" s="15">
        <f>AG59</f>
        <v>5490</v>
      </c>
      <c r="S4" s="15">
        <f>AG60</f>
        <v>4880</v>
      </c>
      <c r="T4" s="15">
        <f>AG61</f>
        <v>5490</v>
      </c>
      <c r="U4" s="16">
        <f t="shared" si="0"/>
        <v>53985</v>
      </c>
    </row>
    <row r="5" spans="1:22" ht="16.5" thickTop="1" thickBot="1">
      <c r="A5" s="5" t="s">
        <v>5</v>
      </c>
      <c r="B5" s="7">
        <v>-1000</v>
      </c>
      <c r="C5" s="10" t="s">
        <v>8</v>
      </c>
      <c r="D5" s="6">
        <v>-5000</v>
      </c>
      <c r="E5" s="11">
        <f>Tabela25[[#This Row],[Valor]]/12</f>
        <v>-416.66666666666669</v>
      </c>
      <c r="H5" s="19" t="s">
        <v>25</v>
      </c>
      <c r="I5" s="18">
        <f t="shared" ref="I5:T5" si="1">SUM(I2:I4)</f>
        <v>12010</v>
      </c>
      <c r="J5" s="18">
        <f t="shared" si="1"/>
        <v>10550</v>
      </c>
      <c r="K5" s="18">
        <f t="shared" si="1"/>
        <v>15125</v>
      </c>
      <c r="L5" s="18">
        <f t="shared" si="1"/>
        <v>10550</v>
      </c>
      <c r="M5" s="18">
        <f t="shared" si="1"/>
        <v>11655</v>
      </c>
      <c r="N5" s="18">
        <f t="shared" si="1"/>
        <v>13365</v>
      </c>
      <c r="O5" s="18">
        <f t="shared" si="1"/>
        <v>15930</v>
      </c>
      <c r="P5" s="18">
        <f t="shared" si="1"/>
        <v>14470</v>
      </c>
      <c r="Q5" s="18">
        <f t="shared" si="1"/>
        <v>13970</v>
      </c>
      <c r="R5" s="18">
        <f t="shared" si="1"/>
        <v>20990</v>
      </c>
      <c r="S5" s="18">
        <f t="shared" si="1"/>
        <v>16680</v>
      </c>
      <c r="T5" s="18">
        <f t="shared" si="1"/>
        <v>18390</v>
      </c>
      <c r="U5" s="18">
        <f>SUM(U2:U4)</f>
        <v>173685</v>
      </c>
    </row>
    <row r="6" spans="1:22" ht="16.5" thickTop="1" thickBot="1">
      <c r="A6" s="5" t="s">
        <v>0</v>
      </c>
      <c r="B6" s="7">
        <v>-1200</v>
      </c>
      <c r="C6" s="10" t="s">
        <v>36</v>
      </c>
      <c r="D6" s="6">
        <v>-800</v>
      </c>
      <c r="E6" s="11">
        <f>Tabela25[[#This Row],[Valor]]/12</f>
        <v>-66.666666666666671</v>
      </c>
      <c r="H6" s="20" t="s">
        <v>20</v>
      </c>
      <c r="I6" s="9">
        <f>I5*0.15*-1</f>
        <v>-1801.5</v>
      </c>
      <c r="J6" s="9">
        <f t="shared" ref="J6:T6" si="2">J5*0.15*-1</f>
        <v>-1582.5</v>
      </c>
      <c r="K6" s="9">
        <f t="shared" si="2"/>
        <v>-2268.75</v>
      </c>
      <c r="L6" s="9">
        <f t="shared" si="2"/>
        <v>-1582.5</v>
      </c>
      <c r="M6" s="9">
        <f t="shared" si="2"/>
        <v>-1748.25</v>
      </c>
      <c r="N6" s="9">
        <f t="shared" si="2"/>
        <v>-2004.75</v>
      </c>
      <c r="O6" s="9">
        <f t="shared" si="2"/>
        <v>-2389.5</v>
      </c>
      <c r="P6" s="9">
        <f t="shared" si="2"/>
        <v>-2170.5</v>
      </c>
      <c r="Q6" s="9">
        <f t="shared" si="2"/>
        <v>-2095.5</v>
      </c>
      <c r="R6" s="9">
        <f t="shared" si="2"/>
        <v>-3148.5</v>
      </c>
      <c r="S6" s="9">
        <f t="shared" si="2"/>
        <v>-2502</v>
      </c>
      <c r="T6" s="9">
        <f t="shared" si="2"/>
        <v>-2758.5</v>
      </c>
      <c r="U6" s="8">
        <f>SUM(I6:T6)</f>
        <v>-26052.75</v>
      </c>
    </row>
    <row r="7" spans="1:22" ht="16.5" thickTop="1" thickBot="1">
      <c r="A7" s="5" t="s">
        <v>2</v>
      </c>
      <c r="B7" s="7">
        <v>-2000</v>
      </c>
      <c r="C7" s="10" t="s">
        <v>17</v>
      </c>
      <c r="D7" s="6">
        <v>-42000</v>
      </c>
      <c r="E7" s="11">
        <f>Tabela25[[#This Row],[Valor]]/12</f>
        <v>-3500</v>
      </c>
      <c r="H7" s="20" t="s">
        <v>21</v>
      </c>
      <c r="I7" s="9">
        <f>I5*0.09*-1</f>
        <v>-1080.8999999999999</v>
      </c>
      <c r="J7" s="9">
        <f t="shared" ref="J7:T7" si="3">J5*0.09*-1</f>
        <v>-949.5</v>
      </c>
      <c r="K7" s="9">
        <f t="shared" si="3"/>
        <v>-1361.25</v>
      </c>
      <c r="L7" s="9">
        <f t="shared" si="3"/>
        <v>-949.5</v>
      </c>
      <c r="M7" s="9">
        <f t="shared" si="3"/>
        <v>-1048.95</v>
      </c>
      <c r="N7" s="9">
        <f t="shared" si="3"/>
        <v>-1202.8499999999999</v>
      </c>
      <c r="O7" s="9">
        <f t="shared" si="3"/>
        <v>-1433.7</v>
      </c>
      <c r="P7" s="9">
        <f t="shared" si="3"/>
        <v>-1302.3</v>
      </c>
      <c r="Q7" s="9">
        <f t="shared" si="3"/>
        <v>-1257.3</v>
      </c>
      <c r="R7" s="9">
        <f t="shared" si="3"/>
        <v>-1889.1</v>
      </c>
      <c r="S7" s="9">
        <f t="shared" si="3"/>
        <v>-1501.2</v>
      </c>
      <c r="T7" s="9">
        <f t="shared" si="3"/>
        <v>-1655.1</v>
      </c>
      <c r="U7" s="8">
        <f>SUM(I7:T7)</f>
        <v>-15631.65</v>
      </c>
    </row>
    <row r="8" spans="1:22" ht="16.5" thickTop="1" thickBot="1">
      <c r="A8" s="5" t="s">
        <v>35</v>
      </c>
      <c r="B8" s="7">
        <v>-400</v>
      </c>
      <c r="C8" s="10" t="s">
        <v>19</v>
      </c>
      <c r="D8" s="6">
        <v>-2400</v>
      </c>
      <c r="E8" s="11">
        <f>Tabela25[[#This Row],[Valor]]/12</f>
        <v>-200</v>
      </c>
      <c r="H8" s="21" t="s">
        <v>26</v>
      </c>
      <c r="I8" s="18">
        <f t="shared" ref="I8:T8" si="4">SUM(I5:I7)</f>
        <v>9127.6</v>
      </c>
      <c r="J8" s="18">
        <f t="shared" si="4"/>
        <v>8018</v>
      </c>
      <c r="K8" s="18">
        <f t="shared" si="4"/>
        <v>11495</v>
      </c>
      <c r="L8" s="18">
        <f t="shared" si="4"/>
        <v>8018</v>
      </c>
      <c r="M8" s="18">
        <f t="shared" si="4"/>
        <v>8857.7999999999993</v>
      </c>
      <c r="N8" s="18">
        <f t="shared" si="4"/>
        <v>10157.4</v>
      </c>
      <c r="O8" s="18">
        <f t="shared" si="4"/>
        <v>12106.8</v>
      </c>
      <c r="P8" s="18">
        <f t="shared" si="4"/>
        <v>10997.2</v>
      </c>
      <c r="Q8" s="18">
        <f t="shared" si="4"/>
        <v>10617.2</v>
      </c>
      <c r="R8" s="18">
        <f t="shared" si="4"/>
        <v>15952.4</v>
      </c>
      <c r="S8" s="18">
        <f t="shared" si="4"/>
        <v>12676.8</v>
      </c>
      <c r="T8" s="18">
        <f t="shared" si="4"/>
        <v>13976.4</v>
      </c>
      <c r="U8" s="18">
        <f>SUM(I8:T8)</f>
        <v>132000.59999999998</v>
      </c>
    </row>
    <row r="9" spans="1:22" ht="16.5" thickTop="1" thickBot="1">
      <c r="A9" s="1"/>
      <c r="B9" s="2"/>
      <c r="C9" s="12" t="s">
        <v>18</v>
      </c>
      <c r="D9" s="6">
        <v>-3000</v>
      </c>
      <c r="E9" s="11">
        <f>Tabela25[[#This Row],[Valor]]/12</f>
        <v>-250</v>
      </c>
      <c r="H9" s="20" t="s">
        <v>75</v>
      </c>
      <c r="I9" s="35">
        <f>((I2/F18)*E18)*-1</f>
        <v>-2037.0714285714284</v>
      </c>
      <c r="J9" s="35">
        <f>((J2/F18)*E18)*-1</f>
        <v>-1929.8571428571427</v>
      </c>
      <c r="K9" s="35">
        <f>((K2/F18)*E18)*-1</f>
        <v>-1929.8571428571427</v>
      </c>
      <c r="L9" s="35">
        <f>((L2/F18)*E18)*-1</f>
        <v>-1929.8571428571427</v>
      </c>
      <c r="M9" s="35">
        <f>((M2/F18)*E18)*-1</f>
        <v>-2144.2857142857142</v>
      </c>
      <c r="N9" s="35">
        <f>((N2/F18)*E18)*-1</f>
        <v>-2358.7142857142853</v>
      </c>
      <c r="O9" s="35">
        <f>((O2/F18)*E18)*-1</f>
        <v>-2680.3571428571427</v>
      </c>
      <c r="P9" s="35">
        <f>((P2/F18)*E18)*-1</f>
        <v>-2573.1428571428569</v>
      </c>
      <c r="Q9" s="35">
        <f>((Q2/F18)*E18)*-1</f>
        <v>-2358.7142857142853</v>
      </c>
      <c r="R9" s="35">
        <f>((R2/F18)*E18)*-1</f>
        <v>-3430.8571428571427</v>
      </c>
      <c r="S9" s="35">
        <f>((S2/F18)*E18)*-1</f>
        <v>-3002</v>
      </c>
      <c r="T9" s="35">
        <f>((T2/F18)*E18)*-1</f>
        <v>-3216.4285714285711</v>
      </c>
      <c r="V9" s="62">
        <f>SUM(I9:T9)</f>
        <v>-29591.142857142855</v>
      </c>
    </row>
    <row r="10" spans="1:22" ht="16.5" thickTop="1" thickBot="1">
      <c r="A10" s="5"/>
      <c r="B10" s="7"/>
      <c r="C10" s="10"/>
      <c r="D10" s="58"/>
      <c r="E10" s="61"/>
      <c r="H10" s="20" t="s">
        <v>76</v>
      </c>
      <c r="I10" s="35">
        <f>((I3/F18)*E18)*-1</f>
        <v>-1543.8857142857141</v>
      </c>
      <c r="J10" s="35">
        <f>((J3/F18)*E18)*-1</f>
        <v>-1286.5714285714284</v>
      </c>
      <c r="K10" s="35">
        <f>((K3/F18)*E18)*-1</f>
        <v>-1286.5714285714284</v>
      </c>
      <c r="L10" s="35">
        <f>((L3/F18)*E18)*-1</f>
        <v>-1286.5714285714284</v>
      </c>
      <c r="M10" s="35">
        <f>((M3/F18)*E18)*-1</f>
        <v>-1415.2285714285713</v>
      </c>
      <c r="N10" s="35">
        <f>((N3/F18)*E18)*-1</f>
        <v>-1672.542857142857</v>
      </c>
      <c r="O10" s="35">
        <f>((O3/F18)*E18)*-1</f>
        <v>-2058.5142857142855</v>
      </c>
      <c r="P10" s="35">
        <f>((P3/F18)*E18)*-1</f>
        <v>-1801.1999999999998</v>
      </c>
      <c r="Q10" s="35">
        <f>((Q3/F18)*E18)*-1</f>
        <v>-1801.1999999999998</v>
      </c>
      <c r="R10" s="35">
        <f>((R3/F18)*E18)*-1</f>
        <v>-3216.4285714285711</v>
      </c>
      <c r="S10" s="35">
        <f>((S3/F18)*E18)*-1</f>
        <v>-2058.5142857142855</v>
      </c>
      <c r="T10" s="35">
        <f>((T3/F18)*E18)*-1</f>
        <v>-2315.8285714285712</v>
      </c>
      <c r="V10" s="35">
        <f>SUM(I10:T10)</f>
        <v>-21743.057142857142</v>
      </c>
    </row>
    <row r="11" spans="1:22" ht="16.5" thickTop="1" thickBot="1">
      <c r="A11" s="5"/>
      <c r="B11" s="7"/>
      <c r="C11" s="10"/>
      <c r="D11" s="58"/>
      <c r="E11" s="61"/>
      <c r="H11" s="20" t="s">
        <v>77</v>
      </c>
      <c r="I11" s="35">
        <f>((I4/F18)*E18)*-1</f>
        <v>-1569.6171428571427</v>
      </c>
      <c r="J11" s="35">
        <f>((J4/F18)*E18)*-1</f>
        <v>-1308.0142857142855</v>
      </c>
      <c r="K11" s="35">
        <f>((K4/F18)*E18)*-1</f>
        <v>-3270.0357142857142</v>
      </c>
      <c r="L11" s="35">
        <f>((L4/F18)*E18)*-1</f>
        <v>-1308.0142857142855</v>
      </c>
      <c r="M11" s="35">
        <f>((M4/F18)*E18)*-1</f>
        <v>-1438.8157142857142</v>
      </c>
      <c r="N11" s="35">
        <f>((N4/F18)*E18)*-1</f>
        <v>-1700.4185714285711</v>
      </c>
      <c r="O11" s="35">
        <f>((O4/F18)*E18)*-1</f>
        <v>-2092.8228571428572</v>
      </c>
      <c r="P11" s="35">
        <f>((P4/F18)*E18)*-1</f>
        <v>-1831.2199999999998</v>
      </c>
      <c r="Q11" s="35">
        <f>((Q4/F18)*E18)*-1</f>
        <v>-1831.2199999999998</v>
      </c>
      <c r="R11" s="35">
        <f>((R4/F18)*E18)*-1</f>
        <v>-2354.4257142857141</v>
      </c>
      <c r="S11" s="35">
        <f>((S4/F18)*E18)*-1</f>
        <v>-2092.8228571428572</v>
      </c>
      <c r="T11" s="35">
        <f>((T4/F18)*E18)*-1</f>
        <v>-2354.4257142857141</v>
      </c>
      <c r="V11" s="35">
        <f>SUM(I11:T11)</f>
        <v>-23151.852857142851</v>
      </c>
    </row>
    <row r="12" spans="1:22" ht="16.5" thickTop="1" thickBot="1">
      <c r="A12" s="5"/>
      <c r="B12" s="7"/>
      <c r="C12" s="10"/>
      <c r="D12" s="58"/>
      <c r="E12" s="24"/>
      <c r="H12" s="12" t="s">
        <v>28</v>
      </c>
      <c r="I12" s="57">
        <f>I11+I10+I9</f>
        <v>-5150.574285714285</v>
      </c>
      <c r="J12" s="57">
        <f>J11+J10+J9</f>
        <v>-4524.4428571428562</v>
      </c>
      <c r="K12" s="57">
        <f t="shared" ref="K12:T12" si="5">K11+K10+K9</f>
        <v>-6486.4642857142862</v>
      </c>
      <c r="L12" s="57">
        <f t="shared" si="5"/>
        <v>-4524.4428571428562</v>
      </c>
      <c r="M12" s="57">
        <f t="shared" si="5"/>
        <v>-4998.33</v>
      </c>
      <c r="N12" s="57">
        <f t="shared" si="5"/>
        <v>-5731.6757142857132</v>
      </c>
      <c r="O12" s="57">
        <f t="shared" si="5"/>
        <v>-6831.6942857142858</v>
      </c>
      <c r="P12" s="57">
        <f t="shared" si="5"/>
        <v>-6205.562857142857</v>
      </c>
      <c r="Q12" s="57">
        <f t="shared" si="5"/>
        <v>-5991.1342857142845</v>
      </c>
      <c r="R12" s="57">
        <f t="shared" si="5"/>
        <v>-9001.7114285714288</v>
      </c>
      <c r="S12" s="57">
        <f t="shared" si="5"/>
        <v>-7153.3371428571427</v>
      </c>
      <c r="T12" s="57">
        <f t="shared" si="5"/>
        <v>-7886.6828571428559</v>
      </c>
      <c r="U12" s="35">
        <f>I12+J12+K12+L12+M12+N12+O12+P12+Q12+R12+S12+T12</f>
        <v>-74486.052857142844</v>
      </c>
      <c r="V12" s="35"/>
    </row>
    <row r="13" spans="1:22" ht="16.5" thickTop="1" thickBot="1">
      <c r="A13" s="3" t="s">
        <v>9</v>
      </c>
      <c r="B13" s="4">
        <f>SUBTOTAL(109,[Valor])</f>
        <v>-5800</v>
      </c>
      <c r="C13" s="12" t="s">
        <v>9</v>
      </c>
      <c r="D13" s="55">
        <f>SUBTOTAL(109,D2:D10)</f>
        <v>-57600</v>
      </c>
      <c r="E13" s="56">
        <f>SUBTOTAL(109,E2:E11)</f>
        <v>-4800</v>
      </c>
      <c r="H13" s="20" t="s">
        <v>27</v>
      </c>
      <c r="I13" s="9">
        <f>Tabela25[[#Totals],[Colunas1]]</f>
        <v>-4800</v>
      </c>
      <c r="J13" s="9">
        <f>SUBTOTAL(109,E2:E11)</f>
        <v>-4800</v>
      </c>
      <c r="K13" s="9">
        <f>SUBTOTAL(109,E2:E11)</f>
        <v>-4800</v>
      </c>
      <c r="L13" s="9">
        <f>SUBTOTAL(109,E2:E11)</f>
        <v>-4800</v>
      </c>
      <c r="M13" s="9">
        <f>SUBTOTAL(109,E2:E11)</f>
        <v>-4800</v>
      </c>
      <c r="N13" s="6">
        <f>SUBTOTAL(109,E2:E11)</f>
        <v>-4800</v>
      </c>
      <c r="O13" s="6">
        <f>SUBTOTAL(109,E2:E11)</f>
        <v>-4800</v>
      </c>
      <c r="P13" s="6">
        <f>SUBTOTAL(109,E2:E11)</f>
        <v>-4800</v>
      </c>
      <c r="Q13" s="6">
        <f>SUBTOTAL(109,E2:E11)</f>
        <v>-4800</v>
      </c>
      <c r="R13" s="6">
        <f>SUBTOTAL(109,E2:E11)</f>
        <v>-4800</v>
      </c>
      <c r="S13" s="6">
        <f>SUBTOTAL(109,E2:E11)</f>
        <v>-4800</v>
      </c>
      <c r="T13" s="6">
        <f>SUBTOTAL(109,E2:E11)</f>
        <v>-4800</v>
      </c>
      <c r="U13" s="8">
        <f t="shared" ref="U13:U14" si="6">SUM(I13:T13)</f>
        <v>-57600</v>
      </c>
    </row>
    <row r="14" spans="1:22" ht="15.75" thickTop="1">
      <c r="I14" s="8">
        <f>I13+I12+I8</f>
        <v>-822.97428571428463</v>
      </c>
      <c r="J14" s="8">
        <f t="shared" ref="J14:L14" si="7">J13+J12+J8</f>
        <v>-1306.4428571428562</v>
      </c>
      <c r="K14" s="8">
        <f t="shared" ref="K14" si="8">K13+K12+K8</f>
        <v>208.53571428571377</v>
      </c>
      <c r="L14" s="8">
        <f t="shared" ref="L14" si="9">L13+L12+L8</f>
        <v>-1306.4428571428562</v>
      </c>
      <c r="M14" s="8">
        <f t="shared" ref="M14" si="10">M13+M12+M8</f>
        <v>-940.53000000000065</v>
      </c>
      <c r="N14" s="8">
        <f t="shared" ref="N14" si="11">N13+N12+N8</f>
        <v>-374.27571428571355</v>
      </c>
      <c r="O14" s="8">
        <f t="shared" ref="O14" si="12">O13+O12+O8</f>
        <v>475.10571428571347</v>
      </c>
      <c r="P14" s="8">
        <f t="shared" ref="P14" si="13">P13+P12+P8</f>
        <v>-8.3628571428562282</v>
      </c>
      <c r="Q14" s="8">
        <f t="shared" ref="Q14" si="14">Q13+Q12+Q8</f>
        <v>-173.93428571428376</v>
      </c>
      <c r="R14" s="8">
        <f t="shared" ref="R14" si="15">R13+R12+R8</f>
        <v>2150.6885714285709</v>
      </c>
      <c r="S14" s="8">
        <f t="shared" ref="S14" si="16">S13+S12+S8</f>
        <v>723.46285714285659</v>
      </c>
      <c r="T14" s="8">
        <f t="shared" ref="T14" si="17">T13+T12+T8</f>
        <v>1289.7171428571437</v>
      </c>
      <c r="U14" s="8">
        <f t="shared" si="6"/>
        <v>-85.452857142852736</v>
      </c>
    </row>
    <row r="15" spans="1:22" ht="15.75" thickBot="1"/>
    <row r="16" spans="1:22" ht="15.75" thickBot="1">
      <c r="A16" s="67" t="s">
        <v>69</v>
      </c>
      <c r="B16" s="68" t="s">
        <v>82</v>
      </c>
      <c r="C16" s="69" t="s">
        <v>83</v>
      </c>
      <c r="H16" s="37" t="s">
        <v>13</v>
      </c>
      <c r="I16" s="38"/>
      <c r="J16" s="38" t="s">
        <v>57</v>
      </c>
      <c r="K16" s="39" t="s">
        <v>56</v>
      </c>
      <c r="M16" s="37" t="s">
        <v>14</v>
      </c>
      <c r="N16" s="38"/>
      <c r="O16" s="38" t="s">
        <v>57</v>
      </c>
      <c r="P16" s="39" t="s">
        <v>56</v>
      </c>
      <c r="R16" s="37" t="s">
        <v>15</v>
      </c>
      <c r="S16" s="38"/>
      <c r="T16" s="38" t="s">
        <v>57</v>
      </c>
      <c r="U16" s="39" t="s">
        <v>56</v>
      </c>
    </row>
    <row r="17" spans="1:21" ht="15.75" thickBot="1">
      <c r="A17" s="40" t="s">
        <v>70</v>
      </c>
      <c r="B17" s="63">
        <v>2.5</v>
      </c>
      <c r="C17" s="64">
        <f>B17/10</f>
        <v>0.25</v>
      </c>
      <c r="D17" s="67" t="s">
        <v>69</v>
      </c>
      <c r="E17" s="68" t="s">
        <v>85</v>
      </c>
      <c r="F17" s="69" t="s">
        <v>86</v>
      </c>
      <c r="H17" s="40" t="s">
        <v>11</v>
      </c>
      <c r="I17" s="25">
        <f t="shared" ref="I17:I23" si="18">U2</f>
        <v>69000</v>
      </c>
      <c r="J17" s="25">
        <f>I17-(I17*0.1)</f>
        <v>62100</v>
      </c>
      <c r="K17" s="41">
        <f>I17+(I17*0.3)</f>
        <v>89700</v>
      </c>
      <c r="M17" s="40" t="s">
        <v>11</v>
      </c>
      <c r="N17" s="25">
        <f>I17+(I17*0.2)</f>
        <v>82800</v>
      </c>
      <c r="O17" s="25">
        <f>N17-(N17*0.1)</f>
        <v>74520</v>
      </c>
      <c r="P17" s="41">
        <f>N17+(N17*0.3)</f>
        <v>107640</v>
      </c>
      <c r="R17" s="40" t="s">
        <v>11</v>
      </c>
      <c r="S17" s="25">
        <f>N17+(N17*0.2)</f>
        <v>99360</v>
      </c>
      <c r="T17" s="25">
        <f>S17-(S17*0.1)</f>
        <v>89424</v>
      </c>
      <c r="U17" s="41">
        <f>S17+(S17*0.3)</f>
        <v>129168</v>
      </c>
    </row>
    <row r="18" spans="1:21">
      <c r="A18" s="40" t="s">
        <v>55</v>
      </c>
      <c r="B18" s="63">
        <f>15/10</f>
        <v>1.5</v>
      </c>
      <c r="C18" s="64">
        <f>B18/10</f>
        <v>0.15</v>
      </c>
      <c r="D18" s="71" t="s">
        <v>87</v>
      </c>
      <c r="E18" s="63">
        <f>C23+C17+C18+C19</f>
        <v>2.1442857142857141</v>
      </c>
      <c r="F18" s="45">
        <v>5</v>
      </c>
      <c r="H18" s="40" t="s">
        <v>23</v>
      </c>
      <c r="I18" s="25">
        <f t="shared" si="18"/>
        <v>50700</v>
      </c>
      <c r="J18" s="25">
        <f t="shared" ref="J18:J19" si="19">I18-(I18*0.1)</f>
        <v>45630</v>
      </c>
      <c r="K18" s="41">
        <f t="shared" ref="K18:K19" si="20">I18+(I18*0.3)</f>
        <v>65910</v>
      </c>
      <c r="M18" s="40" t="s">
        <v>23</v>
      </c>
      <c r="N18" s="25">
        <f t="shared" ref="N18:N19" si="21">I18+(I18*0.2)</f>
        <v>60840</v>
      </c>
      <c r="O18" s="25">
        <f t="shared" ref="O18:O19" si="22">N18-(N18*0.2)</f>
        <v>48672</v>
      </c>
      <c r="P18" s="41">
        <f t="shared" ref="P18:P19" si="23">N18+(N18*0.3)</f>
        <v>79092</v>
      </c>
      <c r="R18" s="40" t="s">
        <v>23</v>
      </c>
      <c r="S18" s="25">
        <f t="shared" ref="S18:S19" si="24">N18+(N18*0.2)</f>
        <v>73008</v>
      </c>
      <c r="T18" s="25">
        <f t="shared" ref="T18:T19" si="25">S18-(S18*0.1)</f>
        <v>65707.199999999997</v>
      </c>
      <c r="U18" s="41">
        <f t="shared" ref="U18:U19" si="26">S18+(S18*0.3)</f>
        <v>94910.399999999994</v>
      </c>
    </row>
    <row r="19" spans="1:21" ht="15.75" thickBot="1">
      <c r="A19" s="48" t="s">
        <v>84</v>
      </c>
      <c r="B19" s="53"/>
      <c r="C19" s="54">
        <v>0.03</v>
      </c>
      <c r="D19" s="72" t="s">
        <v>88</v>
      </c>
      <c r="E19" s="63">
        <f>C24+C18+C17+C19</f>
        <v>2.9299999999999997</v>
      </c>
      <c r="F19" s="45">
        <v>6</v>
      </c>
      <c r="G19">
        <f>(F20+F19+F18)/3</f>
        <v>5.7</v>
      </c>
      <c r="H19" s="40" t="s">
        <v>24</v>
      </c>
      <c r="I19" s="25">
        <f t="shared" si="18"/>
        <v>53985</v>
      </c>
      <c r="J19" s="25">
        <f t="shared" si="19"/>
        <v>48586.5</v>
      </c>
      <c r="K19" s="41">
        <f t="shared" si="20"/>
        <v>70180.5</v>
      </c>
      <c r="M19" s="40" t="s">
        <v>24</v>
      </c>
      <c r="N19" s="25">
        <f t="shared" si="21"/>
        <v>64782</v>
      </c>
      <c r="O19" s="25">
        <f t="shared" si="22"/>
        <v>51825.599999999999</v>
      </c>
      <c r="P19" s="41">
        <f t="shared" si="23"/>
        <v>84216.6</v>
      </c>
      <c r="R19" s="40" t="s">
        <v>24</v>
      </c>
      <c r="S19" s="25">
        <f t="shared" si="24"/>
        <v>77738.399999999994</v>
      </c>
      <c r="T19" s="25">
        <f t="shared" si="25"/>
        <v>69964.56</v>
      </c>
      <c r="U19" s="41">
        <f t="shared" si="26"/>
        <v>101059.91999999998</v>
      </c>
    </row>
    <row r="20" spans="1:21" ht="15.75" thickBot="1">
      <c r="D20" s="73" t="s">
        <v>89</v>
      </c>
      <c r="E20" s="65">
        <f>C25+C17+C18+C19</f>
        <v>3.5549999999999997</v>
      </c>
      <c r="F20" s="70">
        <v>6.1</v>
      </c>
      <c r="H20" s="42" t="s">
        <v>25</v>
      </c>
      <c r="I20" s="18">
        <f t="shared" si="18"/>
        <v>173685</v>
      </c>
      <c r="J20" s="18">
        <f>SUM(J17:J19)</f>
        <v>156316.5</v>
      </c>
      <c r="K20" s="43">
        <f>SUM(K17:K19)</f>
        <v>225790.5</v>
      </c>
      <c r="M20" s="42" t="s">
        <v>25</v>
      </c>
      <c r="N20" s="18">
        <f>SUM(N17:N19)</f>
        <v>208422</v>
      </c>
      <c r="O20" s="18">
        <f>SUM(O17:O19)</f>
        <v>175017.60000000001</v>
      </c>
      <c r="P20" s="43">
        <f>SUM(P17:P19)</f>
        <v>270948.59999999998</v>
      </c>
      <c r="R20" s="42" t="s">
        <v>25</v>
      </c>
      <c r="S20" s="18">
        <f>SUM(S17:S19)</f>
        <v>250106.4</v>
      </c>
      <c r="T20" s="18">
        <f>SUM(T17:T19)</f>
        <v>225095.76</v>
      </c>
      <c r="U20" s="43">
        <f>SUM(U17:U19)</f>
        <v>325138.31999999995</v>
      </c>
    </row>
    <row r="21" spans="1:21">
      <c r="D21" s="30">
        <f>(C23+C24+C25)/3</f>
        <v>2.4464285714285716</v>
      </c>
      <c r="H21" s="44" t="s">
        <v>20</v>
      </c>
      <c r="I21" s="25">
        <f t="shared" si="18"/>
        <v>-26052.75</v>
      </c>
      <c r="J21" s="25">
        <f>J20*0.15*-1</f>
        <v>-23447.474999999999</v>
      </c>
      <c r="K21" s="41">
        <f>K20*0.15*-1</f>
        <v>-33868.574999999997</v>
      </c>
      <c r="M21" s="44" t="s">
        <v>20</v>
      </c>
      <c r="N21" s="25">
        <f>N20*0.15*-1</f>
        <v>-31263.3</v>
      </c>
      <c r="O21" s="25">
        <f>O20*0.15*-1</f>
        <v>-26252.639999999999</v>
      </c>
      <c r="P21" s="41">
        <f>P20*0.15*-1</f>
        <v>-40642.289999999994</v>
      </c>
      <c r="R21" s="44" t="s">
        <v>20</v>
      </c>
      <c r="S21" s="25">
        <f>S20*0.15*-1</f>
        <v>-37515.96</v>
      </c>
      <c r="T21" s="25">
        <f>T20*0.15*-1</f>
        <v>-33764.364000000001</v>
      </c>
      <c r="U21" s="41">
        <f>U20*0.15*-1</f>
        <v>-48770.747999999992</v>
      </c>
    </row>
    <row r="22" spans="1:21">
      <c r="A22" s="19" t="s">
        <v>79</v>
      </c>
      <c r="B22" s="19" t="s">
        <v>78</v>
      </c>
      <c r="C22" s="19" t="s">
        <v>80</v>
      </c>
      <c r="H22" s="44" t="s">
        <v>21</v>
      </c>
      <c r="I22" s="25">
        <f t="shared" si="18"/>
        <v>-15631.65</v>
      </c>
      <c r="J22" s="25">
        <f>J20*-1*0.09</f>
        <v>-14068.484999999999</v>
      </c>
      <c r="K22" s="41">
        <f>K20*-1*0.09</f>
        <v>-20321.145</v>
      </c>
      <c r="M22" s="44" t="s">
        <v>21</v>
      </c>
      <c r="N22" s="25">
        <f>N20*0.09*-1</f>
        <v>-18757.98</v>
      </c>
      <c r="O22" s="25">
        <f>O20*-1*0.09</f>
        <v>-15751.584000000001</v>
      </c>
      <c r="P22" s="41">
        <f>P20*-1*0.09</f>
        <v>-24385.373999999996</v>
      </c>
      <c r="R22" s="44" t="s">
        <v>21</v>
      </c>
      <c r="S22" s="25">
        <f>S20*0.09*-1</f>
        <v>-22509.575999999997</v>
      </c>
      <c r="T22" s="25">
        <f>T20*-1*0.09</f>
        <v>-20258.618399999999</v>
      </c>
      <c r="U22" s="41">
        <f>U20*-1*0.09</f>
        <v>-29262.448799999995</v>
      </c>
    </row>
    <row r="23" spans="1:21">
      <c r="A23" s="40" t="s">
        <v>60</v>
      </c>
      <c r="B23" s="63">
        <v>12</v>
      </c>
      <c r="C23" s="64">
        <f>B23/7</f>
        <v>1.7142857142857142</v>
      </c>
      <c r="D23" s="30"/>
      <c r="H23" s="42" t="s">
        <v>26</v>
      </c>
      <c r="I23" s="18">
        <f t="shared" si="18"/>
        <v>132000.59999999998</v>
      </c>
      <c r="J23" s="18">
        <f>SUM(J20:J22)</f>
        <v>118800.54</v>
      </c>
      <c r="K23" s="43">
        <f>SUM(K20:K22)</f>
        <v>171600.78</v>
      </c>
      <c r="M23" s="42" t="s">
        <v>26</v>
      </c>
      <c r="N23" s="18">
        <f>SUM(N20:N22)</f>
        <v>158400.72</v>
      </c>
      <c r="O23" s="18">
        <f>SUM(O20:O22)</f>
        <v>133013.37600000002</v>
      </c>
      <c r="P23" s="43">
        <f>SUM(P20:P22)</f>
        <v>205920.93599999999</v>
      </c>
      <c r="R23" s="42" t="s">
        <v>26</v>
      </c>
      <c r="S23" s="18">
        <f>SUM(S20:S22)</f>
        <v>190080.864</v>
      </c>
      <c r="T23" s="18">
        <f>SUM(T20:T22)</f>
        <v>171072.7776</v>
      </c>
      <c r="U23" s="43">
        <f>SUM(U20:U22)</f>
        <v>247105.12319999994</v>
      </c>
    </row>
    <row r="24" spans="1:21">
      <c r="A24" s="40" t="s">
        <v>32</v>
      </c>
      <c r="B24" s="63">
        <v>20</v>
      </c>
      <c r="C24" s="64">
        <f>B24/8</f>
        <v>2.5</v>
      </c>
      <c r="H24" s="40"/>
      <c r="I24" s="34">
        <f>((I17/F18)*E18)*-1</f>
        <v>-29591.142857142855</v>
      </c>
      <c r="J24" s="34">
        <f>((J17/F18)*E18)*-1</f>
        <v>-26632.028571428571</v>
      </c>
      <c r="K24" s="45">
        <f>((K17/F18)*E18)*-1</f>
        <v>-38468.485714285714</v>
      </c>
      <c r="M24" s="40"/>
      <c r="N24" s="34">
        <f>((N17/F18)*E18)*-1</f>
        <v>-35509.371428571423</v>
      </c>
      <c r="O24" s="34">
        <f>((O17/F18)*E18)*-1</f>
        <v>-31958.434285714284</v>
      </c>
      <c r="P24" s="45">
        <f>((P17/F18)*E18)*-1</f>
        <v>-46162.182857142856</v>
      </c>
      <c r="R24" s="40"/>
      <c r="S24" s="34">
        <f>((S17/F18)*E18)*-1</f>
        <v>-42611.245714285709</v>
      </c>
      <c r="T24" s="34">
        <f>((T17/F18)*E18)*-1</f>
        <v>-38350.121142857141</v>
      </c>
      <c r="U24" s="45">
        <f>((U17/F18)*E18)*-1</f>
        <v>-55394.619428571423</v>
      </c>
    </row>
    <row r="25" spans="1:21" ht="15.75" thickBot="1">
      <c r="A25" s="48" t="s">
        <v>81</v>
      </c>
      <c r="B25" s="65">
        <v>25</v>
      </c>
      <c r="C25" s="66">
        <f>B25/8</f>
        <v>3.125</v>
      </c>
      <c r="H25" s="40"/>
      <c r="I25" s="34">
        <f>((I18/F19)*E19)*-1</f>
        <v>-24758.499999999996</v>
      </c>
      <c r="J25" s="34">
        <f>((J18/F19)*E19)*-1</f>
        <v>-22282.649999999998</v>
      </c>
      <c r="K25" s="45">
        <f>((K18/F19)*E19)*-1</f>
        <v>-32186.049999999996</v>
      </c>
      <c r="M25" s="40"/>
      <c r="N25" s="34">
        <f>((N18/F19)*E19)*-1</f>
        <v>-29710.199999999997</v>
      </c>
      <c r="O25" s="34">
        <f>((O18/F19)*E19)*-1</f>
        <v>-23768.159999999996</v>
      </c>
      <c r="P25" s="45">
        <f>((P18/F19)*E19)*-1</f>
        <v>-38623.259999999995</v>
      </c>
      <c r="R25" s="40"/>
      <c r="S25" s="34">
        <f>((S18/F19)*E19)*-1</f>
        <v>-35652.239999999998</v>
      </c>
      <c r="T25" s="34">
        <f>((T18/F19)*E19)*-1</f>
        <v>-32087.015999999992</v>
      </c>
      <c r="U25" s="45">
        <f>((U18/F19)*E19)*-1</f>
        <v>-46347.911999999997</v>
      </c>
    </row>
    <row r="26" spans="1:21">
      <c r="A26" s="12" t="s">
        <v>62</v>
      </c>
      <c r="B26" s="12" t="s">
        <v>63</v>
      </c>
      <c r="H26" s="40"/>
      <c r="I26" s="34">
        <f>((I19/F20)*E20)*-1</f>
        <v>-31461.749999999996</v>
      </c>
      <c r="J26" s="34">
        <f>((J19/F20)*E20)*-1</f>
        <v>-28315.575000000001</v>
      </c>
      <c r="K26" s="45">
        <f>((K19/F20)*E20)*-1</f>
        <v>-40900.274999999994</v>
      </c>
      <c r="M26" s="40"/>
      <c r="N26" s="34">
        <f>((N19/F20)*E20)*-1</f>
        <v>-37754.1</v>
      </c>
      <c r="O26" s="34">
        <f>((O19/F20)*E20)*-1</f>
        <v>-30203.279999999999</v>
      </c>
      <c r="P26" s="45">
        <f>((P19/F20)*E20)*-1</f>
        <v>-49080.33</v>
      </c>
      <c r="R26" s="40"/>
      <c r="S26" s="34">
        <f>((S19/F20)*E20)*-1</f>
        <v>-45304.92</v>
      </c>
      <c r="T26" s="34">
        <f>((T19/F20)*E20)*-1</f>
        <v>-40774.428</v>
      </c>
      <c r="U26" s="45">
        <f>((U19/F20)*E20)*-1</f>
        <v>-58896.395999999986</v>
      </c>
    </row>
    <row r="27" spans="1:21">
      <c r="H27" s="44" t="s">
        <v>28</v>
      </c>
      <c r="I27" s="34">
        <f>I26+I25+I24</f>
        <v>-85811.392857142841</v>
      </c>
      <c r="J27" s="34">
        <f>J24+J26+J25</f>
        <v>-77230.253571428562</v>
      </c>
      <c r="K27" s="45">
        <f>K24+K26+K25</f>
        <v>-111554.8107142857</v>
      </c>
      <c r="M27" s="44" t="s">
        <v>28</v>
      </c>
      <c r="N27" s="34">
        <f>N24+N26+N25</f>
        <v>-102973.67142857141</v>
      </c>
      <c r="O27" s="34">
        <f>O24+O26+O25</f>
        <v>-85929.874285714279</v>
      </c>
      <c r="P27" s="45">
        <f>P24+P26+P25</f>
        <v>-133865.77285714285</v>
      </c>
      <c r="R27" s="44" t="s">
        <v>28</v>
      </c>
      <c r="S27" s="34">
        <f>S24+S26+S25</f>
        <v>-123568.40571428571</v>
      </c>
      <c r="T27" s="34">
        <f>T24+T26+T25</f>
        <v>-111211.56514285713</v>
      </c>
      <c r="U27" s="45">
        <f>U24+U26+U25</f>
        <v>-160638.92742857139</v>
      </c>
    </row>
    <row r="28" spans="1:21">
      <c r="I28" s="25">
        <f>I29+I27+I23</f>
        <v>-11410.792857142864</v>
      </c>
      <c r="J28" s="26">
        <f>J29+J27+J23</f>
        <v>-16029.713571428569</v>
      </c>
      <c r="K28" s="46">
        <f>K29+K27+K23</f>
        <v>2445.9692857142945</v>
      </c>
      <c r="M28" s="44" t="s">
        <v>27</v>
      </c>
      <c r="N28" s="25">
        <f>Tabela25[[#Totals],[Valor]]</f>
        <v>-57600</v>
      </c>
      <c r="O28" s="25">
        <f>Tabela25[[#Totals],[Valor]]</f>
        <v>-57600</v>
      </c>
      <c r="P28" s="41">
        <f>Tabela25[[#Totals],[Valor]]</f>
        <v>-57600</v>
      </c>
      <c r="R28" s="44" t="s">
        <v>27</v>
      </c>
      <c r="S28" s="25">
        <f>Tabela25[[#Totals],[Valor]]</f>
        <v>-57600</v>
      </c>
      <c r="T28" s="25">
        <f>Tabela25[[#Totals],[Valor]]</f>
        <v>-57600</v>
      </c>
      <c r="U28" s="41">
        <f>Tabela25[[#Totals],[Valor]]</f>
        <v>-57600</v>
      </c>
    </row>
    <row r="29" spans="1:21" ht="15.75" thickBot="1">
      <c r="A29" s="12" t="s">
        <v>72</v>
      </c>
      <c r="H29" s="44" t="s">
        <v>27</v>
      </c>
      <c r="I29" s="25">
        <f>Tabela25[[#Totals],[Valor]]</f>
        <v>-57600</v>
      </c>
      <c r="J29" s="25">
        <f>Tabela25[[#Totals],[Valor]]</f>
        <v>-57600</v>
      </c>
      <c r="K29" s="41">
        <f>Tabela25[[#Totals],[Valor]]</f>
        <v>-57600</v>
      </c>
      <c r="M29" s="44" t="s">
        <v>30</v>
      </c>
      <c r="N29" s="22"/>
      <c r="O29" s="23"/>
      <c r="P29" s="47"/>
      <c r="R29" s="44" t="s">
        <v>30</v>
      </c>
      <c r="S29" s="22"/>
      <c r="T29" s="23"/>
      <c r="U29" s="47"/>
    </row>
    <row r="30" spans="1:21">
      <c r="A30" s="12" t="s">
        <v>73</v>
      </c>
      <c r="B30" s="59">
        <v>-21000</v>
      </c>
      <c r="C30" s="81">
        <f>B30/12</f>
        <v>-1750</v>
      </c>
      <c r="D30" s="82" t="s">
        <v>91</v>
      </c>
      <c r="E30" s="83" t="s">
        <v>67</v>
      </c>
      <c r="F30" s="83" t="s">
        <v>66</v>
      </c>
      <c r="G30" s="84" t="s">
        <v>65</v>
      </c>
      <c r="H30" s="20" t="s">
        <v>30</v>
      </c>
      <c r="I30" s="23">
        <f>Tabela14[[#Totals],[Valor]]</f>
        <v>-5800</v>
      </c>
      <c r="J30" s="23">
        <f>Tabela14[[#Totals],[Valor]]</f>
        <v>-5800</v>
      </c>
      <c r="K30" s="47">
        <f>Tabela14[[#Totals],[Valor]]</f>
        <v>-5800</v>
      </c>
      <c r="M30" s="40"/>
      <c r="N30" s="17">
        <f>N29+N28+N27+N23</f>
        <v>-2172.9514285713958</v>
      </c>
      <c r="O30" s="17">
        <f>O29+O28+O27+O23</f>
        <v>-10516.498285714275</v>
      </c>
      <c r="P30" s="51">
        <f>P29+P28+P27+P23</f>
        <v>14455.163142857142</v>
      </c>
      <c r="R30" s="40"/>
      <c r="S30" s="17">
        <f>S29+S28+S27+S23</f>
        <v>8912.4582857142959</v>
      </c>
      <c r="T30" s="17">
        <f>T29+T28+T27+T23</f>
        <v>2261.2124571428576</v>
      </c>
      <c r="U30" s="51">
        <f>U29+U28+U27+U23</f>
        <v>28866.195771428553</v>
      </c>
    </row>
    <row r="31" spans="1:21" ht="15.75" thickBot="1">
      <c r="A31" s="12" t="s">
        <v>74</v>
      </c>
      <c r="B31" s="60">
        <f>(B30*0.86)</f>
        <v>-18060</v>
      </c>
      <c r="C31" s="60">
        <f>B31/12</f>
        <v>-1505</v>
      </c>
      <c r="D31" s="85">
        <v>1</v>
      </c>
      <c r="E31" s="25">
        <f>I31</f>
        <v>-17210.792857142864</v>
      </c>
      <c r="F31" s="25">
        <f>J31</f>
        <v>-21829.713571428569</v>
      </c>
      <c r="G31" s="41">
        <f>K31</f>
        <v>-3354.0307142857055</v>
      </c>
      <c r="H31" s="53"/>
      <c r="I31" s="49">
        <f>I30+I29+I27+I23</f>
        <v>-17210.792857142864</v>
      </c>
      <c r="J31" s="49">
        <f>J30+J29+J27+J23</f>
        <v>-21829.713571428569</v>
      </c>
      <c r="K31" s="50">
        <f>K30+K29+K27+K23</f>
        <v>-3354.0307142857055</v>
      </c>
      <c r="M31" s="48" t="s">
        <v>29</v>
      </c>
      <c r="N31" s="52">
        <v>0.2</v>
      </c>
      <c r="O31" s="53"/>
      <c r="P31" s="54"/>
      <c r="R31" s="48" t="s">
        <v>29</v>
      </c>
      <c r="S31" s="52">
        <v>0.2</v>
      </c>
      <c r="T31" s="53"/>
      <c r="U31" s="54"/>
    </row>
    <row r="32" spans="1:21">
      <c r="D32" s="85">
        <v>2</v>
      </c>
      <c r="E32" s="25">
        <f>N30</f>
        <v>-2172.9514285713958</v>
      </c>
      <c r="F32" s="25">
        <f>O30</f>
        <v>-10516.498285714275</v>
      </c>
      <c r="G32" s="41">
        <f>P30</f>
        <v>14455.163142857142</v>
      </c>
      <c r="H32" s="14" t="s">
        <v>29</v>
      </c>
      <c r="I32" s="14"/>
      <c r="J32" s="14"/>
      <c r="K32" s="28"/>
    </row>
    <row r="33" spans="4:34">
      <c r="D33" s="85">
        <v>3</v>
      </c>
      <c r="E33" s="25">
        <f>S30</f>
        <v>8912.4582857142959</v>
      </c>
      <c r="F33" s="25">
        <f>T30</f>
        <v>2261.2124571428576</v>
      </c>
      <c r="G33" s="41">
        <f>U30</f>
        <v>28866.195771428553</v>
      </c>
    </row>
    <row r="34" spans="4:34">
      <c r="D34" s="85">
        <v>4</v>
      </c>
      <c r="E34" s="25">
        <f>I50</f>
        <v>22214.949942857143</v>
      </c>
      <c r="F34" s="25">
        <f>J50</f>
        <v>14233.454948571423</v>
      </c>
      <c r="G34" s="41">
        <f>K50</f>
        <v>46159.434925714362</v>
      </c>
    </row>
    <row r="35" spans="4:34" ht="15.75" thickBot="1">
      <c r="D35" s="86">
        <v>5</v>
      </c>
      <c r="E35" s="87">
        <f>N50</f>
        <v>38177.939931428526</v>
      </c>
      <c r="F35" s="87">
        <f>O50</f>
        <v>28600.145938285714</v>
      </c>
      <c r="G35" s="88">
        <f>P50</f>
        <v>66911.321910857048</v>
      </c>
    </row>
    <row r="36" spans="4:34">
      <c r="D36" s="71" t="s">
        <v>64</v>
      </c>
      <c r="E36" s="89">
        <f>IRR(E31:E35)</f>
        <v>0.48504624988663475</v>
      </c>
      <c r="F36" s="90">
        <f>IRR(F31:F35)</f>
        <v>0.10757223656331236</v>
      </c>
      <c r="G36" s="91">
        <f>IRR(G31:G35)</f>
        <v>5.15637125281126</v>
      </c>
      <c r="H36" s="80" t="s">
        <v>90</v>
      </c>
      <c r="I36" s="38"/>
      <c r="J36" s="38" t="s">
        <v>57</v>
      </c>
      <c r="K36" s="39" t="s">
        <v>56</v>
      </c>
      <c r="M36" s="37" t="s">
        <v>16</v>
      </c>
      <c r="N36" s="38"/>
      <c r="O36" s="38" t="s">
        <v>57</v>
      </c>
      <c r="P36" s="39" t="s">
        <v>56</v>
      </c>
    </row>
    <row r="37" spans="4:34">
      <c r="D37" s="72"/>
      <c r="E37" s="22"/>
      <c r="F37" s="22"/>
      <c r="G37" s="92"/>
      <c r="H37" s="40" t="s">
        <v>11</v>
      </c>
      <c r="I37" s="25">
        <f>S17+(S17*0.2)</f>
        <v>119232</v>
      </c>
      <c r="J37" s="25">
        <f>I37-(I37*0.1)</f>
        <v>107308.8</v>
      </c>
      <c r="K37" s="41">
        <f>I37+(I37*0.3)</f>
        <v>155001.60000000001</v>
      </c>
      <c r="M37" s="40" t="s">
        <v>11</v>
      </c>
      <c r="N37" s="25">
        <f>I37+(I37*0.2)</f>
        <v>143078.39999999999</v>
      </c>
      <c r="O37" s="25">
        <f>N37-(N37*0.1)</f>
        <v>128770.56</v>
      </c>
      <c r="P37" s="41">
        <f>N37+(N37*0.3)</f>
        <v>186001.91999999998</v>
      </c>
    </row>
    <row r="38" spans="4:34" ht="15.75" thickBot="1">
      <c r="D38" s="73" t="s">
        <v>54</v>
      </c>
      <c r="E38" s="93">
        <f>-5800+NPV(15%, I28,N30,S30,I50,N50)</f>
        <v>20177.247226280975</v>
      </c>
      <c r="F38" s="94">
        <f>-5800+NPV(15%, J28,O30,T30,J50,O50)</f>
        <v>-3846.7298022916621</v>
      </c>
      <c r="G38" s="95">
        <f>-5800+NPV(15%, K28,P30,U30,K50,P50)</f>
        <v>85895.661487802281</v>
      </c>
      <c r="H38" s="40" t="s">
        <v>23</v>
      </c>
      <c r="I38" s="25">
        <f>S18+(S18*0.2)</f>
        <v>87609.600000000006</v>
      </c>
      <c r="J38" s="25">
        <f t="shared" ref="J38:J39" si="27">I38-(I38*0.1)</f>
        <v>78848.639999999999</v>
      </c>
      <c r="K38" s="41">
        <f t="shared" ref="K38:K39" si="28">I38+(I38*0.3)</f>
        <v>113892.48000000001</v>
      </c>
      <c r="M38" s="40" t="s">
        <v>23</v>
      </c>
      <c r="N38" s="25">
        <f>I38+(I38*0.2)</f>
        <v>105131.52</v>
      </c>
      <c r="O38" s="25">
        <f t="shared" ref="O38:O39" si="29">N38-(N38*0.1)</f>
        <v>94618.368000000002</v>
      </c>
      <c r="P38" s="41">
        <f t="shared" ref="P38:P39" si="30">N38+(N38*0.3)</f>
        <v>136670.976</v>
      </c>
    </row>
    <row r="39" spans="4:34">
      <c r="H39" s="40" t="s">
        <v>24</v>
      </c>
      <c r="I39" s="25">
        <f>S19+(S19*0.2)</f>
        <v>93286.079999999987</v>
      </c>
      <c r="J39" s="25">
        <f t="shared" si="27"/>
        <v>83957.471999999994</v>
      </c>
      <c r="K39" s="41">
        <f t="shared" si="28"/>
        <v>121271.90399999998</v>
      </c>
      <c r="M39" s="40" t="s">
        <v>24</v>
      </c>
      <c r="N39" s="25">
        <f>I39+(I39*0.2)</f>
        <v>111943.29599999999</v>
      </c>
      <c r="O39" s="25">
        <f t="shared" si="29"/>
        <v>100748.96639999999</v>
      </c>
      <c r="P39" s="41">
        <f t="shared" si="30"/>
        <v>145526.28479999996</v>
      </c>
    </row>
    <row r="40" spans="4:34" ht="17.25">
      <c r="D40" s="12"/>
      <c r="E40" s="36"/>
      <c r="H40" s="42" t="s">
        <v>25</v>
      </c>
      <c r="I40" s="18">
        <f>SUM(I37:I39)</f>
        <v>300127.68</v>
      </c>
      <c r="J40" s="18">
        <f>SUM(J37:J39)</f>
        <v>270114.91200000001</v>
      </c>
      <c r="K40" s="43">
        <f>SUM(K37:K39)</f>
        <v>390165.984</v>
      </c>
      <c r="M40" s="42" t="s">
        <v>25</v>
      </c>
      <c r="N40" s="18">
        <f>SUM(N37:N39)</f>
        <v>360153.21599999996</v>
      </c>
      <c r="O40" s="18">
        <f>SUM(O37:O39)</f>
        <v>324137.89439999999</v>
      </c>
      <c r="P40" s="43">
        <f>SUM(P37:P39)</f>
        <v>468199.18079999991</v>
      </c>
    </row>
    <row r="41" spans="4:34">
      <c r="H41" s="44" t="s">
        <v>20</v>
      </c>
      <c r="I41" s="25">
        <f>I40*0.15*-1</f>
        <v>-45019.151999999995</v>
      </c>
      <c r="J41" s="25">
        <f>J40*0.15*-1</f>
        <v>-40517.236799999999</v>
      </c>
      <c r="K41" s="41">
        <f>K40*0.15*-1</f>
        <v>-58524.897599999997</v>
      </c>
      <c r="M41" s="44" t="s">
        <v>20</v>
      </c>
      <c r="N41" s="25">
        <f>N40*0.15*-1</f>
        <v>-54022.982399999994</v>
      </c>
      <c r="O41" s="25">
        <f>O40*0.15*-1</f>
        <v>-48620.684159999997</v>
      </c>
      <c r="P41" s="41">
        <f>P40*0.15*-1</f>
        <v>-70229.87711999999</v>
      </c>
    </row>
    <row r="42" spans="4:34">
      <c r="H42" s="44" t="s">
        <v>21</v>
      </c>
      <c r="I42" s="25">
        <f>I40*0.09*-1</f>
        <v>-27011.491199999997</v>
      </c>
      <c r="J42" s="25">
        <f>J40*-1*0.09</f>
        <v>-24310.342079999999</v>
      </c>
      <c r="K42" s="41">
        <f>K40*-1*0.09</f>
        <v>-35114.938559999995</v>
      </c>
      <c r="M42" s="44" t="s">
        <v>21</v>
      </c>
      <c r="N42" s="25">
        <f>N40*0.09*-1</f>
        <v>-32413.789439999993</v>
      </c>
      <c r="O42" s="25">
        <f>O40*-1*0.09</f>
        <v>-29172.410495999997</v>
      </c>
      <c r="P42" s="41">
        <f>P40*-1*0.09</f>
        <v>-42137.92627199999</v>
      </c>
      <c r="W42" s="12" t="s">
        <v>52</v>
      </c>
      <c r="X42" s="12" t="s">
        <v>51</v>
      </c>
    </row>
    <row r="43" spans="4:34">
      <c r="H43" s="42" t="s">
        <v>26</v>
      </c>
      <c r="I43" s="18">
        <f>SUM(I40:I42)</f>
        <v>228097.0368</v>
      </c>
      <c r="J43" s="18">
        <f>SUM(J40:J42)</f>
        <v>205287.33312</v>
      </c>
      <c r="K43" s="43">
        <f>SUM(K40:K42)</f>
        <v>296526.14784000005</v>
      </c>
      <c r="M43" s="42" t="s">
        <v>26</v>
      </c>
      <c r="N43" s="18">
        <f>SUM(N40:N42)</f>
        <v>273716.44415999996</v>
      </c>
      <c r="O43" s="18">
        <f>SUM(O40:O42)</f>
        <v>246344.79974399999</v>
      </c>
      <c r="P43" s="43">
        <f>SUM(P40:P42)</f>
        <v>355831.37740799988</v>
      </c>
      <c r="W43" s="12" t="s">
        <v>50</v>
      </c>
      <c r="X43" s="30">
        <v>50</v>
      </c>
    </row>
    <row r="44" spans="4:34">
      <c r="F44" s="9"/>
      <c r="H44" s="40"/>
      <c r="I44" s="34">
        <f>((I37/F18)*E18)*-1</f>
        <v>-51133.494857142854</v>
      </c>
      <c r="J44" s="34">
        <f>((J37/F18)*E18)*-1</f>
        <v>-46020.145371428574</v>
      </c>
      <c r="K44" s="45">
        <f>((K37/F18)*E18)*-1</f>
        <v>-66473.543314285707</v>
      </c>
      <c r="M44" s="40"/>
      <c r="N44" s="34">
        <f>((N37/F18)*E18)*-1</f>
        <v>-61360.193828571428</v>
      </c>
      <c r="O44" s="34">
        <f>((O37/F18)*E18)*-1</f>
        <v>-55224.174445714285</v>
      </c>
      <c r="P44" s="45">
        <f>((P37/F18)*E18)*-1</f>
        <v>-79768.251977142849</v>
      </c>
      <c r="W44" s="12" t="s">
        <v>71</v>
      </c>
      <c r="X44" s="30">
        <v>5</v>
      </c>
    </row>
    <row r="45" spans="4:34">
      <c r="H45" s="40"/>
      <c r="I45" s="34">
        <f>((I38/F19)*E19)*-1</f>
        <v>-42782.687999999995</v>
      </c>
      <c r="J45" s="34">
        <f>((J38/F19)*E19)*-1</f>
        <v>-38504.419199999997</v>
      </c>
      <c r="K45" s="45">
        <f>((K38/F19)*E19)*-1</f>
        <v>-55617.494400000003</v>
      </c>
      <c r="M45" s="40"/>
      <c r="N45" s="34">
        <f>((N38/F19)*E19)*-1</f>
        <v>-51339.225599999998</v>
      </c>
      <c r="O45" s="34">
        <f>((O38/F19)*E19)*-1</f>
        <v>-46205.303039999999</v>
      </c>
      <c r="P45" s="45">
        <f>((P38/F19)*E19)*-1</f>
        <v>-66740.993279999995</v>
      </c>
    </row>
    <row r="46" spans="4:34" ht="15.75" thickBot="1">
      <c r="F46" s="9"/>
      <c r="H46" s="40"/>
      <c r="I46" s="34">
        <f>((I39/F20)*E20)*-1</f>
        <v>-54365.903999999995</v>
      </c>
      <c r="J46" s="34">
        <f>((J39/F20)*E20)*-1</f>
        <v>-48929.313599999994</v>
      </c>
      <c r="K46" s="45">
        <f>((K39/F20)*E20)*-1</f>
        <v>-70675.675199999998</v>
      </c>
      <c r="M46" s="40"/>
      <c r="N46" s="34">
        <f>((N39/F20)*E20)*-1</f>
        <v>-65239.084799999997</v>
      </c>
      <c r="O46" s="34">
        <f>((O39/F20)*E20)*-1</f>
        <v>-58715.176319999991</v>
      </c>
      <c r="P46" s="45">
        <f>((P39/F20)*E20)*-1</f>
        <v>-84810.810239999977</v>
      </c>
      <c r="U46" s="12"/>
      <c r="V46" s="12"/>
    </row>
    <row r="47" spans="4:34">
      <c r="H47" s="44" t="s">
        <v>28</v>
      </c>
      <c r="I47" s="34">
        <f>I44+I46+I45</f>
        <v>-148282.08685714286</v>
      </c>
      <c r="J47" s="34">
        <f>J44+J46+J45</f>
        <v>-133453.87817142857</v>
      </c>
      <c r="K47" s="45">
        <f>K44+K46+K45</f>
        <v>-192766.71291428569</v>
      </c>
      <c r="M47" s="44" t="s">
        <v>28</v>
      </c>
      <c r="N47" s="34">
        <f>N44+N46+N45</f>
        <v>-177938.50422857143</v>
      </c>
      <c r="O47" s="34">
        <f>O44+O46+O45</f>
        <v>-160144.65380571428</v>
      </c>
      <c r="P47" s="45">
        <f>P44+P46+P45</f>
        <v>-231320.05549714284</v>
      </c>
      <c r="U47" s="74" t="s">
        <v>61</v>
      </c>
      <c r="V47" s="75"/>
      <c r="W47" s="76"/>
      <c r="X47" s="33"/>
      <c r="Z47" s="74" t="s">
        <v>58</v>
      </c>
      <c r="AA47" s="75"/>
      <c r="AB47" s="76"/>
      <c r="AC47" s="33"/>
      <c r="AE47" s="74" t="s">
        <v>59</v>
      </c>
      <c r="AF47" s="75"/>
      <c r="AG47" s="76"/>
      <c r="AH47" s="33"/>
    </row>
    <row r="48" spans="4:34">
      <c r="H48" s="44" t="s">
        <v>27</v>
      </c>
      <c r="I48" s="25">
        <f>Tabela25[[#Totals],[Valor]]</f>
        <v>-57600</v>
      </c>
      <c r="J48" s="25">
        <f>Tabela25[[#Totals],[Valor]]</f>
        <v>-57600</v>
      </c>
      <c r="K48" s="41">
        <f>Tabela25[[#Totals],[Valor]]</f>
        <v>-57600</v>
      </c>
      <c r="M48" s="44" t="s">
        <v>27</v>
      </c>
      <c r="N48" s="25">
        <f>Tabela25[[#Totals],[Valor]]</f>
        <v>-57600</v>
      </c>
      <c r="O48" s="25">
        <f>Tabela25[[#Totals],[Valor]]</f>
        <v>-57600</v>
      </c>
      <c r="P48" s="41">
        <f>Tabela25[[#Totals],[Valor]]</f>
        <v>-57600</v>
      </c>
      <c r="S48" s="12"/>
      <c r="U48" s="78" t="s">
        <v>53</v>
      </c>
      <c r="V48" s="19" t="s">
        <v>37</v>
      </c>
      <c r="W48" s="79" t="s">
        <v>51</v>
      </c>
      <c r="X48" s="12"/>
      <c r="Z48" s="78" t="s">
        <v>53</v>
      </c>
      <c r="AA48" s="19" t="s">
        <v>37</v>
      </c>
      <c r="AB48" s="79" t="s">
        <v>51</v>
      </c>
      <c r="AC48" s="12"/>
      <c r="AE48" s="78" t="s">
        <v>53</v>
      </c>
      <c r="AF48" s="19" t="s">
        <v>37</v>
      </c>
      <c r="AG48" s="79" t="s">
        <v>51</v>
      </c>
      <c r="AH48" s="12"/>
    </row>
    <row r="49" spans="8:34">
      <c r="H49" s="44" t="s">
        <v>30</v>
      </c>
      <c r="I49" s="22"/>
      <c r="J49" s="23"/>
      <c r="K49" s="47"/>
      <c r="M49" s="44" t="s">
        <v>30</v>
      </c>
      <c r="N49" s="22"/>
      <c r="O49" s="23"/>
      <c r="P49" s="47"/>
      <c r="U49" s="40"/>
      <c r="V49" s="22"/>
      <c r="W49" s="77"/>
      <c r="X49" s="12"/>
      <c r="Z49" s="40"/>
      <c r="AA49" s="22"/>
      <c r="AB49" s="77"/>
      <c r="AC49" s="12"/>
      <c r="AE49" s="40"/>
      <c r="AF49" s="22"/>
      <c r="AG49" s="77"/>
      <c r="AH49" s="12"/>
    </row>
    <row r="50" spans="8:34" ht="15.75" thickBot="1">
      <c r="H50" s="48"/>
      <c r="I50" s="49">
        <f>I49+I48+I47+I43</f>
        <v>22214.949942857143</v>
      </c>
      <c r="J50" s="49">
        <f>J49+J48+J47+J43</f>
        <v>14233.454948571423</v>
      </c>
      <c r="K50" s="50">
        <f>K49+K48+K47+K43</f>
        <v>46159.434925714362</v>
      </c>
      <c r="M50" s="40"/>
      <c r="N50" s="17">
        <f>N49+N48+N47+N43</f>
        <v>38177.939931428526</v>
      </c>
      <c r="O50" s="17">
        <f>O49+O48+O47+O43</f>
        <v>28600.145938285714</v>
      </c>
      <c r="P50" s="51">
        <f>P49+P48+P47+P43</f>
        <v>66911.321910857048</v>
      </c>
      <c r="T50" s="30"/>
      <c r="U50" s="40" t="s">
        <v>38</v>
      </c>
      <c r="V50" s="22">
        <v>95</v>
      </c>
      <c r="W50" s="64">
        <f>(V50*10)*5</f>
        <v>4750</v>
      </c>
      <c r="X50" s="32"/>
      <c r="Z50" s="40" t="s">
        <v>38</v>
      </c>
      <c r="AA50" s="22">
        <v>60</v>
      </c>
      <c r="AB50" s="64">
        <f>(AA50*10)*F19</f>
        <v>3600</v>
      </c>
      <c r="AC50" s="32"/>
      <c r="AE50" s="40" t="s">
        <v>38</v>
      </c>
      <c r="AF50" s="22">
        <v>60</v>
      </c>
      <c r="AG50" s="64">
        <f>(AF50*10)*F20</f>
        <v>3660</v>
      </c>
      <c r="AH50" s="32"/>
    </row>
    <row r="51" spans="8:34" ht="15.75" thickBot="1">
      <c r="H51" s="27" t="s">
        <v>29</v>
      </c>
      <c r="I51" s="29">
        <v>0.2</v>
      </c>
      <c r="J51" s="14"/>
      <c r="K51" s="28"/>
      <c r="M51" s="48" t="s">
        <v>29</v>
      </c>
      <c r="N51" s="52">
        <v>0.2</v>
      </c>
      <c r="O51" s="53"/>
      <c r="P51" s="54"/>
      <c r="T51" s="30"/>
      <c r="U51" s="40" t="s">
        <v>39</v>
      </c>
      <c r="V51" s="22">
        <v>90</v>
      </c>
      <c r="W51" s="64">
        <f>(V51*10)*5</f>
        <v>4500</v>
      </c>
      <c r="X51" s="33"/>
      <c r="Z51" s="40" t="s">
        <v>39</v>
      </c>
      <c r="AA51" s="22">
        <v>50</v>
      </c>
      <c r="AB51" s="64">
        <f>(AA51*10)*F19</f>
        <v>3000</v>
      </c>
      <c r="AC51" s="33"/>
      <c r="AE51" s="40" t="s">
        <v>39</v>
      </c>
      <c r="AF51" s="22">
        <v>50</v>
      </c>
      <c r="AG51" s="64">
        <f>(AF51*10)*F20</f>
        <v>3050</v>
      </c>
      <c r="AH51" s="33"/>
    </row>
    <row r="52" spans="8:34">
      <c r="T52" s="30"/>
      <c r="U52" s="40" t="s">
        <v>40</v>
      </c>
      <c r="V52" s="22">
        <v>90</v>
      </c>
      <c r="W52" s="64">
        <f t="shared" ref="W52:W61" si="31">(V52*10)*5</f>
        <v>4500</v>
      </c>
      <c r="X52" s="33"/>
      <c r="Z52" s="40" t="s">
        <v>40</v>
      </c>
      <c r="AA52" s="22">
        <v>50</v>
      </c>
      <c r="AB52" s="64">
        <f>(AA52*10)*F19</f>
        <v>3000</v>
      </c>
      <c r="AC52" s="33"/>
      <c r="AE52" s="40" t="s">
        <v>40</v>
      </c>
      <c r="AF52" s="22">
        <v>125</v>
      </c>
      <c r="AG52" s="64">
        <f>(AF52*10)*F20</f>
        <v>7625</v>
      </c>
      <c r="AH52" s="33"/>
    </row>
    <row r="53" spans="8:34">
      <c r="T53" s="30"/>
      <c r="U53" s="40" t="s">
        <v>41</v>
      </c>
      <c r="V53" s="22">
        <v>90</v>
      </c>
      <c r="W53" s="64">
        <f t="shared" si="31"/>
        <v>4500</v>
      </c>
      <c r="X53" s="33"/>
      <c r="Z53" s="40" t="s">
        <v>41</v>
      </c>
      <c r="AA53" s="22">
        <v>50</v>
      </c>
      <c r="AB53" s="64">
        <f>(AA53*10)*F19</f>
        <v>3000</v>
      </c>
      <c r="AC53" s="33"/>
      <c r="AE53" s="40" t="s">
        <v>41</v>
      </c>
      <c r="AF53" s="22">
        <v>50</v>
      </c>
      <c r="AG53" s="64">
        <f>(AF53*10)*F20</f>
        <v>3050</v>
      </c>
      <c r="AH53" s="33"/>
    </row>
    <row r="54" spans="8:34" ht="15" customHeight="1">
      <c r="R54" s="30"/>
      <c r="T54" s="30"/>
      <c r="U54" s="40" t="s">
        <v>42</v>
      </c>
      <c r="V54" s="22">
        <v>100</v>
      </c>
      <c r="W54" s="64">
        <f t="shared" si="31"/>
        <v>5000</v>
      </c>
      <c r="X54" s="33"/>
      <c r="Z54" s="40" t="s">
        <v>42</v>
      </c>
      <c r="AA54" s="22">
        <v>55</v>
      </c>
      <c r="AB54" s="64">
        <f>(AA54*10)*F19</f>
        <v>3300</v>
      </c>
      <c r="AC54" s="33"/>
      <c r="AE54" s="40" t="s">
        <v>42</v>
      </c>
      <c r="AF54" s="22">
        <v>55</v>
      </c>
      <c r="AG54" s="64">
        <f>(AF54*10)*F20</f>
        <v>3355</v>
      </c>
      <c r="AH54" s="33"/>
    </row>
    <row r="55" spans="8:34" ht="15" customHeight="1">
      <c r="R55" s="30"/>
      <c r="T55" s="30"/>
      <c r="U55" s="40" t="s">
        <v>43</v>
      </c>
      <c r="V55" s="22">
        <v>110</v>
      </c>
      <c r="W55" s="64">
        <f t="shared" si="31"/>
        <v>5500</v>
      </c>
      <c r="X55" s="33"/>
      <c r="Z55" s="40" t="s">
        <v>43</v>
      </c>
      <c r="AA55" s="22">
        <v>65</v>
      </c>
      <c r="AB55" s="64">
        <f>(AA55*10)*F19</f>
        <v>3900</v>
      </c>
      <c r="AC55" s="33"/>
      <c r="AE55" s="40" t="s">
        <v>43</v>
      </c>
      <c r="AF55" s="22">
        <v>65</v>
      </c>
      <c r="AG55" s="64">
        <f>(AF55*10)*F20</f>
        <v>3964.9999999999995</v>
      </c>
      <c r="AH55" s="33"/>
    </row>
    <row r="56" spans="8:34" ht="15" customHeight="1">
      <c r="R56" s="30"/>
      <c r="T56" s="30"/>
      <c r="U56" s="40" t="s">
        <v>44</v>
      </c>
      <c r="V56" s="22">
        <v>125</v>
      </c>
      <c r="W56" s="64">
        <f t="shared" si="31"/>
        <v>6250</v>
      </c>
      <c r="X56" s="12"/>
      <c r="Z56" s="40" t="s">
        <v>44</v>
      </c>
      <c r="AA56" s="22">
        <v>80</v>
      </c>
      <c r="AB56" s="64">
        <f>(AA56*10)*F19</f>
        <v>4800</v>
      </c>
      <c r="AC56" s="12"/>
      <c r="AE56" s="40" t="s">
        <v>44</v>
      </c>
      <c r="AF56" s="22">
        <v>80</v>
      </c>
      <c r="AG56" s="64">
        <f>(AF56*10)*F20</f>
        <v>4880</v>
      </c>
      <c r="AH56" s="12"/>
    </row>
    <row r="57" spans="8:34" ht="15" customHeight="1">
      <c r="T57" s="30"/>
      <c r="U57" s="40" t="s">
        <v>45</v>
      </c>
      <c r="V57" s="22">
        <v>120</v>
      </c>
      <c r="W57" s="64">
        <f t="shared" si="31"/>
        <v>6000</v>
      </c>
      <c r="X57" s="12"/>
      <c r="Z57" s="40" t="s">
        <v>45</v>
      </c>
      <c r="AA57" s="22">
        <v>70</v>
      </c>
      <c r="AB57" s="64">
        <f>(AA57*10)*F19</f>
        <v>4200</v>
      </c>
      <c r="AC57" s="12"/>
      <c r="AE57" s="40" t="s">
        <v>45</v>
      </c>
      <c r="AF57" s="22">
        <v>70</v>
      </c>
      <c r="AG57" s="64">
        <f>(AF57*10)*F20</f>
        <v>4270</v>
      </c>
      <c r="AH57" s="12"/>
    </row>
    <row r="58" spans="8:34" ht="17.25">
      <c r="H58" s="12"/>
      <c r="K58" s="36"/>
      <c r="T58" s="30"/>
      <c r="U58" s="40" t="s">
        <v>46</v>
      </c>
      <c r="V58" s="22">
        <v>110</v>
      </c>
      <c r="W58" s="64">
        <f t="shared" si="31"/>
        <v>5500</v>
      </c>
      <c r="X58" s="12"/>
      <c r="Z58" s="40" t="s">
        <v>46</v>
      </c>
      <c r="AA58" s="22">
        <v>70</v>
      </c>
      <c r="AB58" s="64">
        <f>(AA58*10)*F19</f>
        <v>4200</v>
      </c>
      <c r="AC58" s="12"/>
      <c r="AE58" s="40" t="s">
        <v>46</v>
      </c>
      <c r="AF58" s="22">
        <v>70</v>
      </c>
      <c r="AG58" s="64">
        <f>(AF58*10)*F20</f>
        <v>4270</v>
      </c>
      <c r="AH58" s="12"/>
    </row>
    <row r="59" spans="8:34">
      <c r="T59" s="30"/>
      <c r="U59" s="40" t="s">
        <v>47</v>
      </c>
      <c r="V59" s="22">
        <v>160</v>
      </c>
      <c r="W59" s="64">
        <f t="shared" si="31"/>
        <v>8000</v>
      </c>
      <c r="X59" s="12"/>
      <c r="Z59" s="40" t="s">
        <v>47</v>
      </c>
      <c r="AA59" s="22">
        <v>125</v>
      </c>
      <c r="AB59" s="64">
        <f>(AA59*10)*F19</f>
        <v>7500</v>
      </c>
      <c r="AC59" s="12"/>
      <c r="AE59" s="40" t="s">
        <v>47</v>
      </c>
      <c r="AF59" s="22">
        <v>90</v>
      </c>
      <c r="AG59" s="64">
        <f>(AF59*10)*F20</f>
        <v>5490</v>
      </c>
      <c r="AH59" s="12"/>
    </row>
    <row r="60" spans="8:34" ht="17.25">
      <c r="H60" s="12"/>
      <c r="L60" s="36"/>
      <c r="T60" s="30"/>
      <c r="U60" s="40" t="s">
        <v>48</v>
      </c>
      <c r="V60" s="22">
        <v>140</v>
      </c>
      <c r="W60" s="64">
        <f t="shared" si="31"/>
        <v>7000</v>
      </c>
      <c r="X60" s="12"/>
      <c r="Z60" s="40" t="s">
        <v>48</v>
      </c>
      <c r="AA60" s="22">
        <v>80</v>
      </c>
      <c r="AB60" s="64">
        <f>(AA60*10)*F19</f>
        <v>4800</v>
      </c>
      <c r="AC60" s="12"/>
      <c r="AE60" s="40" t="s">
        <v>48</v>
      </c>
      <c r="AF60" s="22">
        <v>80</v>
      </c>
      <c r="AG60" s="64">
        <f>(AF60*10)*F20</f>
        <v>4880</v>
      </c>
      <c r="AH60" s="12"/>
    </row>
    <row r="61" spans="8:34" ht="15.75" thickBot="1">
      <c r="I61" s="31"/>
      <c r="T61" s="30"/>
      <c r="U61" s="48" t="s">
        <v>49</v>
      </c>
      <c r="V61" s="53">
        <v>150</v>
      </c>
      <c r="W61" s="66">
        <f t="shared" si="31"/>
        <v>7500</v>
      </c>
      <c r="X61" s="12"/>
      <c r="Z61" s="48" t="s">
        <v>49</v>
      </c>
      <c r="AA61" s="53">
        <v>90</v>
      </c>
      <c r="AB61" s="66">
        <f>(AA61*10)*F19</f>
        <v>5400</v>
      </c>
      <c r="AC61" s="12"/>
      <c r="AE61" s="48" t="s">
        <v>49</v>
      </c>
      <c r="AF61" s="53">
        <v>90</v>
      </c>
      <c r="AG61" s="66">
        <f>(AF61*10)*F20</f>
        <v>5490</v>
      </c>
      <c r="AH61" s="12"/>
    </row>
    <row r="62" spans="8:34">
      <c r="T62" s="30"/>
      <c r="U62" s="12"/>
      <c r="W62" s="30"/>
    </row>
    <row r="63" spans="8:34">
      <c r="U63" s="12"/>
      <c r="W63" s="30"/>
    </row>
    <row r="64" spans="8:34">
      <c r="U64" s="12"/>
      <c r="W64" s="30"/>
    </row>
    <row r="65" spans="21:21">
      <c r="U65" s="12"/>
    </row>
  </sheetData>
  <mergeCells count="3">
    <mergeCell ref="U47:W47"/>
    <mergeCell ref="Z47:AB47"/>
    <mergeCell ref="AE47:AG47"/>
  </mergeCells>
  <pageMargins left="0.511811024" right="0.511811024" top="0.78740157499999996" bottom="0.78740157499999996" header="0.31496062000000002" footer="0.31496062000000002"/>
  <pageSetup paperSize="9" fitToWidth="0" fitToHeight="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Trabalho Parte 1</vt:lpstr>
      <vt:lpstr>Plan1</vt:lpstr>
      <vt:lpstr>'Trabalho Parte 1'!Area_de_impressao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Grisa</dc:creator>
  <cp:lastModifiedBy>aliffe_2</cp:lastModifiedBy>
  <dcterms:created xsi:type="dcterms:W3CDTF">2016-06-15T19:08:24Z</dcterms:created>
  <dcterms:modified xsi:type="dcterms:W3CDTF">2017-06-30T05:33:53Z</dcterms:modified>
</cp:coreProperties>
</file>