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2_q1&amp;q2" sheetId="1" r:id="rId1"/>
    <sheet name="q1 basic calculations" sheetId="3" r:id="rId2"/>
    <sheet name="p2_q1MMF" sheetId="2" r:id="rId3"/>
  </sheets>
  <calcPr calcId="152511"/>
</workbook>
</file>

<file path=xl/calcChain.xml><?xml version="1.0" encoding="utf-8"?>
<calcChain xmlns="http://schemas.openxmlformats.org/spreadsheetml/2006/main">
  <c r="A2" i="2" l="1"/>
  <c r="F3" i="3"/>
  <c r="F4" i="3"/>
  <c r="F5" i="3"/>
  <c r="F2" i="3"/>
  <c r="C5" i="3"/>
  <c r="E5" i="3" s="1"/>
  <c r="E3" i="3"/>
  <c r="E4" i="3"/>
  <c r="C3" i="3"/>
  <c r="C4" i="3"/>
  <c r="C2" i="3"/>
  <c r="H2" i="1"/>
  <c r="Q2" i="1" s="1"/>
  <c r="Y3" i="1"/>
  <c r="S3" i="1"/>
  <c r="K3" i="1"/>
  <c r="V3" i="1" s="1"/>
  <c r="H3" i="1"/>
  <c r="F3" i="1"/>
  <c r="L14" i="1"/>
  <c r="E2" i="3" l="1"/>
  <c r="Q3" i="1"/>
  <c r="I3" i="1"/>
  <c r="AA3" i="1"/>
  <c r="AB3" i="1" s="1"/>
  <c r="AC3" i="1" s="1"/>
  <c r="L3" i="1"/>
  <c r="AD3" i="1" s="1"/>
  <c r="I8" i="2"/>
  <c r="K8" i="2" s="1"/>
  <c r="M8" i="2" s="1"/>
  <c r="O8" i="2" s="1"/>
  <c r="Q8" i="2" s="1"/>
  <c r="S8" i="2" s="1"/>
  <c r="U8" i="2" s="1"/>
  <c r="W8" i="2" s="1"/>
  <c r="Y8" i="2" s="1"/>
  <c r="AA8" i="2" s="1"/>
  <c r="AC8" i="2" s="1"/>
  <c r="AE8" i="2" s="1"/>
  <c r="AG8" i="2" s="1"/>
  <c r="AI8" i="2" s="1"/>
  <c r="AK8" i="2" s="1"/>
  <c r="AM8" i="2" s="1"/>
  <c r="AO8" i="2" s="1"/>
  <c r="H8" i="2"/>
  <c r="J8" i="2" s="1"/>
  <c r="L8" i="2" s="1"/>
  <c r="N8" i="2" s="1"/>
  <c r="P8" i="2" s="1"/>
  <c r="R8" i="2" s="1"/>
  <c r="T8" i="2" s="1"/>
  <c r="V8" i="2" s="1"/>
  <c r="X8" i="2" s="1"/>
  <c r="Z8" i="2" s="1"/>
  <c r="AB8" i="2" s="1"/>
  <c r="AD8" i="2" s="1"/>
  <c r="AF8" i="2" s="1"/>
  <c r="AH8" i="2" s="1"/>
  <c r="AJ8" i="2" s="1"/>
  <c r="AL8" i="2" s="1"/>
  <c r="AN8" i="2" s="1"/>
  <c r="AP8" i="2" s="1"/>
  <c r="D5" i="2"/>
  <c r="M3" i="1" l="1"/>
  <c r="N3" i="1" s="1"/>
  <c r="R3" i="1" s="1"/>
  <c r="T3" i="1" s="1"/>
  <c r="W3" i="1" s="1"/>
  <c r="X3" i="1" s="1"/>
  <c r="Z3" i="1" s="1"/>
  <c r="AI5" i="2"/>
  <c r="AE5" i="2"/>
  <c r="AG5" i="2"/>
  <c r="Q5" i="2"/>
  <c r="O5" i="2"/>
  <c r="M5" i="2"/>
  <c r="B2" i="2"/>
  <c r="D2" i="2"/>
  <c r="B5" i="2"/>
  <c r="C2" i="2"/>
  <c r="C5" i="2"/>
  <c r="O3" i="1" l="1"/>
  <c r="P3" i="1"/>
  <c r="AC2" i="2"/>
  <c r="Y2" i="2"/>
  <c r="AA2" i="2"/>
  <c r="G2" i="2"/>
  <c r="K2" i="2"/>
  <c r="I2" i="2"/>
  <c r="M2" i="2"/>
  <c r="AI2" i="2"/>
  <c r="AG2" i="2"/>
  <c r="Q2" i="2"/>
  <c r="AE2" i="2"/>
  <c r="O2" i="2"/>
  <c r="AO5" i="2"/>
  <c r="U5" i="2"/>
  <c r="AM5" i="2"/>
  <c r="W5" i="2"/>
  <c r="AK5" i="2"/>
  <c r="S5" i="2"/>
  <c r="AO2" i="2"/>
  <c r="AM2" i="2"/>
  <c r="W2" i="2"/>
  <c r="AK2" i="2"/>
  <c r="U2" i="2"/>
  <c r="S2" i="2"/>
  <c r="Y5" i="2"/>
  <c r="I5" i="2"/>
  <c r="G5" i="2"/>
  <c r="AC5" i="2"/>
  <c r="AA5" i="2"/>
  <c r="K5" i="2"/>
  <c r="U6" i="2" l="1"/>
  <c r="T6" i="2"/>
  <c r="I3" i="2"/>
  <c r="H3" i="2"/>
  <c r="K3" i="2" l="1"/>
  <c r="J3" i="2"/>
  <c r="W6" i="2"/>
  <c r="V6" i="2"/>
  <c r="X6" i="2" l="1"/>
  <c r="Y6" i="2"/>
  <c r="L3" i="2"/>
  <c r="M3" i="2"/>
  <c r="O3" i="2" l="1"/>
  <c r="N3" i="2"/>
  <c r="AA6" i="2"/>
  <c r="Z6" i="2"/>
  <c r="AC6" i="2" l="1"/>
  <c r="AB6" i="2"/>
  <c r="Q3" i="2"/>
  <c r="P3" i="2"/>
  <c r="R3" i="2" l="1"/>
  <c r="S3" i="2"/>
  <c r="AE6" i="2"/>
  <c r="AD6" i="2"/>
  <c r="U3" i="2" l="1"/>
  <c r="T3" i="2"/>
  <c r="AF6" i="2"/>
  <c r="AG6" i="2"/>
  <c r="AI6" i="2" l="1"/>
  <c r="AH6" i="2"/>
  <c r="W3" i="2"/>
  <c r="V3" i="2"/>
  <c r="Y3" i="2" l="1"/>
  <c r="X3" i="2"/>
  <c r="AK6" i="2"/>
  <c r="AJ6" i="2"/>
  <c r="AM6" i="2" l="1"/>
  <c r="AL6" i="2"/>
  <c r="Z3" i="2"/>
  <c r="AA3" i="2"/>
  <c r="AC3" i="2" l="1"/>
  <c r="AB3" i="2"/>
  <c r="AO6" i="2"/>
  <c r="AN6" i="2"/>
  <c r="G6" i="2" l="1"/>
  <c r="F6" i="2"/>
  <c r="AP6" i="2" s="1"/>
  <c r="AE3" i="2"/>
  <c r="AD3" i="2"/>
  <c r="AG3" i="2" l="1"/>
  <c r="AF3" i="2"/>
  <c r="I6" i="2"/>
  <c r="H6" i="2"/>
  <c r="K6" i="2" l="1"/>
  <c r="J6" i="2"/>
  <c r="AI3" i="2"/>
  <c r="AH3" i="2"/>
  <c r="AK3" i="2" l="1"/>
  <c r="AJ3" i="2"/>
  <c r="M6" i="2"/>
  <c r="L6" i="2"/>
  <c r="O6" i="2" l="1"/>
  <c r="N6" i="2"/>
  <c r="AM3" i="2"/>
  <c r="AL3" i="2"/>
  <c r="AO3" i="2" l="1"/>
  <c r="AN3" i="2"/>
  <c r="P6" i="2"/>
  <c r="Q6" i="2"/>
  <c r="S6" i="2" l="1"/>
  <c r="R6" i="2"/>
  <c r="G3" i="2"/>
  <c r="F3" i="2"/>
  <c r="AP3" i="2" s="1"/>
  <c r="K4" i="1" l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2" i="1"/>
  <c r="Y4" i="1"/>
  <c r="Y5" i="1"/>
  <c r="Y6" i="1"/>
  <c r="Y7" i="1"/>
  <c r="Y8" i="1"/>
  <c r="Y9" i="1"/>
  <c r="Y10" i="1"/>
  <c r="Y11" i="1"/>
  <c r="Y12" i="1"/>
  <c r="Y13" i="1"/>
  <c r="Y2" i="1"/>
  <c r="S4" i="1"/>
  <c r="AA4" i="1" s="1"/>
  <c r="S5" i="1"/>
  <c r="AA5" i="1" s="1"/>
  <c r="S6" i="1"/>
  <c r="AA6" i="1" s="1"/>
  <c r="S7" i="1"/>
  <c r="AA7" i="1" s="1"/>
  <c r="S8" i="1"/>
  <c r="AA8" i="1" s="1"/>
  <c r="S9" i="1"/>
  <c r="AA9" i="1" s="1"/>
  <c r="S10" i="1"/>
  <c r="AA10" i="1" s="1"/>
  <c r="S11" i="1"/>
  <c r="AA11" i="1" s="1"/>
  <c r="S12" i="1"/>
  <c r="AA12" i="1" s="1"/>
  <c r="S13" i="1"/>
  <c r="AA13" i="1" s="1"/>
  <c r="S2" i="1"/>
  <c r="AA2" i="1" s="1"/>
  <c r="V4" i="1"/>
  <c r="V6" i="1"/>
  <c r="V12" i="1"/>
  <c r="H4" i="1"/>
  <c r="H5" i="1"/>
  <c r="H6" i="1"/>
  <c r="H7" i="1"/>
  <c r="H8" i="1"/>
  <c r="H9" i="1"/>
  <c r="H10" i="1"/>
  <c r="H11" i="1"/>
  <c r="H12" i="1"/>
  <c r="H13" i="1"/>
  <c r="L4" i="1"/>
  <c r="L12" i="1"/>
  <c r="F12" i="1"/>
  <c r="F13" i="1"/>
  <c r="F4" i="1"/>
  <c r="F5" i="1"/>
  <c r="F6" i="1"/>
  <c r="F7" i="1"/>
  <c r="F8" i="1"/>
  <c r="F9" i="1"/>
  <c r="F10" i="1"/>
  <c r="F11" i="1"/>
  <c r="F2" i="1"/>
  <c r="Q7" i="1" l="1"/>
  <c r="AD7" i="1"/>
  <c r="AB13" i="1"/>
  <c r="AC13" i="1" s="1"/>
  <c r="AB5" i="1"/>
  <c r="AC5" i="1" s="1"/>
  <c r="I6" i="1"/>
  <c r="M6" i="1" s="1"/>
  <c r="N6" i="1" s="1"/>
  <c r="AD6" i="1"/>
  <c r="AB12" i="1"/>
  <c r="AC12" i="1" s="1"/>
  <c r="AB4" i="1"/>
  <c r="AC4" i="1" s="1"/>
  <c r="I5" i="1"/>
  <c r="AD5" i="1"/>
  <c r="AB11" i="1"/>
  <c r="AC11" i="1" s="1"/>
  <c r="I4" i="1"/>
  <c r="AD4" i="1"/>
  <c r="AB10" i="1"/>
  <c r="AC10" i="1" s="1"/>
  <c r="I2" i="1"/>
  <c r="I11" i="1"/>
  <c r="M11" i="1" s="1"/>
  <c r="AD11" i="1"/>
  <c r="AB9" i="1"/>
  <c r="AC9" i="1" s="1"/>
  <c r="Q12" i="1"/>
  <c r="AD12" i="1"/>
  <c r="I10" i="1"/>
  <c r="M10" i="1" s="1"/>
  <c r="AD10" i="1"/>
  <c r="AB8" i="1"/>
  <c r="AC8" i="1" s="1"/>
  <c r="V2" i="1"/>
  <c r="L2" i="1"/>
  <c r="I13" i="1"/>
  <c r="AD13" i="1"/>
  <c r="Q9" i="1"/>
  <c r="AD9" i="1"/>
  <c r="AB7" i="1"/>
  <c r="AC7" i="1" s="1"/>
  <c r="Q8" i="1"/>
  <c r="AD8" i="1"/>
  <c r="AB2" i="1"/>
  <c r="AC2" i="1" s="1"/>
  <c r="AB6" i="1"/>
  <c r="AC6" i="1" s="1"/>
  <c r="Q4" i="1"/>
  <c r="V13" i="1"/>
  <c r="I12" i="1"/>
  <c r="Q11" i="1"/>
  <c r="Q6" i="1"/>
  <c r="Q13" i="1"/>
  <c r="Q5" i="1"/>
  <c r="I9" i="1"/>
  <c r="M9" i="1" s="1"/>
  <c r="I8" i="1"/>
  <c r="M8" i="1" s="1"/>
  <c r="Q10" i="1"/>
  <c r="I7" i="1"/>
  <c r="M7" i="1" s="1"/>
  <c r="N7" i="1" s="1"/>
  <c r="V5" i="1"/>
  <c r="V8" i="1"/>
  <c r="V7" i="1"/>
  <c r="V11" i="1"/>
  <c r="V10" i="1"/>
  <c r="V9" i="1"/>
  <c r="M12" i="1"/>
  <c r="M13" i="1"/>
  <c r="N13" i="1" s="1"/>
  <c r="M5" i="1"/>
  <c r="M4" i="1"/>
  <c r="M2" i="1" l="1"/>
  <c r="N2" i="1" s="1"/>
  <c r="N11" i="1"/>
  <c r="O11" i="1" s="1"/>
  <c r="N5" i="1"/>
  <c r="R5" i="1" s="1"/>
  <c r="T5" i="1" s="1"/>
  <c r="W5" i="1" s="1"/>
  <c r="X5" i="1" s="1"/>
  <c r="Z5" i="1" s="1"/>
  <c r="AD2" i="1"/>
  <c r="R12" i="1"/>
  <c r="T12" i="1" s="1"/>
  <c r="W12" i="1" s="1"/>
  <c r="X12" i="1" s="1"/>
  <c r="Z12" i="1" s="1"/>
  <c r="N12" i="1"/>
  <c r="N10" i="1"/>
  <c r="P10" i="1" s="1"/>
  <c r="R4" i="1"/>
  <c r="T4" i="1" s="1"/>
  <c r="W4" i="1" s="1"/>
  <c r="X4" i="1" s="1"/>
  <c r="Z4" i="1" s="1"/>
  <c r="N4" i="1"/>
  <c r="N8" i="1"/>
  <c r="P8" i="1" s="1"/>
  <c r="N9" i="1"/>
  <c r="R9" i="1" s="1"/>
  <c r="T9" i="1" s="1"/>
  <c r="W9" i="1" s="1"/>
  <c r="X9" i="1" s="1"/>
  <c r="Z9" i="1" s="1"/>
  <c r="R6" i="1"/>
  <c r="T6" i="1" s="1"/>
  <c r="W6" i="1" s="1"/>
  <c r="X6" i="1" s="1"/>
  <c r="Z6" i="1" s="1"/>
  <c r="R13" i="1"/>
  <c r="T13" i="1" s="1"/>
  <c r="W13" i="1" s="1"/>
  <c r="X13" i="1" s="1"/>
  <c r="Z13" i="1" s="1"/>
  <c r="T2" i="1"/>
  <c r="W2" i="1" s="1"/>
  <c r="X2" i="1" s="1"/>
  <c r="Z2" i="1" s="1"/>
  <c r="P7" i="1"/>
  <c r="R7" i="1"/>
  <c r="T7" i="1" s="1"/>
  <c r="W7" i="1" s="1"/>
  <c r="X7" i="1" s="1"/>
  <c r="Z7" i="1" s="1"/>
  <c r="O7" i="1"/>
  <c r="P9" i="1"/>
  <c r="O8" i="1"/>
  <c r="P13" i="1"/>
  <c r="O13" i="1"/>
  <c r="O12" i="1"/>
  <c r="P12" i="1"/>
  <c r="O4" i="1"/>
  <c r="P4" i="1"/>
  <c r="P6" i="1"/>
  <c r="O6" i="1"/>
  <c r="O2" i="1"/>
  <c r="P2" i="1"/>
  <c r="O9" i="1" l="1"/>
  <c r="P5" i="1"/>
  <c r="O5" i="1"/>
  <c r="R8" i="1"/>
  <c r="T8" i="1" s="1"/>
  <c r="W8" i="1" s="1"/>
  <c r="X8" i="1" s="1"/>
  <c r="Z8" i="1" s="1"/>
  <c r="O10" i="1"/>
  <c r="R10" i="1"/>
  <c r="T10" i="1" s="1"/>
  <c r="W10" i="1" s="1"/>
  <c r="X10" i="1" s="1"/>
  <c r="Z10" i="1" s="1"/>
  <c r="P11" i="1"/>
  <c r="R11" i="1"/>
  <c r="T11" i="1" s="1"/>
  <c r="W11" i="1" s="1"/>
  <c r="X11" i="1" s="1"/>
  <c r="Z11" i="1" s="1"/>
</calcChain>
</file>

<file path=xl/sharedStrings.xml><?xml version="1.0" encoding="utf-8"?>
<sst xmlns="http://schemas.openxmlformats.org/spreadsheetml/2006/main" count="43" uniqueCount="42">
  <si>
    <t>I/area</t>
  </si>
  <si>
    <t>N</t>
  </si>
  <si>
    <t>AWG</t>
  </si>
  <si>
    <t>NI</t>
  </si>
  <si>
    <t>cond area</t>
  </si>
  <si>
    <t>airgap(mm)</t>
  </si>
  <si>
    <t>NI/airgap</t>
  </si>
  <si>
    <t>B@S_teeth</t>
  </si>
  <si>
    <t>B@S_backcore(ty=20mm)</t>
  </si>
  <si>
    <t>Max I(RMS)</t>
  </si>
  <si>
    <t>Torque(Nm)</t>
  </si>
  <si>
    <t>Input Power(W)</t>
  </si>
  <si>
    <t>Efficiency  (Assumption)</t>
  </si>
  <si>
    <t>Output Power</t>
  </si>
  <si>
    <t>FF (Assumption)</t>
  </si>
  <si>
    <t>L(typ for Async M)</t>
  </si>
  <si>
    <t>wrated(rad/s)</t>
  </si>
  <si>
    <t>slip</t>
  </si>
  <si>
    <t>Nrated</t>
  </si>
  <si>
    <t>Nsync</t>
  </si>
  <si>
    <t>Bav(Magnetic Loading)</t>
  </si>
  <si>
    <t>ElectricLoading (kA/m)</t>
  </si>
  <si>
    <t>pf (Assumption)</t>
  </si>
  <si>
    <t>Ohm/1000m</t>
  </si>
  <si>
    <t>phase length(m)</t>
  </si>
  <si>
    <t>Length of a turn(m)</t>
  </si>
  <si>
    <t>R_stator-phase</t>
  </si>
  <si>
    <t>Ipeak</t>
  </si>
  <si>
    <t>Ia</t>
  </si>
  <si>
    <t>Ib</t>
  </si>
  <si>
    <t>Ic</t>
  </si>
  <si>
    <t>ia= Ipeak, ib= -0.5 Ipeak, ic= -0.5 Ipeak</t>
  </si>
  <si>
    <t>ia= -0.5 Ipeak, ib= Ipeak, ic= -0.5 Ipeak</t>
  </si>
  <si>
    <t>Selected:</t>
  </si>
  <si>
    <t>Inductance-phase(H)</t>
  </si>
  <si>
    <t>ShearStress (kPa)</t>
  </si>
  <si>
    <t>kp</t>
  </si>
  <si>
    <t>n(harmonic order)</t>
  </si>
  <si>
    <t>q</t>
  </si>
  <si>
    <t>kd</t>
  </si>
  <si>
    <t>a(slot angle in rad)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</si>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</sst>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3" borderId="0" xfId="2" applyNumberFormat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2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45720</xdr:rowOff>
    </xdr:from>
    <xdr:to>
      <xdr:col>12</xdr:col>
      <xdr:colOff>476250</xdr:colOff>
      <xdr:row>31</xdr:row>
      <xdr:rowOff>146685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691640"/>
          <a:ext cx="6915150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workbookViewId="0">
      <selection activeCell="R17" sqref="R17:S17"/>
    </sheetView>
  </sheetViews>
  <sheetFormatPr defaultRowHeight="14.4" x14ac:dyDescent="0.3"/>
  <cols>
    <col min="1" max="1" width="8.88671875" style="4"/>
    <col min="2" max="3" width="10.44140625" style="4" bestFit="1" customWidth="1"/>
    <col min="4" max="4" width="11.44140625" style="4" bestFit="1" customWidth="1"/>
    <col min="5" max="5" width="11.44140625" style="4" customWidth="1"/>
    <col min="6" max="6" width="10.44140625" style="4" bestFit="1" customWidth="1"/>
    <col min="7" max="7" width="11.33203125" style="4" customWidth="1"/>
    <col min="8" max="8" width="11.5546875" style="4" bestFit="1" customWidth="1"/>
    <col min="9" max="9" width="11.44140625" style="4" bestFit="1" customWidth="1"/>
    <col min="10" max="10" width="12.109375" style="4" customWidth="1"/>
    <col min="11" max="11" width="14.5546875" style="4" bestFit="1" customWidth="1"/>
    <col min="12" max="12" width="10.88671875" style="4" bestFit="1" customWidth="1"/>
    <col min="13" max="13" width="12.44140625" style="4" bestFit="1" customWidth="1"/>
    <col min="14" max="14" width="12.109375" style="4" customWidth="1"/>
    <col min="15" max="15" width="10.33203125" style="4" bestFit="1" customWidth="1"/>
    <col min="16" max="17" width="13.33203125" style="4" customWidth="1"/>
    <col min="18" max="18" width="11.5546875" style="4" customWidth="1"/>
    <col min="19" max="19" width="10.44140625" style="4" customWidth="1"/>
    <col min="20" max="20" width="11.33203125" style="4" bestFit="1" customWidth="1"/>
    <col min="21" max="21" width="12.33203125" style="10" customWidth="1"/>
    <col min="22" max="22" width="13.5546875" style="4" bestFit="1" customWidth="1"/>
    <col min="23" max="23" width="14.5546875" style="4" bestFit="1" customWidth="1"/>
    <col min="24" max="24" width="12.109375" style="4" bestFit="1" customWidth="1"/>
    <col min="25" max="25" width="12.44140625" style="4" bestFit="1" customWidth="1"/>
    <col min="26" max="26" width="15.5546875" style="4" bestFit="1" customWidth="1"/>
    <col min="27" max="27" width="11.44140625" style="4" bestFit="1" customWidth="1"/>
    <col min="28" max="28" width="14.5546875" style="4" bestFit="1" customWidth="1"/>
    <col min="29" max="29" width="13.5546875" style="4" bestFit="1" customWidth="1"/>
    <col min="30" max="30" width="14.6640625" style="4" bestFit="1" customWidth="1"/>
    <col min="31" max="16384" width="8.88671875" style="4"/>
  </cols>
  <sheetData>
    <row r="1" spans="1:30" s="7" customFormat="1" ht="43.2" x14ac:dyDescent="0.3">
      <c r="B1" s="5" t="s">
        <v>2</v>
      </c>
      <c r="C1" s="6" t="s">
        <v>4</v>
      </c>
      <c r="D1" s="6" t="s">
        <v>9</v>
      </c>
      <c r="E1" s="12" t="s">
        <v>23</v>
      </c>
      <c r="F1" s="7" t="s">
        <v>0</v>
      </c>
      <c r="G1" s="11" t="s">
        <v>14</v>
      </c>
      <c r="H1" s="8" t="s">
        <v>1</v>
      </c>
      <c r="I1" s="7" t="s">
        <v>3</v>
      </c>
      <c r="J1" s="11" t="s">
        <v>22</v>
      </c>
      <c r="K1" s="8" t="s">
        <v>11</v>
      </c>
      <c r="L1" s="8" t="s">
        <v>5</v>
      </c>
      <c r="M1" s="7" t="s">
        <v>6</v>
      </c>
      <c r="N1" s="9" t="s">
        <v>20</v>
      </c>
      <c r="O1" s="9" t="s">
        <v>7</v>
      </c>
      <c r="P1" s="9" t="s">
        <v>8</v>
      </c>
      <c r="Q1" s="8" t="s">
        <v>21</v>
      </c>
      <c r="R1" s="7" t="s">
        <v>35</v>
      </c>
      <c r="S1" s="7" t="s">
        <v>15</v>
      </c>
      <c r="T1" s="8" t="s">
        <v>10</v>
      </c>
      <c r="U1" s="11" t="s">
        <v>12</v>
      </c>
      <c r="V1" s="7" t="s">
        <v>13</v>
      </c>
      <c r="W1" s="7" t="s">
        <v>16</v>
      </c>
      <c r="X1" s="7" t="s">
        <v>17</v>
      </c>
      <c r="Y1" s="7" t="s">
        <v>19</v>
      </c>
      <c r="Z1" s="8" t="s">
        <v>18</v>
      </c>
      <c r="AA1" s="7" t="s">
        <v>25</v>
      </c>
      <c r="AB1" s="7" t="s">
        <v>24</v>
      </c>
      <c r="AC1" s="7" t="s">
        <v>26</v>
      </c>
      <c r="AD1" s="7" t="s">
        <v>34</v>
      </c>
    </row>
    <row r="2" spans="1:30" s="16" customFormat="1" x14ac:dyDescent="0.3">
      <c r="A2" s="16" t="s">
        <v>33</v>
      </c>
      <c r="B2" s="16">
        <v>27</v>
      </c>
      <c r="C2" s="16">
        <v>0.10970000000000001</v>
      </c>
      <c r="D2" s="16">
        <v>0.85</v>
      </c>
      <c r="E2" s="16">
        <v>160</v>
      </c>
      <c r="F2" s="16">
        <f>D2/C2</f>
        <v>7.748404740200546</v>
      </c>
      <c r="G2" s="16">
        <v>0.6</v>
      </c>
      <c r="H2" s="16">
        <f>ROUND(((29.7*G2)/C2),0)</f>
        <v>162</v>
      </c>
      <c r="I2" s="16">
        <f>H2*D2</f>
        <v>137.69999999999999</v>
      </c>
      <c r="J2" s="16">
        <v>0.75</v>
      </c>
      <c r="K2" s="16">
        <f>(3*220*D2*J2)</f>
        <v>420.75</v>
      </c>
      <c r="L2" s="16">
        <f>0.18+(0.006*(K2^0.4))</f>
        <v>0.24726062526157172</v>
      </c>
      <c r="M2" s="16">
        <f>I2/L2</f>
        <v>556.90225588619342</v>
      </c>
      <c r="N2" s="16">
        <f>(M2*3*2*3.14)/10000</f>
        <v>1.0492038500895884</v>
      </c>
      <c r="O2" s="16">
        <f>(10.297/6.367)*N2</f>
        <v>1.6968198593328871</v>
      </c>
      <c r="P2" s="16">
        <f>N2*3.14*50/160</f>
        <v>1.0295312779004084</v>
      </c>
      <c r="Q2" s="16">
        <f>(36/(50*3.14))*H2*D2</f>
        <v>31.574522292993631</v>
      </c>
      <c r="R2" s="16">
        <v>8</v>
      </c>
      <c r="S2" s="16">
        <f>((3.14/4)*(2^(1/3)))*0.05</f>
        <v>4.9451901208373783E-2</v>
      </c>
      <c r="T2" s="16">
        <f>((3.14/2)*0.05*0.05*S2)*R2*1000</f>
        <v>1.552789697942937</v>
      </c>
      <c r="U2" s="17">
        <v>0.6</v>
      </c>
      <c r="V2" s="16">
        <f>K2*U2</f>
        <v>252.45</v>
      </c>
      <c r="W2" s="16">
        <f>V2/T2</f>
        <v>162.57835837939544</v>
      </c>
      <c r="X2" s="16">
        <f>1-(W2/(100*3.14))</f>
        <v>0.48223452745415463</v>
      </c>
      <c r="Y2" s="16">
        <f>120*50/(2*2)</f>
        <v>1500</v>
      </c>
      <c r="Z2" s="16">
        <f>Y2*(1-X2)</f>
        <v>776.64820881876801</v>
      </c>
      <c r="AA2" s="16">
        <f>((((2*3.14*(57/2))*2)+(2*S2))/1000)*1.05</f>
        <v>0.37596184899253765</v>
      </c>
      <c r="AB2" s="16">
        <f>AA2*H2*3*2</f>
        <v>365.43491722074657</v>
      </c>
      <c r="AC2" s="16">
        <f>AB2*E2/1000</f>
        <v>58.469586755319455</v>
      </c>
      <c r="AD2" s="16">
        <f>0.5*((3*H2)^2)/((2*L2*10000000)/(4*3.14*7.22*S2*9))</f>
        <v>0.96385104695399515</v>
      </c>
    </row>
    <row r="3" spans="1:30" s="3" customFormat="1" x14ac:dyDescent="0.3">
      <c r="B3" s="3">
        <v>24</v>
      </c>
      <c r="C3" s="3">
        <v>0.2</v>
      </c>
      <c r="D3" s="3">
        <v>3.5</v>
      </c>
      <c r="E3" s="3">
        <v>88</v>
      </c>
      <c r="F3" s="3">
        <f>D3/C3</f>
        <v>17.5</v>
      </c>
      <c r="G3" s="3">
        <v>0.65</v>
      </c>
      <c r="H3" s="3">
        <f>ROUND(((29.7*G3)/C3),0)</f>
        <v>97</v>
      </c>
      <c r="I3" s="3">
        <f>H3*D3</f>
        <v>339.5</v>
      </c>
      <c r="J3" s="3">
        <v>0.95</v>
      </c>
      <c r="K3" s="3">
        <f>(3*220*D3*J3)</f>
        <v>2194.5</v>
      </c>
      <c r="L3" s="3">
        <f>0.18+(0.006*(K3^0.4))</f>
        <v>0.31022233682806788</v>
      </c>
      <c r="M3" s="3">
        <f>I3/L3</f>
        <v>1094.3763865338892</v>
      </c>
      <c r="N3" s="3">
        <f>(M3*3*2*3.14)/10000</f>
        <v>2.0618051122298473</v>
      </c>
      <c r="O3" s="3">
        <f>(10.297/6.367)*N3</f>
        <v>3.3344443600802163</v>
      </c>
      <c r="P3" s="3">
        <f>N3*3.14*50/160</f>
        <v>2.0231462663755382</v>
      </c>
      <c r="Q3" s="3">
        <f>(36/(50*3.14))*H3*D3</f>
        <v>77.847133757961785</v>
      </c>
      <c r="R3" s="3">
        <f>Q3*N3</f>
        <v>160.50561835460633</v>
      </c>
      <c r="S3" s="3">
        <f>((3.14/4)*(2^(1/3)))*0.05</f>
        <v>4.9451901208373783E-2</v>
      </c>
      <c r="T3" s="3">
        <f>((3.14/2)*0.05*0.05*S3)*R3*1000</f>
        <v>31.153933830374186</v>
      </c>
      <c r="U3" s="3">
        <v>0.85</v>
      </c>
      <c r="V3" s="3">
        <f>K3*U3</f>
        <v>1865.325</v>
      </c>
      <c r="W3" s="3">
        <f>V3/T3</f>
        <v>59.874461124436301</v>
      </c>
      <c r="X3" s="3">
        <f>1-(W3/(100*3.14))</f>
        <v>0.80931700278841945</v>
      </c>
      <c r="Y3" s="3">
        <f>120*50/(2*2)</f>
        <v>1500</v>
      </c>
      <c r="Z3" s="3">
        <f>Y3*(1-X3)</f>
        <v>286.02449581737085</v>
      </c>
      <c r="AA3" s="3">
        <f>((((2*3.14*(57/2))*2)+(2*S3))/1000)*1.05</f>
        <v>0.37596184899253765</v>
      </c>
      <c r="AB3" s="3">
        <f>AA3*H3*3*2</f>
        <v>218.80979611365694</v>
      </c>
      <c r="AC3" s="3">
        <f>AB3*E3/1000</f>
        <v>19.255262058001811</v>
      </c>
      <c r="AD3" s="3">
        <f>0.5*((3*H3)^2)/((2*L3*10000000)/(4*3.14*7.22*S3*9))</f>
        <v>0.27542620684322638</v>
      </c>
    </row>
    <row r="4" spans="1:30" x14ac:dyDescent="0.3">
      <c r="B4" s="2">
        <v>22</v>
      </c>
      <c r="C4" s="3">
        <v>0.33</v>
      </c>
      <c r="D4" s="3">
        <v>5</v>
      </c>
      <c r="E4" s="13">
        <v>52</v>
      </c>
      <c r="F4" s="4">
        <f t="shared" ref="F4:F13" si="0">D4/C4</f>
        <v>15.15151515151515</v>
      </c>
      <c r="G4" s="4">
        <v>0.65</v>
      </c>
      <c r="H4" s="4">
        <f t="shared" ref="H4:H13" si="1">ROUND(((29.7*G4)/C4),0)</f>
        <v>59</v>
      </c>
      <c r="I4" s="4">
        <f t="shared" ref="I4:I13" si="2">H4*D4</f>
        <v>295</v>
      </c>
      <c r="J4" s="4">
        <v>0.95</v>
      </c>
      <c r="K4" s="4">
        <f t="shared" ref="K4:K13" si="3">(3*220*D4*J4)</f>
        <v>3135</v>
      </c>
      <c r="L4" s="4">
        <f t="shared" ref="L4:L14" si="4">0.18+(0.006*(K4^0.4))</f>
        <v>0.33019181599392006</v>
      </c>
      <c r="M4" s="4">
        <f t="shared" ref="M4:M13" si="5">I4/L4</f>
        <v>893.42008405632907</v>
      </c>
      <c r="N4" s="4">
        <f t="shared" ref="N3:N13" si="6">(M4*3*2*3.14)/10000</f>
        <v>1.6832034383621242</v>
      </c>
      <c r="O4" s="4">
        <f t="shared" ref="O4:O13" si="7">(10.297/6.367)*N4</f>
        <v>2.7221526315085272</v>
      </c>
      <c r="P4" s="4">
        <f t="shared" ref="P4:P13" si="8">N4*3.14*50/160</f>
        <v>1.6516433738928342</v>
      </c>
      <c r="Q4" s="4">
        <f t="shared" ref="Q4:Q13" si="9">(36/(50*3.14))*H4*D4</f>
        <v>67.643312101910823</v>
      </c>
      <c r="R4" s="4">
        <f t="shared" ref="R4:R13" si="10">Q4*N4</f>
        <v>113.85745551213859</v>
      </c>
      <c r="S4" s="4">
        <f t="shared" ref="S3:S13" si="11">((3.14/4)*(2^(1/3)))*0.05</f>
        <v>4.9451901208373783E-2</v>
      </c>
      <c r="T4" s="4">
        <f t="shared" ref="T4:T13" si="12">((3.14/2)*0.05*0.05*0.0495)*R4*1000</f>
        <v>22.121080387814629</v>
      </c>
      <c r="U4" s="10">
        <v>0.85</v>
      </c>
      <c r="V4" s="4">
        <f t="shared" ref="V4:V13" si="13">K4*U4</f>
        <v>2664.75</v>
      </c>
      <c r="W4" s="4">
        <f t="shared" ref="W4:W13" si="14">V4/T4</f>
        <v>120.46201872978475</v>
      </c>
      <c r="X4" s="4">
        <f t="shared" ref="X4:X13" si="15">1-(W4/(100*3.14))</f>
        <v>0.61636299767584468</v>
      </c>
      <c r="Y4" s="4">
        <f t="shared" ref="Y3:Y13" si="16">120*50/(2*2)</f>
        <v>1500</v>
      </c>
      <c r="Z4" s="4">
        <f t="shared" ref="Z4:Z13" si="17">Y4*(1-X4)</f>
        <v>575.45550348623294</v>
      </c>
      <c r="AA4" s="4">
        <f t="shared" ref="AA4:AA13" si="18">((((2*3.14*(57/2))*2)+(2*S4))/1000)*1.05</f>
        <v>0.37596184899253765</v>
      </c>
      <c r="AB4" s="4">
        <f t="shared" ref="AB4:AB13" si="19">AA4*H4*3*2</f>
        <v>133.09049454335832</v>
      </c>
      <c r="AC4" s="4">
        <f t="shared" ref="AC4:AC13" si="20">AB4*E4/1000</f>
        <v>6.9207057162546324</v>
      </c>
      <c r="AD4" s="4">
        <f t="shared" ref="AD4:AD13" si="21">0.5*((3*H4)^2)/((2*L4*10000000)/(4*3.14*7.22*S4*9))</f>
        <v>9.5735404360682189E-2</v>
      </c>
    </row>
    <row r="5" spans="1:30" x14ac:dyDescent="0.3">
      <c r="B5" s="2">
        <v>20</v>
      </c>
      <c r="C5" s="3">
        <v>0.5</v>
      </c>
      <c r="D5" s="3">
        <v>6</v>
      </c>
      <c r="E5" s="13">
        <v>34</v>
      </c>
      <c r="F5" s="4">
        <f t="shared" si="0"/>
        <v>12</v>
      </c>
      <c r="G5" s="4">
        <v>0.65</v>
      </c>
      <c r="H5" s="4">
        <f t="shared" si="1"/>
        <v>39</v>
      </c>
      <c r="I5" s="4">
        <f t="shared" si="2"/>
        <v>234</v>
      </c>
      <c r="J5" s="4">
        <v>0.95</v>
      </c>
      <c r="K5" s="4">
        <f t="shared" si="3"/>
        <v>3762</v>
      </c>
      <c r="L5" s="4">
        <f t="shared" si="4"/>
        <v>0.3415543911343854</v>
      </c>
      <c r="M5" s="4">
        <f t="shared" si="5"/>
        <v>685.10318143716131</v>
      </c>
      <c r="N5" s="4">
        <f t="shared" si="6"/>
        <v>1.2907343938276119</v>
      </c>
      <c r="O5" s="4">
        <f t="shared" si="7"/>
        <v>2.0874339646996889</v>
      </c>
      <c r="P5" s="4">
        <f t="shared" si="8"/>
        <v>1.2665331239433442</v>
      </c>
      <c r="Q5" s="4">
        <f t="shared" si="9"/>
        <v>53.656050955414017</v>
      </c>
      <c r="R5" s="4">
        <f t="shared" si="10"/>
        <v>69.255710405119771</v>
      </c>
      <c r="S5" s="4">
        <f t="shared" si="11"/>
        <v>4.9451901208373783E-2</v>
      </c>
      <c r="T5" s="4">
        <f t="shared" si="12"/>
        <v>13.455518835334709</v>
      </c>
      <c r="U5" s="10">
        <v>0.85</v>
      </c>
      <c r="V5" s="4">
        <f t="shared" si="13"/>
        <v>3197.7</v>
      </c>
      <c r="W5" s="4">
        <f t="shared" si="14"/>
        <v>237.64969891779398</v>
      </c>
      <c r="X5" s="4">
        <f t="shared" si="15"/>
        <v>0.24315382510256689</v>
      </c>
      <c r="Y5" s="4">
        <f t="shared" si="16"/>
        <v>1500</v>
      </c>
      <c r="Z5" s="4">
        <f t="shared" si="17"/>
        <v>1135.2692623461496</v>
      </c>
      <c r="AA5" s="4">
        <f t="shared" si="18"/>
        <v>0.37596184899253765</v>
      </c>
      <c r="AB5" s="4">
        <f t="shared" si="19"/>
        <v>87.975072664253815</v>
      </c>
      <c r="AC5" s="4">
        <f t="shared" si="20"/>
        <v>2.9911524705846295</v>
      </c>
      <c r="AD5" s="4">
        <f t="shared" si="21"/>
        <v>4.0439352983671857E-2</v>
      </c>
    </row>
    <row r="6" spans="1:30" x14ac:dyDescent="0.3">
      <c r="B6" s="2">
        <v>18</v>
      </c>
      <c r="C6" s="3">
        <v>0.82</v>
      </c>
      <c r="D6" s="3">
        <v>9.5</v>
      </c>
      <c r="E6" s="13">
        <v>22</v>
      </c>
      <c r="F6" s="4">
        <f t="shared" si="0"/>
        <v>11.585365853658537</v>
      </c>
      <c r="G6" s="4">
        <v>0.65</v>
      </c>
      <c r="H6" s="4">
        <f t="shared" si="1"/>
        <v>24</v>
      </c>
      <c r="I6" s="4">
        <f t="shared" si="2"/>
        <v>228</v>
      </c>
      <c r="J6" s="4">
        <v>0.95</v>
      </c>
      <c r="K6" s="4">
        <f t="shared" si="3"/>
        <v>5956.5</v>
      </c>
      <c r="L6" s="4">
        <f t="shared" si="4"/>
        <v>0.37415461087381519</v>
      </c>
      <c r="M6" s="4">
        <f t="shared" si="5"/>
        <v>609.3737545222815</v>
      </c>
      <c r="N6" s="4">
        <f t="shared" si="6"/>
        <v>1.1480601535199784</v>
      </c>
      <c r="O6" s="4">
        <f t="shared" si="7"/>
        <v>1.8566947386202635</v>
      </c>
      <c r="P6" s="4">
        <f t="shared" si="8"/>
        <v>1.1265340256414789</v>
      </c>
      <c r="Q6" s="4">
        <f t="shared" si="9"/>
        <v>52.28025477707007</v>
      </c>
      <c r="R6" s="4">
        <f t="shared" si="10"/>
        <v>60.020877325426646</v>
      </c>
      <c r="S6" s="4">
        <f t="shared" si="11"/>
        <v>4.9451901208373783E-2</v>
      </c>
      <c r="T6" s="4">
        <f t="shared" si="12"/>
        <v>11.66130620336383</v>
      </c>
      <c r="U6" s="10">
        <v>0.85</v>
      </c>
      <c r="V6" s="4">
        <f t="shared" si="13"/>
        <v>5063.0249999999996</v>
      </c>
      <c r="W6" s="4">
        <f t="shared" si="14"/>
        <v>434.17306017910028</v>
      </c>
      <c r="X6" s="4">
        <f t="shared" si="15"/>
        <v>-0.3827167521627397</v>
      </c>
      <c r="Y6" s="4">
        <f t="shared" si="16"/>
        <v>1500</v>
      </c>
      <c r="Z6" s="4">
        <f t="shared" si="17"/>
        <v>2074.0751282441097</v>
      </c>
      <c r="AA6" s="4">
        <f t="shared" si="18"/>
        <v>0.37596184899253765</v>
      </c>
      <c r="AB6" s="4">
        <f t="shared" si="19"/>
        <v>54.138506254925424</v>
      </c>
      <c r="AC6" s="4">
        <f t="shared" si="20"/>
        <v>1.1910471376083593</v>
      </c>
      <c r="AD6" s="4">
        <f t="shared" si="21"/>
        <v>1.3979969995862894E-2</v>
      </c>
    </row>
    <row r="7" spans="1:30" x14ac:dyDescent="0.3">
      <c r="B7" s="2">
        <v>16</v>
      </c>
      <c r="C7" s="3">
        <v>1.3</v>
      </c>
      <c r="D7" s="3">
        <v>15</v>
      </c>
      <c r="E7" s="13">
        <v>13</v>
      </c>
      <c r="F7" s="4">
        <f t="shared" si="0"/>
        <v>11.538461538461538</v>
      </c>
      <c r="G7" s="4">
        <v>0.65</v>
      </c>
      <c r="H7" s="4">
        <f t="shared" si="1"/>
        <v>15</v>
      </c>
      <c r="I7" s="4">
        <f t="shared" si="2"/>
        <v>225</v>
      </c>
      <c r="J7" s="4">
        <v>0.95</v>
      </c>
      <c r="K7" s="4">
        <f t="shared" si="3"/>
        <v>9405</v>
      </c>
      <c r="L7" s="4">
        <f t="shared" si="4"/>
        <v>0.41307450488847491</v>
      </c>
      <c r="M7" s="4">
        <f t="shared" si="5"/>
        <v>544.69592612777512</v>
      </c>
      <c r="N7" s="4">
        <f t="shared" si="6"/>
        <v>1.0262071248247282</v>
      </c>
      <c r="O7" s="4">
        <f t="shared" si="7"/>
        <v>1.659628516463048</v>
      </c>
      <c r="P7" s="4">
        <f t="shared" si="8"/>
        <v>1.0069657412342647</v>
      </c>
      <c r="Q7" s="4">
        <f t="shared" si="9"/>
        <v>51.592356687898089</v>
      </c>
      <c r="R7" s="4">
        <f t="shared" si="10"/>
        <v>52.944444019619738</v>
      </c>
      <c r="S7" s="4">
        <f t="shared" si="11"/>
        <v>4.9451901208373783E-2</v>
      </c>
      <c r="T7" s="4">
        <f t="shared" si="12"/>
        <v>10.286443667461871</v>
      </c>
      <c r="U7" s="10">
        <v>0.85</v>
      </c>
      <c r="V7" s="4">
        <f t="shared" si="13"/>
        <v>7994.25</v>
      </c>
      <c r="W7" s="4">
        <f t="shared" si="14"/>
        <v>777.16363968311521</v>
      </c>
      <c r="X7" s="4">
        <f t="shared" si="15"/>
        <v>-1.4750434384812587</v>
      </c>
      <c r="Y7" s="4">
        <f t="shared" si="16"/>
        <v>1500</v>
      </c>
      <c r="Z7" s="4">
        <f t="shared" si="17"/>
        <v>3712.5651577218882</v>
      </c>
      <c r="AA7" s="4">
        <f t="shared" si="18"/>
        <v>0.37596184899253765</v>
      </c>
      <c r="AB7" s="4">
        <f t="shared" si="19"/>
        <v>33.836566409328384</v>
      </c>
      <c r="AC7" s="4">
        <f t="shared" si="20"/>
        <v>0.43987536332126898</v>
      </c>
      <c r="AD7" s="4">
        <f t="shared" si="21"/>
        <v>4.9463971654250876E-3</v>
      </c>
    </row>
    <row r="8" spans="1:30" x14ac:dyDescent="0.3">
      <c r="B8" s="2">
        <v>14</v>
      </c>
      <c r="C8" s="3">
        <v>2.1</v>
      </c>
      <c r="D8" s="3">
        <v>24</v>
      </c>
      <c r="E8" s="13">
        <v>8.5</v>
      </c>
      <c r="F8" s="4">
        <f t="shared" si="0"/>
        <v>11.428571428571429</v>
      </c>
      <c r="G8" s="4">
        <v>0.65</v>
      </c>
      <c r="H8" s="4">
        <f t="shared" si="1"/>
        <v>9</v>
      </c>
      <c r="I8" s="4">
        <f t="shared" si="2"/>
        <v>216</v>
      </c>
      <c r="J8" s="4">
        <v>0.95</v>
      </c>
      <c r="K8" s="4">
        <f t="shared" si="3"/>
        <v>15048</v>
      </c>
      <c r="L8" s="4">
        <f t="shared" si="4"/>
        <v>0.46128253241000317</v>
      </c>
      <c r="M8" s="4">
        <f t="shared" si="5"/>
        <v>468.25965611897931</v>
      </c>
      <c r="N8" s="4">
        <f t="shared" si="6"/>
        <v>0.88220119212815695</v>
      </c>
      <c r="O8" s="4">
        <f t="shared" si="7"/>
        <v>1.4267356172991412</v>
      </c>
      <c r="P8" s="4">
        <f t="shared" si="8"/>
        <v>0.86565991977575396</v>
      </c>
      <c r="Q8" s="4">
        <f t="shared" si="9"/>
        <v>49.528662420382162</v>
      </c>
      <c r="R8" s="4">
        <f t="shared" si="10"/>
        <v>43.694245031774187</v>
      </c>
      <c r="S8" s="4">
        <f t="shared" si="11"/>
        <v>4.9451901208373783E-2</v>
      </c>
      <c r="T8" s="4">
        <f t="shared" si="12"/>
        <v>8.4892456316108298</v>
      </c>
      <c r="U8" s="10">
        <v>0.85</v>
      </c>
      <c r="V8" s="4">
        <f t="shared" si="13"/>
        <v>12790.8</v>
      </c>
      <c r="W8" s="4">
        <f t="shared" si="14"/>
        <v>1506.7063146779217</v>
      </c>
      <c r="X8" s="4">
        <f t="shared" si="15"/>
        <v>-3.7984277537513433</v>
      </c>
      <c r="Y8" s="4">
        <f t="shared" si="16"/>
        <v>1500</v>
      </c>
      <c r="Z8" s="4">
        <f t="shared" si="17"/>
        <v>7197.6416306270148</v>
      </c>
      <c r="AA8" s="4">
        <f t="shared" si="18"/>
        <v>0.37596184899253765</v>
      </c>
      <c r="AB8" s="4">
        <f t="shared" si="19"/>
        <v>20.301939845597033</v>
      </c>
      <c r="AC8" s="4">
        <f t="shared" si="20"/>
        <v>0.17256648868757477</v>
      </c>
      <c r="AD8" s="4">
        <f t="shared" si="21"/>
        <v>1.5946040657323392E-3</v>
      </c>
    </row>
    <row r="9" spans="1:30" x14ac:dyDescent="0.3">
      <c r="B9" s="2">
        <v>12</v>
      </c>
      <c r="C9" s="3">
        <v>3.3</v>
      </c>
      <c r="D9" s="3">
        <v>34</v>
      </c>
      <c r="E9" s="13">
        <v>6.8</v>
      </c>
      <c r="F9" s="4">
        <f t="shared" si="0"/>
        <v>10.303030303030303</v>
      </c>
      <c r="G9" s="4">
        <v>0.65</v>
      </c>
      <c r="H9" s="4">
        <f t="shared" si="1"/>
        <v>6</v>
      </c>
      <c r="I9" s="4">
        <f t="shared" si="2"/>
        <v>204</v>
      </c>
      <c r="J9" s="4">
        <v>0.95</v>
      </c>
      <c r="K9" s="4">
        <f t="shared" si="3"/>
        <v>21318</v>
      </c>
      <c r="L9" s="4">
        <f t="shared" si="4"/>
        <v>0.50333285237483039</v>
      </c>
      <c r="M9" s="4">
        <f t="shared" si="5"/>
        <v>405.29840052658005</v>
      </c>
      <c r="N9" s="4">
        <f t="shared" si="6"/>
        <v>0.76358218659207688</v>
      </c>
      <c r="O9" s="4">
        <f t="shared" si="7"/>
        <v>1.2348996034770874</v>
      </c>
      <c r="P9" s="4">
        <f t="shared" si="8"/>
        <v>0.74926502059347544</v>
      </c>
      <c r="Q9" s="4">
        <f t="shared" si="9"/>
        <v>46.777070063694275</v>
      </c>
      <c r="R9" s="4">
        <f t="shared" si="10"/>
        <v>35.718137441606459</v>
      </c>
      <c r="S9" s="4">
        <f t="shared" si="11"/>
        <v>4.9451901208373783E-2</v>
      </c>
      <c r="T9" s="4">
        <f t="shared" si="12"/>
        <v>6.939587628186116</v>
      </c>
      <c r="U9" s="10">
        <v>0.85</v>
      </c>
      <c r="V9" s="4">
        <f t="shared" si="13"/>
        <v>18120.3</v>
      </c>
      <c r="W9" s="4">
        <f t="shared" si="14"/>
        <v>2611.149389684459</v>
      </c>
      <c r="X9" s="4">
        <f t="shared" si="15"/>
        <v>-7.3157623875301248</v>
      </c>
      <c r="Y9" s="4">
        <f t="shared" si="16"/>
        <v>1500</v>
      </c>
      <c r="Z9" s="4">
        <f t="shared" si="17"/>
        <v>12473.643581295188</v>
      </c>
      <c r="AA9" s="4">
        <f t="shared" si="18"/>
        <v>0.37596184899253765</v>
      </c>
      <c r="AB9" s="4">
        <f t="shared" si="19"/>
        <v>13.534626563731356</v>
      </c>
      <c r="AC9" s="4">
        <f t="shared" si="20"/>
        <v>9.2035460633373214E-2</v>
      </c>
      <c r="AD9" s="4">
        <f t="shared" si="21"/>
        <v>6.4950437483246538E-4</v>
      </c>
    </row>
    <row r="10" spans="1:30" x14ac:dyDescent="0.3">
      <c r="B10" s="2">
        <v>10</v>
      </c>
      <c r="C10" s="3">
        <v>5.3</v>
      </c>
      <c r="D10" s="3">
        <v>52</v>
      </c>
      <c r="E10" s="13">
        <v>5.4</v>
      </c>
      <c r="F10" s="4">
        <f t="shared" si="0"/>
        <v>9.8113207547169807</v>
      </c>
      <c r="G10" s="4">
        <v>0.65</v>
      </c>
      <c r="H10" s="4">
        <f t="shared" si="1"/>
        <v>4</v>
      </c>
      <c r="I10" s="4">
        <f t="shared" si="2"/>
        <v>208</v>
      </c>
      <c r="J10" s="4">
        <v>0.95</v>
      </c>
      <c r="K10" s="4">
        <f t="shared" si="3"/>
        <v>32604</v>
      </c>
      <c r="L10" s="4">
        <f t="shared" si="4"/>
        <v>0.5632300926578333</v>
      </c>
      <c r="M10" s="4">
        <f t="shared" si="5"/>
        <v>369.29844962378746</v>
      </c>
      <c r="N10" s="4">
        <f t="shared" si="6"/>
        <v>0.69575827909121557</v>
      </c>
      <c r="O10" s="4">
        <f t="shared" si="7"/>
        <v>1.12521171663299</v>
      </c>
      <c r="P10" s="4">
        <f t="shared" si="8"/>
        <v>0.68271281135825534</v>
      </c>
      <c r="Q10" s="4">
        <f t="shared" si="9"/>
        <v>47.69426751592357</v>
      </c>
      <c r="R10" s="4">
        <f t="shared" si="10"/>
        <v>33.183681489395049</v>
      </c>
      <c r="S10" s="4">
        <f t="shared" si="11"/>
        <v>4.9451901208373783E-2</v>
      </c>
      <c r="T10" s="4">
        <f t="shared" si="12"/>
        <v>6.4471745173708417</v>
      </c>
      <c r="U10" s="10">
        <v>0.85</v>
      </c>
      <c r="V10" s="4">
        <f t="shared" si="13"/>
        <v>27713.399999999998</v>
      </c>
      <c r="W10" s="4">
        <f t="shared" si="14"/>
        <v>4298.5341757588294</v>
      </c>
      <c r="X10" s="4">
        <f t="shared" si="15"/>
        <v>-12.689599285856145</v>
      </c>
      <c r="Y10" s="4">
        <f t="shared" si="16"/>
        <v>1500</v>
      </c>
      <c r="Z10" s="4">
        <f t="shared" si="17"/>
        <v>20534.39892878422</v>
      </c>
      <c r="AA10" s="4">
        <f t="shared" si="18"/>
        <v>0.37596184899253765</v>
      </c>
      <c r="AB10" s="4">
        <f t="shared" si="19"/>
        <v>9.0230843758209041</v>
      </c>
      <c r="AC10" s="4">
        <f t="shared" si="20"/>
        <v>4.8724655629432886E-2</v>
      </c>
      <c r="AD10" s="4">
        <f t="shared" si="21"/>
        <v>2.5796987284276165E-4</v>
      </c>
    </row>
    <row r="11" spans="1:30" x14ac:dyDescent="0.3">
      <c r="B11" s="2">
        <v>8</v>
      </c>
      <c r="C11" s="3">
        <v>8.3000000000000007</v>
      </c>
      <c r="D11" s="3">
        <v>75</v>
      </c>
      <c r="E11" s="13">
        <v>3.4</v>
      </c>
      <c r="F11" s="4">
        <f t="shared" si="0"/>
        <v>9.0361445783132517</v>
      </c>
      <c r="G11" s="4">
        <v>0.65</v>
      </c>
      <c r="H11" s="4">
        <f t="shared" si="1"/>
        <v>2</v>
      </c>
      <c r="I11" s="4">
        <f t="shared" si="2"/>
        <v>150</v>
      </c>
      <c r="J11" s="4">
        <v>0.95</v>
      </c>
      <c r="K11" s="4">
        <f t="shared" si="3"/>
        <v>47025</v>
      </c>
      <c r="L11" s="4">
        <f t="shared" si="4"/>
        <v>0.62369319924519884</v>
      </c>
      <c r="M11" s="4">
        <f t="shared" si="5"/>
        <v>240.50286291646572</v>
      </c>
      <c r="N11" s="4">
        <f t="shared" si="6"/>
        <v>0.4531073937346215</v>
      </c>
      <c r="O11" s="4">
        <f t="shared" si="7"/>
        <v>0.7327857441943455</v>
      </c>
      <c r="P11" s="4">
        <f t="shared" si="8"/>
        <v>0.44461163010209737</v>
      </c>
      <c r="Q11" s="4">
        <f t="shared" si="9"/>
        <v>34.394904458598724</v>
      </c>
      <c r="R11" s="4">
        <f t="shared" si="10"/>
        <v>15.58458551698698</v>
      </c>
      <c r="S11" s="4">
        <f t="shared" si="11"/>
        <v>4.9451901208373783E-2</v>
      </c>
      <c r="T11" s="4">
        <f t="shared" si="12"/>
        <v>3.0278901586316085</v>
      </c>
      <c r="U11" s="10">
        <v>0.85</v>
      </c>
      <c r="V11" s="4">
        <f t="shared" si="13"/>
        <v>39971.25</v>
      </c>
      <c r="W11" s="4">
        <f t="shared" si="14"/>
        <v>13201.023784186467</v>
      </c>
      <c r="X11" s="4">
        <f t="shared" si="15"/>
        <v>-41.041477019702128</v>
      </c>
      <c r="Y11" s="4">
        <f t="shared" si="16"/>
        <v>1500</v>
      </c>
      <c r="Z11" s="4">
        <f t="shared" si="17"/>
        <v>63062.215529553192</v>
      </c>
      <c r="AA11" s="4">
        <f t="shared" si="18"/>
        <v>0.37596184899253765</v>
      </c>
      <c r="AB11" s="4">
        <f t="shared" si="19"/>
        <v>4.511542187910452</v>
      </c>
      <c r="AC11" s="4">
        <f t="shared" si="20"/>
        <v>1.5339243438895537E-2</v>
      </c>
      <c r="AD11" s="4">
        <f t="shared" si="21"/>
        <v>5.8240331768887975E-5</v>
      </c>
    </row>
    <row r="12" spans="1:30" x14ac:dyDescent="0.3">
      <c r="B12" s="2">
        <v>6</v>
      </c>
      <c r="C12" s="3">
        <v>13.3</v>
      </c>
      <c r="D12" s="3">
        <v>95</v>
      </c>
      <c r="E12" s="13">
        <v>2.2000000000000002</v>
      </c>
      <c r="F12" s="4">
        <f t="shared" si="0"/>
        <v>7.1428571428571423</v>
      </c>
      <c r="G12" s="4">
        <v>0.65</v>
      </c>
      <c r="H12" s="4">
        <f t="shared" si="1"/>
        <v>1</v>
      </c>
      <c r="I12" s="4">
        <f t="shared" si="2"/>
        <v>95</v>
      </c>
      <c r="J12" s="4">
        <v>0.95</v>
      </c>
      <c r="K12" s="4">
        <f t="shared" si="3"/>
        <v>59565</v>
      </c>
      <c r="L12" s="4">
        <f t="shared" si="4"/>
        <v>0.66769433266895872</v>
      </c>
      <c r="M12" s="4">
        <f t="shared" si="5"/>
        <v>142.28067448207739</v>
      </c>
      <c r="N12" s="4">
        <f t="shared" si="6"/>
        <v>0.26805679072423377</v>
      </c>
      <c r="O12" s="4">
        <f t="shared" si="7"/>
        <v>0.43351355019435139</v>
      </c>
      <c r="P12" s="4">
        <f t="shared" si="8"/>
        <v>0.2630307258981544</v>
      </c>
      <c r="Q12" s="4">
        <f t="shared" si="9"/>
        <v>21.783439490445861</v>
      </c>
      <c r="R12" s="4">
        <f t="shared" si="10"/>
        <v>5.8391988807444557</v>
      </c>
      <c r="S12" s="4">
        <f t="shared" si="11"/>
        <v>4.9451901208373783E-2</v>
      </c>
      <c r="T12" s="4">
        <f t="shared" si="12"/>
        <v>1.1344833525426388</v>
      </c>
      <c r="U12" s="10">
        <v>0.85</v>
      </c>
      <c r="V12" s="4">
        <f t="shared" si="13"/>
        <v>50630.25</v>
      </c>
      <c r="W12" s="4">
        <f t="shared" si="14"/>
        <v>44628.464478148519</v>
      </c>
      <c r="X12" s="4">
        <f t="shared" si="15"/>
        <v>-141.1288677648042</v>
      </c>
      <c r="Y12" s="4">
        <f t="shared" si="16"/>
        <v>1500</v>
      </c>
      <c r="Z12" s="4">
        <f t="shared" si="17"/>
        <v>213193.3016472063</v>
      </c>
      <c r="AA12" s="4">
        <f t="shared" si="18"/>
        <v>0.37596184899253765</v>
      </c>
      <c r="AB12" s="4">
        <f t="shared" si="19"/>
        <v>2.255771093955226</v>
      </c>
      <c r="AC12" s="4">
        <f t="shared" si="20"/>
        <v>4.9626964067014979E-3</v>
      </c>
      <c r="AD12" s="4">
        <f t="shared" si="21"/>
        <v>1.3600571799389877E-5</v>
      </c>
    </row>
    <row r="13" spans="1:30" x14ac:dyDescent="0.3">
      <c r="B13" s="2">
        <v>4</v>
      </c>
      <c r="C13" s="3">
        <v>21.2</v>
      </c>
      <c r="D13" s="3">
        <v>120</v>
      </c>
      <c r="E13" s="13">
        <v>1.5</v>
      </c>
      <c r="F13" s="4">
        <f t="shared" si="0"/>
        <v>5.6603773584905666</v>
      </c>
      <c r="G13" s="4">
        <v>0.65</v>
      </c>
      <c r="H13" s="4">
        <f t="shared" si="1"/>
        <v>1</v>
      </c>
      <c r="I13" s="4">
        <f t="shared" si="2"/>
        <v>120</v>
      </c>
      <c r="J13" s="4">
        <v>0.95</v>
      </c>
      <c r="K13" s="4">
        <f t="shared" si="3"/>
        <v>75240</v>
      </c>
      <c r="L13" s="4">
        <f t="shared" si="4"/>
        <v>0.71546460071427909</v>
      </c>
      <c r="M13" s="4">
        <f t="shared" si="5"/>
        <v>167.72318278248684</v>
      </c>
      <c r="N13" s="4">
        <f t="shared" si="6"/>
        <v>0.31599047636220523</v>
      </c>
      <c r="O13" s="4">
        <f t="shared" si="7"/>
        <v>0.51103407179230831</v>
      </c>
      <c r="P13" s="4">
        <f t="shared" si="8"/>
        <v>0.31006565493041388</v>
      </c>
      <c r="Q13" s="4">
        <f t="shared" si="9"/>
        <v>27.515923566878982</v>
      </c>
      <c r="R13" s="4">
        <f t="shared" si="10"/>
        <v>8.6947697954441185</v>
      </c>
      <c r="S13" s="4">
        <f t="shared" si="11"/>
        <v>4.9451901208373783E-2</v>
      </c>
      <c r="T13" s="4">
        <f t="shared" si="12"/>
        <v>1.6892850866323494</v>
      </c>
      <c r="U13" s="10">
        <v>0.85</v>
      </c>
      <c r="V13" s="4">
        <f t="shared" si="13"/>
        <v>63954</v>
      </c>
      <c r="W13" s="4">
        <f t="shared" si="14"/>
        <v>37858.618717515943</v>
      </c>
      <c r="X13" s="4">
        <f t="shared" si="15"/>
        <v>-119.56884941884059</v>
      </c>
      <c r="Y13" s="4">
        <f t="shared" si="16"/>
        <v>1500</v>
      </c>
      <c r="Z13" s="4">
        <f t="shared" si="17"/>
        <v>180853.27412826088</v>
      </c>
      <c r="AA13" s="4">
        <f t="shared" si="18"/>
        <v>0.37596184899253765</v>
      </c>
      <c r="AB13" s="4">
        <f t="shared" si="19"/>
        <v>2.255771093955226</v>
      </c>
      <c r="AC13" s="4">
        <f t="shared" si="20"/>
        <v>3.383656640932839E-3</v>
      </c>
      <c r="AD13" s="4">
        <f t="shared" si="21"/>
        <v>1.2692486396173766E-5</v>
      </c>
    </row>
    <row r="14" spans="1:30" x14ac:dyDescent="0.3">
      <c r="K14" s="4">
        <v>700</v>
      </c>
      <c r="L14" s="4">
        <f t="shared" si="4"/>
        <v>0.26244996324708042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9"/>
  <sheetViews>
    <sheetView workbookViewId="0">
      <selection activeCell="F2" sqref="F2:F5"/>
    </sheetView>
  </sheetViews>
  <sheetFormatPr defaultRowHeight="14.4" x14ac:dyDescent="0.3"/>
  <cols>
    <col min="1" max="1" width="11.44140625" style="10" customWidth="1"/>
    <col min="2" max="2" width="8.88671875" style="10"/>
    <col min="3" max="3" width="12.77734375" style="10" customWidth="1"/>
    <col min="4" max="16384" width="8.88671875" style="10"/>
  </cols>
  <sheetData>
    <row r="1" spans="1:23" s="18" customFormat="1" ht="28.8" x14ac:dyDescent="0.3">
      <c r="A1" s="18" t="s">
        <v>37</v>
      </c>
      <c r="B1" s="18" t="s">
        <v>36</v>
      </c>
      <c r="C1" s="18" t="s">
        <v>40</v>
      </c>
      <c r="D1" s="18" t="s">
        <v>38</v>
      </c>
      <c r="E1" s="18" t="s">
        <v>39</v>
      </c>
      <c r="F1" s="18" t="s">
        <v>41</v>
      </c>
    </row>
    <row r="2" spans="1:23" x14ac:dyDescent="0.3">
      <c r="A2" s="19">
        <v>1</v>
      </c>
      <c r="B2" s="19">
        <v>1</v>
      </c>
      <c r="C2" s="19">
        <f>2*3.14/(36/2)</f>
        <v>0.34888888888888892</v>
      </c>
      <c r="D2" s="19">
        <v>3</v>
      </c>
      <c r="E2" s="19">
        <f>((SIN(D2*A2*(C2/2)))/(D2*SIN(A2*(C2/2))))</f>
        <v>0.9598354203154561</v>
      </c>
      <c r="F2" s="19">
        <f>B2*E2</f>
        <v>0.9598354203154561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3">
      <c r="A3" s="19">
        <v>3</v>
      </c>
      <c r="B3" s="19">
        <v>1</v>
      </c>
      <c r="C3" s="19">
        <f t="shared" ref="C3:C4" si="0">2*3.14/(36/2)</f>
        <v>0.34888888888888892</v>
      </c>
      <c r="D3" s="19">
        <v>3</v>
      </c>
      <c r="E3" s="19">
        <f t="shared" ref="E3:E4" si="1">((SIN(D3*A3*(C3/2)))/(D3*SIN(A3*(C3/2))))</f>
        <v>0.66697312600547043</v>
      </c>
      <c r="F3" s="19">
        <f t="shared" ref="F3:F5" si="2">B3*E3</f>
        <v>0.66697312600547043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x14ac:dyDescent="0.3">
      <c r="A4" s="19">
        <v>5</v>
      </c>
      <c r="B4" s="19">
        <v>1</v>
      </c>
      <c r="C4" s="19">
        <f t="shared" si="0"/>
        <v>0.34888888888888892</v>
      </c>
      <c r="D4" s="19">
        <v>3</v>
      </c>
      <c r="E4" s="19">
        <f t="shared" si="1"/>
        <v>0.21814883701842941</v>
      </c>
      <c r="F4" s="19">
        <f t="shared" si="2"/>
        <v>0.21814883701842941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x14ac:dyDescent="0.3">
      <c r="A5" s="19">
        <v>7</v>
      </c>
      <c r="B5" s="19">
        <v>1</v>
      </c>
      <c r="C5" s="19">
        <f>2*3.14/(36/2)</f>
        <v>0.34888888888888892</v>
      </c>
      <c r="D5" s="19">
        <v>3</v>
      </c>
      <c r="E5" s="19">
        <f>((SIN(D5*A5*(C5/2)))/(D5*SIN(A5*(C5/2))))</f>
        <v>-0.17683174328726228</v>
      </c>
      <c r="F5" s="19">
        <f t="shared" si="2"/>
        <v>-0.17683174328726228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 spans="1:23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 spans="1:23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 spans="1:23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1:23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 spans="1:23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 spans="1:23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 spans="1:23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 spans="1:23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 spans="1:23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 spans="1:23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 spans="1:23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 spans="1:23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 spans="1:23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 spans="1:23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 spans="1:23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 spans="1:23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 spans="1:23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 spans="1:23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 spans="1:23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 spans="1:23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 spans="1:23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 spans="1:23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1:23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1:23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1:23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1:23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1:23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1:23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 spans="1:23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 spans="1:23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 spans="1:23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 spans="1:23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 spans="1:23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 spans="1:23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 spans="1:23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 spans="1:23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1:23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1:23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 spans="1:23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 spans="1:23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 spans="1:23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 spans="1:23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 spans="1:23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1:23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 spans="1:23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1:23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 spans="1:23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 spans="1:23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 spans="1:23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1:23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 spans="1:23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1:23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 spans="1:23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1:23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 spans="1:23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1:23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 spans="1:23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1:23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 spans="1:23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1:23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 spans="1:23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1:23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 spans="1:23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1:23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>
      <selection activeCell="D5" sqref="B5:D5"/>
    </sheetView>
  </sheetViews>
  <sheetFormatPr defaultColWidth="9.109375" defaultRowHeight="14.4" x14ac:dyDescent="0.3"/>
  <cols>
    <col min="1" max="4" width="9.109375" style="10"/>
    <col min="5" max="5" width="34.88671875" style="10" bestFit="1" customWidth="1"/>
    <col min="6" max="6" width="8.5546875" style="10" customWidth="1"/>
    <col min="7" max="7" width="7" style="10" bestFit="1" customWidth="1"/>
    <col min="8" max="8" width="7" style="10" customWidth="1"/>
    <col min="9" max="16384" width="9.109375" style="10"/>
  </cols>
  <sheetData>
    <row r="1" spans="1:42" s="1" customFormat="1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1</v>
      </c>
      <c r="F1" s="1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10">
        <f>0.85*(SQRT(2))</f>
        <v>1.2020815280171309</v>
      </c>
      <c r="B2" s="10">
        <f>1*A2</f>
        <v>1.2020815280171309</v>
      </c>
      <c r="C2" s="10">
        <f>(-0.5)*A2</f>
        <v>-0.60104076400856543</v>
      </c>
      <c r="D2" s="10">
        <f>(-0.5)*A2</f>
        <v>-0.60104076400856543</v>
      </c>
      <c r="E2" s="10">
        <v>97</v>
      </c>
      <c r="G2" s="10">
        <f>B2*E2</f>
        <v>116.60190821766169</v>
      </c>
      <c r="I2" s="10">
        <f>B2*E2</f>
        <v>116.60190821766169</v>
      </c>
      <c r="K2" s="10">
        <f>B2*E2</f>
        <v>116.60190821766169</v>
      </c>
      <c r="M2" s="10">
        <f>(-E2)*D2</f>
        <v>58.300954108830844</v>
      </c>
      <c r="O2" s="10">
        <f>(-E2)*D2</f>
        <v>58.300954108830844</v>
      </c>
      <c r="Q2" s="10">
        <f>(-E2)*D2</f>
        <v>58.300954108830844</v>
      </c>
      <c r="S2" s="10">
        <f>C2*E2</f>
        <v>-58.300954108830844</v>
      </c>
      <c r="U2" s="10">
        <f>C2*E2</f>
        <v>-58.300954108830844</v>
      </c>
      <c r="W2" s="10">
        <f>C2*E2</f>
        <v>-58.300954108830844</v>
      </c>
      <c r="Y2" s="10">
        <f>(-E2)*B2</f>
        <v>-116.60190821766169</v>
      </c>
      <c r="AA2" s="10">
        <f>(-E2)*B2</f>
        <v>-116.60190821766169</v>
      </c>
      <c r="AC2" s="10">
        <f>(-E2)*B2</f>
        <v>-116.60190821766169</v>
      </c>
      <c r="AE2" s="10">
        <f>D2*E2</f>
        <v>-58.300954108830844</v>
      </c>
      <c r="AG2" s="10">
        <f>D2*E2</f>
        <v>-58.300954108830844</v>
      </c>
      <c r="AI2" s="10">
        <f>D2*E2</f>
        <v>-58.300954108830844</v>
      </c>
      <c r="AK2" s="10">
        <f>(-E2)*C2</f>
        <v>58.300954108830844</v>
      </c>
      <c r="AM2" s="10">
        <f>(-E2)*C2</f>
        <v>58.300954108830844</v>
      </c>
      <c r="AO2" s="10">
        <f>(-E2)*C2</f>
        <v>58.300954108830844</v>
      </c>
    </row>
    <row r="3" spans="1:42" x14ac:dyDescent="0.3">
      <c r="E3" s="10" t="s">
        <v>31</v>
      </c>
      <c r="F3" s="10">
        <f>AO3+G2</f>
        <v>-58.300954108830851</v>
      </c>
      <c r="G3" s="10">
        <f>AO3+G2</f>
        <v>-58.300954108830851</v>
      </c>
      <c r="H3" s="10">
        <f>I2/2</f>
        <v>58.300954108830844</v>
      </c>
      <c r="I3" s="10">
        <f>I2/2</f>
        <v>58.300954108830844</v>
      </c>
      <c r="J3" s="10">
        <f>I3+K2</f>
        <v>174.90286232649254</v>
      </c>
      <c r="K3" s="10">
        <f>I3+K2</f>
        <v>174.90286232649254</v>
      </c>
      <c r="L3" s="10">
        <f>K3+M2</f>
        <v>233.20381643532338</v>
      </c>
      <c r="M3" s="10">
        <f>K3+M2</f>
        <v>233.20381643532338</v>
      </c>
      <c r="N3" s="10">
        <f>M3+O2</f>
        <v>291.50477054415421</v>
      </c>
      <c r="O3" s="10">
        <f>M3+O2</f>
        <v>291.50477054415421</v>
      </c>
      <c r="P3" s="10">
        <f>O3+Q2</f>
        <v>349.80572465298508</v>
      </c>
      <c r="Q3" s="10">
        <f>O3+Q2</f>
        <v>349.80572465298508</v>
      </c>
      <c r="R3" s="10">
        <f>Q3+S2</f>
        <v>291.50477054415421</v>
      </c>
      <c r="S3" s="10">
        <f>Q3+S2</f>
        <v>291.50477054415421</v>
      </c>
      <c r="T3" s="10">
        <f>S3+U2</f>
        <v>233.20381643532338</v>
      </c>
      <c r="U3" s="10">
        <f>S3+U2</f>
        <v>233.20381643532338</v>
      </c>
      <c r="V3" s="10">
        <f>U3+W2</f>
        <v>174.90286232649254</v>
      </c>
      <c r="W3" s="10">
        <f>U3+W2</f>
        <v>174.90286232649254</v>
      </c>
      <c r="X3" s="10">
        <f>W3+Y2</f>
        <v>58.300954108830851</v>
      </c>
      <c r="Y3" s="10">
        <f>W3+Y2</f>
        <v>58.300954108830851</v>
      </c>
      <c r="Z3" s="10">
        <f>Y3+AA2</f>
        <v>-58.300954108830837</v>
      </c>
      <c r="AA3" s="10">
        <f>Y3+AA2</f>
        <v>-58.300954108830837</v>
      </c>
      <c r="AB3" s="10">
        <f>AA3+AC2</f>
        <v>-174.90286232649254</v>
      </c>
      <c r="AC3" s="10">
        <f>AA3+AC2</f>
        <v>-174.90286232649254</v>
      </c>
      <c r="AD3" s="10">
        <f>AC3+AE2</f>
        <v>-233.20381643532338</v>
      </c>
      <c r="AE3" s="10">
        <f>AC3+AE2</f>
        <v>-233.20381643532338</v>
      </c>
      <c r="AF3" s="10">
        <f>AE3+AG2</f>
        <v>-291.50477054415421</v>
      </c>
      <c r="AG3" s="10">
        <f>AE3+AG2</f>
        <v>-291.50477054415421</v>
      </c>
      <c r="AH3" s="10">
        <f>AG3+AI2</f>
        <v>-349.80572465298508</v>
      </c>
      <c r="AI3" s="10">
        <f>AG3+AI2</f>
        <v>-349.80572465298508</v>
      </c>
      <c r="AJ3" s="10">
        <f>AI3+AK2</f>
        <v>-291.50477054415421</v>
      </c>
      <c r="AK3" s="10">
        <f>AI3+AK2</f>
        <v>-291.50477054415421</v>
      </c>
      <c r="AL3" s="10">
        <f>AK3+AM2</f>
        <v>-233.20381643532338</v>
      </c>
      <c r="AM3" s="10">
        <f>AK3+AM2</f>
        <v>-233.20381643532338</v>
      </c>
      <c r="AN3" s="10">
        <f>AM3+AO2</f>
        <v>-174.90286232649254</v>
      </c>
      <c r="AO3" s="10">
        <f>AM3+AO2</f>
        <v>-174.90286232649254</v>
      </c>
      <c r="AP3" s="10">
        <f>F3</f>
        <v>-58.300954108830851</v>
      </c>
    </row>
    <row r="5" spans="1:42" x14ac:dyDescent="0.3">
      <c r="B5" s="10">
        <f>(-0.5)*A2</f>
        <v>-0.60104076400856543</v>
      </c>
      <c r="C5" s="10">
        <f>1*A2</f>
        <v>1.2020815280171309</v>
      </c>
      <c r="D5" s="10">
        <f>(-0.5)*A2</f>
        <v>-0.60104076400856543</v>
      </c>
      <c r="E5" s="10">
        <v>97</v>
      </c>
      <c r="G5" s="10">
        <f>B5*E5</f>
        <v>-58.300954108830844</v>
      </c>
      <c r="I5" s="10">
        <f>B5*E5</f>
        <v>-58.300954108830844</v>
      </c>
      <c r="K5" s="10">
        <f>B5*E5</f>
        <v>-58.300954108830844</v>
      </c>
      <c r="M5" s="10">
        <f>(-E5)*D5</f>
        <v>58.300954108830844</v>
      </c>
      <c r="O5" s="10">
        <f>(-E5)*D5</f>
        <v>58.300954108830844</v>
      </c>
      <c r="Q5" s="10">
        <f>(-E5)*D5</f>
        <v>58.300954108830844</v>
      </c>
      <c r="S5" s="10">
        <f>C5*E5</f>
        <v>116.60190821766169</v>
      </c>
      <c r="U5" s="10">
        <f>C5*E5</f>
        <v>116.60190821766169</v>
      </c>
      <c r="W5" s="10">
        <f>C5*E5</f>
        <v>116.60190821766169</v>
      </c>
      <c r="Y5" s="10">
        <f>(-E5)*B5</f>
        <v>58.300954108830844</v>
      </c>
      <c r="AA5" s="10">
        <f>(-E5)*B5</f>
        <v>58.300954108830844</v>
      </c>
      <c r="AC5" s="10">
        <f>(-E5)*B5</f>
        <v>58.300954108830844</v>
      </c>
      <c r="AE5" s="10">
        <f>D5*E5</f>
        <v>-58.300954108830844</v>
      </c>
      <c r="AG5" s="10">
        <f>D5*E5</f>
        <v>-58.300954108830844</v>
      </c>
      <c r="AI5" s="10">
        <f>D5*E5</f>
        <v>-58.300954108830844</v>
      </c>
      <c r="AK5" s="10">
        <f>(-E5)*C5</f>
        <v>-116.60190821766169</v>
      </c>
      <c r="AM5" s="10">
        <f>(-E5)*C5</f>
        <v>-116.60190821766169</v>
      </c>
      <c r="AO5" s="10">
        <f>(-E5)*C5</f>
        <v>-116.60190821766169</v>
      </c>
    </row>
    <row r="6" spans="1:42" x14ac:dyDescent="0.3">
      <c r="E6" s="10" t="s">
        <v>32</v>
      </c>
      <c r="F6" s="10">
        <f>AO6+G5</f>
        <v>-233.20381643532338</v>
      </c>
      <c r="G6" s="10">
        <f>AO6+G5</f>
        <v>-233.20381643532338</v>
      </c>
      <c r="H6" s="10">
        <f>G6+I5</f>
        <v>-291.50477054415421</v>
      </c>
      <c r="I6" s="10">
        <f>G6+I5</f>
        <v>-291.50477054415421</v>
      </c>
      <c r="J6" s="10">
        <f>I6+K5</f>
        <v>-349.80572465298508</v>
      </c>
      <c r="K6" s="10">
        <f>I6+K5</f>
        <v>-349.80572465298508</v>
      </c>
      <c r="L6" s="10">
        <f>K6+M5</f>
        <v>-291.50477054415421</v>
      </c>
      <c r="M6" s="10">
        <f>K6+M5</f>
        <v>-291.50477054415421</v>
      </c>
      <c r="N6" s="10">
        <f>M6+O5</f>
        <v>-233.20381643532338</v>
      </c>
      <c r="O6" s="10">
        <f>M6+O5</f>
        <v>-233.20381643532338</v>
      </c>
      <c r="P6" s="10">
        <f>O6+Q5</f>
        <v>-174.90286232649254</v>
      </c>
      <c r="Q6" s="10">
        <f>O6+Q5</f>
        <v>-174.90286232649254</v>
      </c>
      <c r="R6" s="10">
        <f>Q6+S5</f>
        <v>-58.300954108830851</v>
      </c>
      <c r="S6" s="10">
        <f>Q6+S5</f>
        <v>-58.300954108830851</v>
      </c>
      <c r="T6" s="10">
        <f>U5/2</f>
        <v>58.300954108830844</v>
      </c>
      <c r="U6" s="10">
        <f>U5/2</f>
        <v>58.300954108830844</v>
      </c>
      <c r="V6" s="10">
        <f>U6+W5</f>
        <v>174.90286232649254</v>
      </c>
      <c r="W6" s="10">
        <f>U6+W5</f>
        <v>174.90286232649254</v>
      </c>
      <c r="X6" s="10">
        <f>W6+Y5</f>
        <v>233.20381643532338</v>
      </c>
      <c r="Y6" s="10">
        <f>W6+Y5</f>
        <v>233.20381643532338</v>
      </c>
      <c r="Z6" s="10">
        <f>Y6+AA5</f>
        <v>291.50477054415421</v>
      </c>
      <c r="AA6" s="10">
        <f>Y6+AA5</f>
        <v>291.50477054415421</v>
      </c>
      <c r="AB6" s="10">
        <f>AA6+AC5</f>
        <v>349.80572465298508</v>
      </c>
      <c r="AC6" s="10">
        <f>AA6+AC5</f>
        <v>349.80572465298508</v>
      </c>
      <c r="AD6" s="10">
        <f>AC6+AE5</f>
        <v>291.50477054415421</v>
      </c>
      <c r="AE6" s="10">
        <f>AC6+AE5</f>
        <v>291.50477054415421</v>
      </c>
      <c r="AF6" s="10">
        <f>AE6+AG5</f>
        <v>233.20381643532338</v>
      </c>
      <c r="AG6" s="10">
        <f>AE6+AG5</f>
        <v>233.20381643532338</v>
      </c>
      <c r="AH6" s="10">
        <f>AG6+AI5</f>
        <v>174.90286232649254</v>
      </c>
      <c r="AI6" s="10">
        <f>AG6+AI5</f>
        <v>174.90286232649254</v>
      </c>
      <c r="AJ6" s="10">
        <f>AI6+AK5</f>
        <v>58.300954108830851</v>
      </c>
      <c r="AK6" s="10">
        <f>AI6+AK5</f>
        <v>58.300954108830851</v>
      </c>
      <c r="AL6" s="10">
        <f>AK6+AM5</f>
        <v>-58.300954108830837</v>
      </c>
      <c r="AM6" s="10">
        <f>AK6+AM5</f>
        <v>-58.300954108830837</v>
      </c>
      <c r="AN6" s="10">
        <f>AM6+AO5</f>
        <v>-174.90286232649254</v>
      </c>
      <c r="AO6" s="10">
        <f>AM6+AO5</f>
        <v>-174.90286232649254</v>
      </c>
      <c r="AP6" s="10">
        <f>F6</f>
        <v>-233.20381643532338</v>
      </c>
    </row>
    <row r="8" spans="1:42" s="15" customFormat="1" x14ac:dyDescent="0.3">
      <c r="F8" s="15">
        <v>1E-3</v>
      </c>
      <c r="G8" s="15">
        <v>19.998999999999999</v>
      </c>
      <c r="H8" s="15">
        <f>F8+19.999</f>
        <v>20</v>
      </c>
      <c r="I8" s="15">
        <f t="shared" ref="I8:AO8" si="0">G8+20</f>
        <v>39.998999999999995</v>
      </c>
      <c r="J8" s="15">
        <f t="shared" si="0"/>
        <v>40</v>
      </c>
      <c r="K8" s="15">
        <f t="shared" si="0"/>
        <v>59.998999999999995</v>
      </c>
      <c r="L8" s="15">
        <f t="shared" si="0"/>
        <v>60</v>
      </c>
      <c r="M8" s="15">
        <f t="shared" si="0"/>
        <v>79.998999999999995</v>
      </c>
      <c r="N8" s="15">
        <f t="shared" si="0"/>
        <v>80</v>
      </c>
      <c r="O8" s="15">
        <f t="shared" si="0"/>
        <v>99.998999999999995</v>
      </c>
      <c r="P8" s="15">
        <f t="shared" si="0"/>
        <v>100</v>
      </c>
      <c r="Q8" s="15">
        <f t="shared" si="0"/>
        <v>119.999</v>
      </c>
      <c r="R8" s="15">
        <f t="shared" si="0"/>
        <v>120</v>
      </c>
      <c r="S8" s="15">
        <f t="shared" si="0"/>
        <v>139.999</v>
      </c>
      <c r="T8" s="15">
        <f t="shared" si="0"/>
        <v>140</v>
      </c>
      <c r="U8" s="15">
        <f t="shared" si="0"/>
        <v>159.999</v>
      </c>
      <c r="V8" s="15">
        <f t="shared" si="0"/>
        <v>160</v>
      </c>
      <c r="W8" s="15">
        <f t="shared" si="0"/>
        <v>179.999</v>
      </c>
      <c r="X8" s="15">
        <f t="shared" si="0"/>
        <v>180</v>
      </c>
      <c r="Y8" s="15">
        <f t="shared" si="0"/>
        <v>199.999</v>
      </c>
      <c r="Z8" s="15">
        <f t="shared" si="0"/>
        <v>200</v>
      </c>
      <c r="AA8" s="15">
        <f t="shared" si="0"/>
        <v>219.999</v>
      </c>
      <c r="AB8" s="15">
        <f t="shared" si="0"/>
        <v>220</v>
      </c>
      <c r="AC8" s="15">
        <f t="shared" si="0"/>
        <v>239.999</v>
      </c>
      <c r="AD8" s="15">
        <f t="shared" si="0"/>
        <v>240</v>
      </c>
      <c r="AE8" s="15">
        <f t="shared" si="0"/>
        <v>259.99900000000002</v>
      </c>
      <c r="AF8" s="15">
        <f t="shared" si="0"/>
        <v>260</v>
      </c>
      <c r="AG8" s="15">
        <f t="shared" si="0"/>
        <v>279.99900000000002</v>
      </c>
      <c r="AH8" s="15">
        <f t="shared" si="0"/>
        <v>280</v>
      </c>
      <c r="AI8" s="15">
        <f t="shared" si="0"/>
        <v>299.99900000000002</v>
      </c>
      <c r="AJ8" s="15">
        <f t="shared" si="0"/>
        <v>300</v>
      </c>
      <c r="AK8" s="15">
        <f t="shared" si="0"/>
        <v>319.99900000000002</v>
      </c>
      <c r="AL8" s="15">
        <f t="shared" si="0"/>
        <v>320</v>
      </c>
      <c r="AM8" s="15">
        <f t="shared" si="0"/>
        <v>339.99900000000002</v>
      </c>
      <c r="AN8" s="15">
        <f t="shared" si="0"/>
        <v>340</v>
      </c>
      <c r="AO8" s="15">
        <f t="shared" si="0"/>
        <v>359.99900000000002</v>
      </c>
      <c r="AP8" s="15">
        <f>AN8+20</f>
        <v>360</v>
      </c>
    </row>
    <row r="15" spans="1:42" x14ac:dyDescent="0.3">
      <c r="C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p2_q1&amp;q2</vt:lpstr>
      <vt:lpstr>q1 basic calculations</vt:lpstr>
      <vt:lpstr>p2_q1MMF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2018-04-19T02:34:53Z</dcterms:modified>
</cp:coreProperties>
</file>