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3960" windowHeight="184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8" i="1" l="1"/>
  <c r="B87" i="1"/>
  <c r="B86" i="1"/>
  <c r="B85" i="1"/>
  <c r="B81" i="1"/>
  <c r="B80" i="1"/>
  <c r="B79" i="1"/>
  <c r="B78" i="1"/>
  <c r="B77" i="1"/>
  <c r="B76" i="1"/>
  <c r="B74" i="1"/>
  <c r="B67" i="1"/>
  <c r="B70" i="1" s="1"/>
  <c r="B62" i="1"/>
  <c r="B52" i="1"/>
  <c r="B50" i="1"/>
  <c r="B49" i="1"/>
  <c r="B19" i="1"/>
  <c r="B68" i="1" l="1"/>
  <c r="B71" i="1" s="1"/>
  <c r="F38" i="1"/>
  <c r="F39" i="1" s="1"/>
  <c r="F40" i="1"/>
  <c r="F41" i="1" s="1"/>
  <c r="C40" i="1"/>
  <c r="C41" i="1" s="1"/>
  <c r="D40" i="1"/>
  <c r="D41" i="1" s="1"/>
  <c r="D42" i="1" s="1"/>
  <c r="E40" i="1"/>
  <c r="E41" i="1" s="1"/>
  <c r="B40" i="1"/>
  <c r="B41" i="1" s="1"/>
  <c r="B42" i="1" s="1"/>
  <c r="E38" i="1"/>
  <c r="E39" i="1" s="1"/>
  <c r="C38" i="1"/>
  <c r="C39" i="1" s="1"/>
  <c r="D38" i="1"/>
  <c r="D39" i="1" s="1"/>
  <c r="B38" i="1"/>
  <c r="B39" i="1" s="1"/>
  <c r="B34" i="1"/>
  <c r="B29" i="1"/>
  <c r="B26" i="1"/>
  <c r="B20" i="1"/>
  <c r="B16" i="1"/>
  <c r="E42" i="1" l="1"/>
  <c r="B47" i="1"/>
  <c r="F42" i="1"/>
  <c r="C42" i="1"/>
  <c r="B21" i="1"/>
  <c r="B35" i="1" l="1"/>
  <c r="B51" i="1" s="1"/>
  <c r="B61" i="1"/>
  <c r="B27" i="1"/>
  <c r="B24" i="1"/>
  <c r="B22" i="1"/>
  <c r="B59" i="1" l="1"/>
  <c r="B55" i="1"/>
  <c r="B63" i="1" s="1"/>
  <c r="B53" i="1"/>
  <c r="B54" i="1" s="1"/>
  <c r="B60" i="1" l="1"/>
</calcChain>
</file>

<file path=xl/sharedStrings.xml><?xml version="1.0" encoding="utf-8"?>
<sst xmlns="http://schemas.openxmlformats.org/spreadsheetml/2006/main" count="76" uniqueCount="76">
  <si>
    <t>Line-to-line voltage(V)</t>
  </si>
  <si>
    <t>Rated Motor Torque(Nm)</t>
  </si>
  <si>
    <t>Cooling</t>
  </si>
  <si>
    <t> Forced Air Cooling</t>
  </si>
  <si>
    <t>Insulating Class</t>
  </si>
  <si>
    <t>200C</t>
  </si>
  <si>
    <t>Train Wheel Diameter(mm)</t>
  </si>
  <si>
    <t>Gear Ratio</t>
  </si>
  <si>
    <t>p(number of pole pairs)</t>
  </si>
  <si>
    <t>Pmec-Rated Power Output(kw)</t>
  </si>
  <si>
    <t>2p(Number of poles)</t>
  </si>
  <si>
    <t>Ppole((Pmec/2p)/kW)</t>
  </si>
  <si>
    <t>Cmech(kW.s/m^3)</t>
  </si>
  <si>
    <t>X-Aspect ratio</t>
  </si>
  <si>
    <t>D-stator inner diameter(m) = (Pmech/(Cmech.X.nsync))^(1/3)</t>
  </si>
  <si>
    <t>inverter f(Hz)</t>
  </si>
  <si>
    <t>nrated-Rated Speed(rpm)</t>
  </si>
  <si>
    <t>Vrated-Rated Speed(km/h)</t>
  </si>
  <si>
    <t>Vmax-Maximum Speed (km/h)</t>
  </si>
  <si>
    <t>nmax(rpm)=nrated*(Vmax/Vrated)</t>
  </si>
  <si>
    <t>Tipspeed(m/s)=2*pi*(D/2)*(nmax/60)</t>
  </si>
  <si>
    <t>δ = Lairgap(mm) =0,18+0,006.Pmech^0,4</t>
  </si>
  <si>
    <t>δ = Lairgap(mm) - smallest airgap</t>
  </si>
  <si>
    <t>Do-stator outer diameter(m) = 1,78*D</t>
  </si>
  <si>
    <t>m - number of phases</t>
  </si>
  <si>
    <t>Qs - Stator Slot Number = 2p * m * qs</t>
  </si>
  <si>
    <t>qs - Number of Slots per pole per phase</t>
  </si>
  <si>
    <t>n - harmonic number</t>
  </si>
  <si>
    <t>coil pitch(in elect rad) = (8/9)*pi</t>
  </si>
  <si>
    <t>a - angle between each coil(in elect rad) = pi/(qs*m)</t>
  </si>
  <si>
    <t>kw - winding factor</t>
  </si>
  <si>
    <t>kd - distribution factor = sin(qs*(n*a/2))/(qs*sin(n*a/2))</t>
  </si>
  <si>
    <t>kp -pitch factor = sin( (n*coil-pitch)/2)</t>
  </si>
  <si>
    <t>Qr - Rotor Slot Number (72 or 88)</t>
  </si>
  <si>
    <t>B^ - peak airgap flux density (T)</t>
  </si>
  <si>
    <t>A - linear curr density(kA/m) = Cmech*(2^0,5)/(pi^2*kw1*B^)</t>
  </si>
  <si>
    <t>n-sync(synchronuous rotor speed in Hz)=f/p</t>
  </si>
  <si>
    <t>Em - EMF value = 0,98*(V/(3^0,5))</t>
  </si>
  <si>
    <t>w - angular electrical speed = 2*pi*f</t>
  </si>
  <si>
    <t>L'-Effective Length(m) = X*D</t>
  </si>
  <si>
    <t>Ns - # of coil t.s in sers in a ph = (2^0.5)*Em/(w*kws*L`*PP*ai*B^)</t>
  </si>
  <si>
    <t>Stator Pole Pitch,PP (m) = (Stator Slot Pitch* qs * m)/1000</t>
  </si>
  <si>
    <t>zq - # of conductors per slot = (2*1*m*Ns)/Qs</t>
  </si>
  <si>
    <t>ai -coeff of arithmetic average of the flux density of one pole=2/pi</t>
  </si>
  <si>
    <t>Resulting B^ (T)</t>
  </si>
  <si>
    <t>Stator Slot Pitch,SP (mm) = (2*pi*(D/2))/Qs</t>
  </si>
  <si>
    <t>bds - stator teeth width(mm) = (L`*SP*B^)/(kFe * L * B^st) + 0.1</t>
  </si>
  <si>
    <t>B^st (T) - peak stator teeth flux density</t>
  </si>
  <si>
    <t>kFe - space factor of the iron</t>
  </si>
  <si>
    <t>L - Real Length(m) ~ L`</t>
  </si>
  <si>
    <t>Rotor Slot Pitch,RSP (mm) = (2*pi*(D/2))/Qr</t>
  </si>
  <si>
    <t xml:space="preserve">B^rt (T) - peak rotor teeth flux density= B^st (T) </t>
  </si>
  <si>
    <t>bdr - rotor teeth width(mm) = (L`*RSP*B^)/(kFe * L * B^rt) + 0.1</t>
  </si>
  <si>
    <t>eff</t>
  </si>
  <si>
    <t>pf</t>
  </si>
  <si>
    <t>Ir (A)- Rotor current = zq*Qs*Is*0.9/(4*Qr)</t>
  </si>
  <si>
    <t>J (A/mm^2)</t>
  </si>
  <si>
    <t>Acs(mm^2) - Stator conductor area = Is/(4*J)</t>
  </si>
  <si>
    <t>Acr(mm^2) - Rotor conductor area = Ir/(4*J)</t>
  </si>
  <si>
    <t>Is (A)- Stator current = (Pmech*1000/3) / ((V/(3.0^0.5))*eff*pf)</t>
  </si>
  <si>
    <t>awg-8 current rating (A)</t>
  </si>
  <si>
    <t>A-awg8 (mm^2)</t>
  </si>
  <si>
    <t>Space factor coeff</t>
  </si>
  <si>
    <t xml:space="preserve">Nawg8 - Number of needed awg8 = Is/awg-8 current rating </t>
  </si>
  <si>
    <t>Ass (mm^2) - Area of stator slot = A-awg8*Nawg8*zq/Spacefactor</t>
  </si>
  <si>
    <t>Ars (mm^2) - Area of rotor slot = Acr</t>
  </si>
  <si>
    <t>Stator slot width,SSW(mm) = SP-bds</t>
  </si>
  <si>
    <t>Rotor slot width,RSW(mm) = RSP-bdr</t>
  </si>
  <si>
    <t>Rotor slot depth(mm) = Ars/RSW</t>
  </si>
  <si>
    <t>App (m^2)- Area per pole = L`*D*pi/(2p)</t>
  </si>
  <si>
    <t>Flux per pole = App * B^</t>
  </si>
  <si>
    <t>B^sy (T) - peak stator yoke density</t>
  </si>
  <si>
    <t>B^ry (T) - peak rotor yoke density</t>
  </si>
  <si>
    <t>Stator slot depth,SSD(mm) = Ass/SSW</t>
  </si>
  <si>
    <t>Do(mm) = ((Fluxperpole/2)/(L`*B^sy))+(D+SSD)</t>
  </si>
  <si>
    <t>Dir(mm) = (D-RSD)-((Fluxperpole/2)/(L`*B^ry))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</si>
</sst>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162"/>
      <scheme val="minor"/>
    </font>
    <font>
      <sz val="10"/>
      <color rgb="FF24292E"/>
      <name val="Segoe UI"/>
      <family val="2"/>
      <charset val="162"/>
    </font>
    <font>
      <b/>
      <sz val="10"/>
      <color rgb="FF24292E"/>
      <name val="Segoe UI"/>
      <family val="2"/>
      <charset val="16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3" fillId="0" borderId="2" xfId="0" applyFont="1" applyBorder="1"/>
    <xf numFmtId="0" fontId="0" fillId="0" borderId="2" xfId="0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topLeftCell="A43" zoomScale="110" zoomScaleNormal="110" workbookViewId="0">
      <selection activeCell="A58" sqref="A58"/>
    </sheetView>
  </sheetViews>
  <sheetFormatPr defaultRowHeight="14.4" x14ac:dyDescent="0.3"/>
  <cols>
    <col min="1" max="1" width="56.6640625" style="1" bestFit="1" customWidth="1"/>
    <col min="2" max="2" width="17.44140625" style="2" customWidth="1"/>
    <col min="3" max="3" width="12.6640625" bestFit="1" customWidth="1"/>
  </cols>
  <sheetData>
    <row r="1" spans="1:3" ht="15" x14ac:dyDescent="0.35">
      <c r="A1" s="3" t="s">
        <v>9</v>
      </c>
      <c r="B1" s="5">
        <v>1280</v>
      </c>
    </row>
    <row r="2" spans="1:3" ht="15" x14ac:dyDescent="0.35">
      <c r="A2" s="3" t="s">
        <v>0</v>
      </c>
      <c r="B2" s="5">
        <v>1350</v>
      </c>
      <c r="C2" s="5"/>
    </row>
    <row r="3" spans="1:3" ht="15" x14ac:dyDescent="0.35">
      <c r="A3" s="3" t="s">
        <v>10</v>
      </c>
      <c r="B3" s="5">
        <v>6</v>
      </c>
    </row>
    <row r="4" spans="1:3" ht="15" x14ac:dyDescent="0.35">
      <c r="A4" s="3" t="s">
        <v>8</v>
      </c>
      <c r="B4" s="5">
        <v>3</v>
      </c>
    </row>
    <row r="5" spans="1:3" ht="15" x14ac:dyDescent="0.35">
      <c r="A5" s="3" t="s">
        <v>16</v>
      </c>
      <c r="B5" s="5">
        <v>1520</v>
      </c>
    </row>
    <row r="6" spans="1:3" ht="15" x14ac:dyDescent="0.35">
      <c r="A6" s="3" t="s">
        <v>17</v>
      </c>
      <c r="B6" s="5">
        <v>72</v>
      </c>
    </row>
    <row r="7" spans="1:3" x14ac:dyDescent="0.3">
      <c r="A7" s="1" t="s">
        <v>15</v>
      </c>
      <c r="B7" s="2">
        <v>78</v>
      </c>
    </row>
    <row r="8" spans="1:3" x14ac:dyDescent="0.3">
      <c r="A8" s="6" t="s">
        <v>1</v>
      </c>
      <c r="B8" s="5">
        <v>7843</v>
      </c>
    </row>
    <row r="9" spans="1:3" ht="15" x14ac:dyDescent="0.35">
      <c r="A9" s="3" t="s">
        <v>2</v>
      </c>
      <c r="B9" s="4" t="s">
        <v>3</v>
      </c>
    </row>
    <row r="10" spans="1:3" ht="15" x14ac:dyDescent="0.35">
      <c r="A10" s="3" t="s">
        <v>4</v>
      </c>
      <c r="B10" s="4" t="s">
        <v>5</v>
      </c>
    </row>
    <row r="11" spans="1:3" ht="15" x14ac:dyDescent="0.35">
      <c r="A11" s="3" t="s">
        <v>6</v>
      </c>
      <c r="B11" s="5">
        <v>1210</v>
      </c>
    </row>
    <row r="12" spans="1:3" x14ac:dyDescent="0.3">
      <c r="A12" s="6" t="s">
        <v>18</v>
      </c>
      <c r="B12" s="5">
        <v>140</v>
      </c>
    </row>
    <row r="13" spans="1:3" ht="15.6" thickBot="1" x14ac:dyDescent="0.4">
      <c r="A13" s="7" t="s">
        <v>7</v>
      </c>
      <c r="B13" s="8">
        <v>4.82</v>
      </c>
    </row>
    <row r="16" spans="1:3" x14ac:dyDescent="0.3">
      <c r="A16" s="1" t="s">
        <v>11</v>
      </c>
      <c r="B16" s="2">
        <f>B1/B3</f>
        <v>213.33333333333334</v>
      </c>
    </row>
    <row r="17" spans="1:6" x14ac:dyDescent="0.3">
      <c r="A17" s="1" t="s">
        <v>12</v>
      </c>
      <c r="B17" s="9">
        <v>250</v>
      </c>
    </row>
    <row r="19" spans="1:6" s="10" customFormat="1" x14ac:dyDescent="0.3">
      <c r="A19" s="11" t="s">
        <v>36</v>
      </c>
      <c r="B19" s="2">
        <f>B7/B4</f>
        <v>26</v>
      </c>
    </row>
    <row r="20" spans="1:6" x14ac:dyDescent="0.3">
      <c r="A20" s="1" t="s">
        <v>13</v>
      </c>
      <c r="B20" s="2">
        <f>((3.14/B3)*((B4)^(1/3)))</f>
        <v>0.75477727512754367</v>
      </c>
    </row>
    <row r="21" spans="1:6" x14ac:dyDescent="0.3">
      <c r="A21" s="1" t="s">
        <v>14</v>
      </c>
      <c r="B21" s="9">
        <f>((B1/(B17*B20*B19))^(1/3))</f>
        <v>0.63898784802441189</v>
      </c>
    </row>
    <row r="22" spans="1:6" x14ac:dyDescent="0.3">
      <c r="A22" s="1" t="s">
        <v>39</v>
      </c>
      <c r="B22" s="9">
        <f>B20*B21</f>
        <v>0.48229350677147859</v>
      </c>
    </row>
    <row r="24" spans="1:6" x14ac:dyDescent="0.3">
      <c r="A24" s="1" t="s">
        <v>23</v>
      </c>
      <c r="B24" s="9">
        <f>1.78*B21</f>
        <v>1.1373983694834531</v>
      </c>
    </row>
    <row r="26" spans="1:6" x14ac:dyDescent="0.3">
      <c r="A26" s="1" t="s">
        <v>19</v>
      </c>
      <c r="B26" s="2">
        <f>B5*(B12/B6)</f>
        <v>2955.5555555555557</v>
      </c>
    </row>
    <row r="27" spans="1:6" x14ac:dyDescent="0.3">
      <c r="A27" s="1" t="s">
        <v>20</v>
      </c>
      <c r="B27" s="9">
        <f>3.14*B21*(B26/60)</f>
        <v>98.83485373776108</v>
      </c>
    </row>
    <row r="29" spans="1:6" x14ac:dyDescent="0.3">
      <c r="A29" s="1" t="s">
        <v>21</v>
      </c>
      <c r="B29" s="2">
        <f>0.18+(0.006*(B1^(0.4)))</f>
        <v>0.28496275909855467</v>
      </c>
    </row>
    <row r="30" spans="1:6" x14ac:dyDescent="0.3">
      <c r="A30" s="1" t="s">
        <v>22</v>
      </c>
      <c r="B30" s="9">
        <v>2</v>
      </c>
    </row>
    <row r="32" spans="1:6" x14ac:dyDescent="0.3">
      <c r="A32" s="1" t="s">
        <v>24</v>
      </c>
      <c r="B32" s="2">
        <v>3</v>
      </c>
      <c r="C32" s="2">
        <v>3</v>
      </c>
      <c r="D32" s="2">
        <v>3</v>
      </c>
      <c r="E32" s="2">
        <v>3</v>
      </c>
      <c r="F32" s="2">
        <v>3</v>
      </c>
    </row>
    <row r="33" spans="1:6" x14ac:dyDescent="0.3">
      <c r="A33" s="1" t="s">
        <v>26</v>
      </c>
      <c r="B33" s="2">
        <v>3</v>
      </c>
      <c r="C33" s="2">
        <v>3</v>
      </c>
      <c r="D33" s="2">
        <v>3</v>
      </c>
      <c r="E33" s="2">
        <v>3</v>
      </c>
      <c r="F33" s="2">
        <v>3</v>
      </c>
    </row>
    <row r="34" spans="1:6" x14ac:dyDescent="0.3">
      <c r="A34" s="1" t="s">
        <v>25</v>
      </c>
      <c r="B34" s="9">
        <f>B33*B32*B3</f>
        <v>54</v>
      </c>
    </row>
    <row r="35" spans="1:6" x14ac:dyDescent="0.3">
      <c r="A35" s="1" t="s">
        <v>45</v>
      </c>
      <c r="B35" s="9">
        <f>((3.14*B21)/B34)*1000</f>
        <v>37.155960051789883</v>
      </c>
    </row>
    <row r="37" spans="1:6" x14ac:dyDescent="0.3">
      <c r="A37" s="1" t="s">
        <v>27</v>
      </c>
      <c r="B37" s="2">
        <v>1</v>
      </c>
      <c r="C37">
        <v>3</v>
      </c>
      <c r="D37">
        <v>5</v>
      </c>
      <c r="E37">
        <v>7</v>
      </c>
      <c r="F37">
        <v>9</v>
      </c>
    </row>
    <row r="38" spans="1:6" x14ac:dyDescent="0.3">
      <c r="A38" s="1" t="s">
        <v>28</v>
      </c>
      <c r="B38" s="9">
        <f>(8/9)*3.14</f>
        <v>2.7911111111111109</v>
      </c>
      <c r="C38" s="9">
        <f t="shared" ref="C38:D38" si="0">(8/9)*3.14</f>
        <v>2.7911111111111109</v>
      </c>
      <c r="D38" s="9">
        <f t="shared" si="0"/>
        <v>2.7911111111111109</v>
      </c>
      <c r="E38" s="9">
        <f>(8/9)*3.14</f>
        <v>2.7911111111111109</v>
      </c>
      <c r="F38" s="9">
        <f>(8/9)*3.14</f>
        <v>2.7911111111111109</v>
      </c>
    </row>
    <row r="39" spans="1:6" x14ac:dyDescent="0.3">
      <c r="A39" s="1" t="s">
        <v>32</v>
      </c>
      <c r="B39" s="9">
        <f>SIN(B37*B38/2)</f>
        <v>0.98468459013058329</v>
      </c>
      <c r="C39" s="9">
        <f t="shared" ref="C39:E39" si="1">SIN(C37*C38/2)</f>
        <v>-0.86496168288969943</v>
      </c>
      <c r="D39" s="9">
        <f t="shared" si="1"/>
        <v>0.64007238189648752</v>
      </c>
      <c r="E39" s="9">
        <f t="shared" si="1"/>
        <v>-0.33735985997211249</v>
      </c>
      <c r="F39" s="9">
        <f>SIN(F37*F38/2)</f>
        <v>-6.3705712676539114E-3</v>
      </c>
    </row>
    <row r="40" spans="1:6" x14ac:dyDescent="0.3">
      <c r="A40" s="1" t="s">
        <v>29</v>
      </c>
      <c r="B40" s="9">
        <f>3.14/(B32*B33)</f>
        <v>0.34888888888888892</v>
      </c>
      <c r="C40" s="9">
        <f t="shared" ref="C40:E40" si="2">3.14/(C32*C33)</f>
        <v>0.34888888888888892</v>
      </c>
      <c r="D40" s="9">
        <f t="shared" si="2"/>
        <v>0.34888888888888892</v>
      </c>
      <c r="E40" s="9">
        <f t="shared" si="2"/>
        <v>0.34888888888888892</v>
      </c>
      <c r="F40" s="9">
        <f>3.14/(F32*F33)</f>
        <v>0.34888888888888892</v>
      </c>
    </row>
    <row r="41" spans="1:6" x14ac:dyDescent="0.3">
      <c r="A41" s="1" t="s">
        <v>31</v>
      </c>
      <c r="B41" s="9">
        <f>SIN(B33*(B37*B40/2))/(B33*SIN(B37*B40/2))</f>
        <v>0.9598354203154561</v>
      </c>
      <c r="C41" s="9">
        <f t="shared" ref="C41:E41" si="3">SIN(C33*(C37*C40/2))/(C33*SIN(C37*C40/2))</f>
        <v>0.66697312600547043</v>
      </c>
      <c r="D41" s="9">
        <f t="shared" si="3"/>
        <v>0.21814883701842941</v>
      </c>
      <c r="E41" s="9">
        <f t="shared" si="3"/>
        <v>-0.17683174328726242</v>
      </c>
      <c r="F41" s="9">
        <f>SIN(F33*(F37*F40/2))/(F33*SIN(F37*F40/2))</f>
        <v>-0.33333248781835967</v>
      </c>
    </row>
    <row r="42" spans="1:6" x14ac:dyDescent="0.3">
      <c r="A42" s="1" t="s">
        <v>30</v>
      </c>
      <c r="B42" s="9">
        <f>B41*B39</f>
        <v>0.94513514744614102</v>
      </c>
      <c r="C42" s="9">
        <f t="shared" ref="C42:E42" si="4">C41*C39</f>
        <v>-0.5769061975118952</v>
      </c>
      <c r="D42" s="9">
        <f t="shared" si="4"/>
        <v>0.13963104571833476</v>
      </c>
      <c r="E42" s="9">
        <f t="shared" si="4"/>
        <v>5.9655932154015393E-2</v>
      </c>
      <c r="F42" s="9">
        <f>F41*F39</f>
        <v>2.1235183694712396E-3</v>
      </c>
    </row>
    <row r="44" spans="1:6" x14ac:dyDescent="0.3">
      <c r="A44" s="1" t="s">
        <v>33</v>
      </c>
      <c r="B44" s="9">
        <v>72</v>
      </c>
    </row>
    <row r="46" spans="1:6" x14ac:dyDescent="0.3">
      <c r="A46" s="1" t="s">
        <v>34</v>
      </c>
      <c r="B46" s="9">
        <v>0.8</v>
      </c>
    </row>
    <row r="47" spans="1:6" x14ac:dyDescent="0.3">
      <c r="A47" s="1" t="s">
        <v>35</v>
      </c>
      <c r="B47" s="9">
        <f>B17*(2^(1/2))/(3.14*3.14*B42*B46)</f>
        <v>47.425488116656283</v>
      </c>
    </row>
    <row r="49" spans="1:3" x14ac:dyDescent="0.3">
      <c r="A49" s="1" t="s">
        <v>37</v>
      </c>
      <c r="B49" s="9">
        <f>((B2/(2^(1/2)))*0.98)</f>
        <v>935.50227150980231</v>
      </c>
    </row>
    <row r="50" spans="1:3" x14ac:dyDescent="0.3">
      <c r="A50" s="1" t="s">
        <v>38</v>
      </c>
      <c r="B50" s="9">
        <f>B7*2*3.14</f>
        <v>489.84000000000003</v>
      </c>
    </row>
    <row r="51" spans="1:3" x14ac:dyDescent="0.3">
      <c r="A51" s="1" t="s">
        <v>41</v>
      </c>
      <c r="B51" s="9">
        <f>B35*B33*B32/1000</f>
        <v>0.33440364046610893</v>
      </c>
    </row>
    <row r="52" spans="1:3" x14ac:dyDescent="0.3">
      <c r="A52" s="1" t="s">
        <v>43</v>
      </c>
      <c r="B52" s="2">
        <f>2/3.14</f>
        <v>0.63694267515923564</v>
      </c>
    </row>
    <row r="53" spans="1:3" x14ac:dyDescent="0.3">
      <c r="A53" s="1" t="s">
        <v>40</v>
      </c>
      <c r="B53" s="2">
        <f>ROUND( (((2^(1/2))*B49)/(B50*B42*B22*B51*B52*B46)/2), 0) *2</f>
        <v>34</v>
      </c>
      <c r="C53" s="9">
        <v>36</v>
      </c>
    </row>
    <row r="54" spans="1:3" x14ac:dyDescent="0.3">
      <c r="A54" s="1" t="s">
        <v>42</v>
      </c>
      <c r="B54" s="2">
        <f xml:space="preserve"> (2*B32*B53)/B34</f>
        <v>3.7777777777777777</v>
      </c>
      <c r="C54" s="9">
        <v>4</v>
      </c>
    </row>
    <row r="55" spans="1:3" x14ac:dyDescent="0.3">
      <c r="A55" s="1" t="s">
        <v>44</v>
      </c>
      <c r="B55" s="9">
        <f xml:space="preserve"> 2^(1/2)*B49/(B50*B42*B22*B51*B52*36)</f>
        <v>0.77272759882681219</v>
      </c>
    </row>
    <row r="57" spans="1:3" x14ac:dyDescent="0.3">
      <c r="A57" s="1" t="s">
        <v>47</v>
      </c>
      <c r="B57" s="2">
        <v>1.7</v>
      </c>
    </row>
    <row r="58" spans="1:3" x14ac:dyDescent="0.3">
      <c r="A58" s="1" t="s">
        <v>48</v>
      </c>
      <c r="B58" s="2">
        <v>1</v>
      </c>
    </row>
    <row r="59" spans="1:3" x14ac:dyDescent="0.3">
      <c r="A59" s="1" t="s">
        <v>49</v>
      </c>
      <c r="B59" s="2">
        <f>B22</f>
        <v>0.48229350677147859</v>
      </c>
    </row>
    <row r="60" spans="1:3" x14ac:dyDescent="0.3">
      <c r="A60" s="1" t="s">
        <v>46</v>
      </c>
      <c r="B60" s="9">
        <f xml:space="preserve"> ROUND((0.1 + (B22*B35*B55)/(B58*B59*B57)),0)</f>
        <v>17</v>
      </c>
    </row>
    <row r="61" spans="1:3" x14ac:dyDescent="0.3">
      <c r="A61" s="1" t="s">
        <v>50</v>
      </c>
      <c r="B61" s="9">
        <f>((3.14*B21)/B44)*1000</f>
        <v>27.866970038842407</v>
      </c>
    </row>
    <row r="62" spans="1:3" x14ac:dyDescent="0.3">
      <c r="A62" s="1" t="s">
        <v>51</v>
      </c>
      <c r="B62" s="2">
        <f>B57</f>
        <v>1.7</v>
      </c>
    </row>
    <row r="63" spans="1:3" x14ac:dyDescent="0.3">
      <c r="A63" s="1" t="s">
        <v>52</v>
      </c>
      <c r="B63" s="9">
        <f xml:space="preserve"> ROUND((0.1 + (B61*B55*B22)/(B58*B59*B62)),0)</f>
        <v>13</v>
      </c>
    </row>
    <row r="65" spans="1:2" x14ac:dyDescent="0.3">
      <c r="A65" s="1" t="s">
        <v>53</v>
      </c>
      <c r="B65" s="2">
        <v>0.95</v>
      </c>
    </row>
    <row r="66" spans="1:2" x14ac:dyDescent="0.3">
      <c r="A66" s="1" t="s">
        <v>54</v>
      </c>
      <c r="B66" s="2">
        <v>0.8</v>
      </c>
    </row>
    <row r="67" spans="1:2" x14ac:dyDescent="0.3">
      <c r="A67" s="1" t="s">
        <v>59</v>
      </c>
      <c r="B67" s="2">
        <f xml:space="preserve"> (B1*1000/3)/((B2/(3^(1/2)))*B65*B66)</f>
        <v>720.2810375854981</v>
      </c>
    </row>
    <row r="68" spans="1:2" x14ac:dyDescent="0.3">
      <c r="A68" s="1" t="s">
        <v>55</v>
      </c>
      <c r="B68" s="2">
        <f>(C54*B34*B67*0.9)/(4*B44)</f>
        <v>486.18970037021126</v>
      </c>
    </row>
    <row r="69" spans="1:2" x14ac:dyDescent="0.3">
      <c r="A69" s="1" t="s">
        <v>56</v>
      </c>
      <c r="B69" s="2">
        <v>4</v>
      </c>
    </row>
    <row r="70" spans="1:2" x14ac:dyDescent="0.3">
      <c r="A70" s="1" t="s">
        <v>57</v>
      </c>
      <c r="B70" s="2">
        <f>B67/(4*B69)</f>
        <v>45.017564849093631</v>
      </c>
    </row>
    <row r="71" spans="1:2" x14ac:dyDescent="0.3">
      <c r="A71" s="1" t="s">
        <v>58</v>
      </c>
      <c r="B71" s="2">
        <f>B68/(B69)</f>
        <v>121.54742509255281</v>
      </c>
    </row>
    <row r="72" spans="1:2" x14ac:dyDescent="0.3">
      <c r="A72" s="1" t="s">
        <v>60</v>
      </c>
      <c r="B72" s="2">
        <v>75</v>
      </c>
    </row>
    <row r="73" spans="1:2" x14ac:dyDescent="0.3">
      <c r="A73" s="1" t="s">
        <v>61</v>
      </c>
      <c r="B73" s="2">
        <v>8.3000000000000007</v>
      </c>
    </row>
    <row r="74" spans="1:2" x14ac:dyDescent="0.3">
      <c r="A74" s="1" t="s">
        <v>63</v>
      </c>
      <c r="B74" s="2">
        <f>ROUND((B67/B72),0)</f>
        <v>10</v>
      </c>
    </row>
    <row r="75" spans="1:2" x14ac:dyDescent="0.3">
      <c r="A75" s="1" t="s">
        <v>62</v>
      </c>
      <c r="B75" s="2">
        <v>0.7</v>
      </c>
    </row>
    <row r="76" spans="1:2" x14ac:dyDescent="0.3">
      <c r="A76" s="1" t="s">
        <v>64</v>
      </c>
      <c r="B76" s="2">
        <f>(B73*B74*C54)/B75</f>
        <v>474.28571428571433</v>
      </c>
    </row>
    <row r="77" spans="1:2" x14ac:dyDescent="0.3">
      <c r="A77" s="1" t="s">
        <v>65</v>
      </c>
      <c r="B77" s="2">
        <f>B71</f>
        <v>121.54742509255281</v>
      </c>
    </row>
    <row r="78" spans="1:2" x14ac:dyDescent="0.3">
      <c r="A78" s="1" t="s">
        <v>66</v>
      </c>
      <c r="B78" s="9">
        <f>B35-B60</f>
        <v>20.155960051789883</v>
      </c>
    </row>
    <row r="79" spans="1:2" x14ac:dyDescent="0.3">
      <c r="A79" s="1" t="s">
        <v>67</v>
      </c>
      <c r="B79" s="9">
        <f>B61-B63</f>
        <v>14.866970038842407</v>
      </c>
    </row>
    <row r="80" spans="1:2" x14ac:dyDescent="0.3">
      <c r="A80" s="1" t="s">
        <v>73</v>
      </c>
      <c r="B80" s="9">
        <f>B76/B78</f>
        <v>23.530792533179135</v>
      </c>
    </row>
    <row r="81" spans="1:2" x14ac:dyDescent="0.3">
      <c r="A81" s="1" t="s">
        <v>68</v>
      </c>
      <c r="B81" s="9">
        <f>B77/B79</f>
        <v>8.175668934220635</v>
      </c>
    </row>
    <row r="83" spans="1:2" x14ac:dyDescent="0.3">
      <c r="A83" s="1" t="s">
        <v>71</v>
      </c>
      <c r="B83" s="2">
        <v>1.5</v>
      </c>
    </row>
    <row r="84" spans="1:2" x14ac:dyDescent="0.3">
      <c r="A84" s="1" t="s">
        <v>72</v>
      </c>
      <c r="B84" s="2">
        <v>1.2</v>
      </c>
    </row>
    <row r="85" spans="1:2" x14ac:dyDescent="0.3">
      <c r="A85" s="1" t="s">
        <v>69</v>
      </c>
      <c r="B85" s="2">
        <f>(B22*B21*3.14)/B3</f>
        <v>0.16128070443754838</v>
      </c>
    </row>
    <row r="86" spans="1:2" x14ac:dyDescent="0.3">
      <c r="A86" s="1" t="s">
        <v>70</v>
      </c>
      <c r="B86" s="2">
        <f>B85*B55</f>
        <v>0.12462605147712355</v>
      </c>
    </row>
    <row r="87" spans="1:2" x14ac:dyDescent="0.3">
      <c r="A87" s="1" t="s">
        <v>74</v>
      </c>
      <c r="B87" s="9">
        <f xml:space="preserve"> 1000*(((B86/2)/(B22*B83))+B21+(B80/1000))</f>
        <v>748.65294793636463</v>
      </c>
    </row>
    <row r="88" spans="1:2" x14ac:dyDescent="0.3">
      <c r="A88" s="1" t="s">
        <v>75</v>
      </c>
      <c r="B88" s="9">
        <f xml:space="preserve"> 1000*(B21-(B81/1000)-((B86/2)/(B22*B84)))</f>
        <v>523.14429486672418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2018-06-03T23:27:08Z</dcterms:modified>
</cp:coreProperties>
</file>