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haahmed/Desktop/"/>
    </mc:Choice>
  </mc:AlternateContent>
  <xr:revisionPtr revIDLastSave="0" documentId="13_ncr:1_{8C22F7A2-FF62-004B-B602-693EB66C0F7D}" xr6:coauthVersionLast="47" xr6:coauthVersionMax="47" xr10:uidLastSave="{00000000-0000-0000-0000-000000000000}"/>
  <bookViews>
    <workbookView xWindow="28800" yWindow="0" windowWidth="38400" windowHeight="21600" xr2:uid="{00000000-000D-0000-FFFF-FFFF00000000}"/>
  </bookViews>
  <sheets>
    <sheet name="Crowdfunding" sheetId="1" r:id="rId1"/>
    <sheet name="Pivot Table 1 (Category)" sheetId="2" r:id="rId2"/>
    <sheet name="Pivot Table 2 (Sub-Category)" sheetId="3" r:id="rId3"/>
    <sheet name="Pivot Table 3 (Date Created)" sheetId="5" r:id="rId4"/>
    <sheet name="Crowdfunding Goal Analysis" sheetId="6" r:id="rId5"/>
    <sheet name="Statistical Analysis" sheetId="7" r:id="rId6"/>
  </sheets>
  <definedNames>
    <definedName name="_xlnm._FilterDatabase" localSheetId="0" hidden="1">Crowdfunding!$A$1:$T$1001</definedName>
  </definedNames>
  <calcPr calcId="191029"/>
  <pivotCaches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I7" i="7"/>
  <c r="I6" i="7"/>
  <c r="I5" i="7"/>
  <c r="I4" i="7"/>
  <c r="I3" i="7"/>
  <c r="I2" i="7"/>
  <c r="G7" i="7"/>
  <c r="G6" i="7"/>
  <c r="G5" i="7"/>
  <c r="G4" i="7"/>
  <c r="G3" i="7"/>
  <c r="G2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B13" i="6"/>
  <c r="B12" i="6"/>
  <c r="B11" i="6"/>
  <c r="B10" i="6"/>
  <c r="B9" i="6"/>
  <c r="B8" i="6"/>
  <c r="B7" i="6"/>
  <c r="B6" i="6"/>
  <c r="B5" i="6"/>
  <c r="B4" i="6"/>
  <c r="B3" i="6"/>
  <c r="C2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6" l="1"/>
  <c r="F2" i="6" s="1"/>
  <c r="E10" i="6"/>
  <c r="H10" i="6" s="1"/>
  <c r="E6" i="6"/>
  <c r="G6" i="6" s="1"/>
  <c r="E13" i="6"/>
  <c r="G13" i="6" s="1"/>
  <c r="E9" i="6"/>
  <c r="F9" i="6" s="1"/>
  <c r="E5" i="6"/>
  <c r="F5" i="6" s="1"/>
  <c r="E12" i="6"/>
  <c r="H12" i="6" s="1"/>
  <c r="E8" i="6"/>
  <c r="F8" i="6" s="1"/>
  <c r="E4" i="6"/>
  <c r="H4" i="6" s="1"/>
  <c r="E11" i="6"/>
  <c r="F11" i="6" s="1"/>
  <c r="E7" i="6"/>
  <c r="H7" i="6" s="1"/>
  <c r="E3" i="6"/>
  <c r="G3" i="6" s="1"/>
  <c r="G12" i="6" l="1"/>
  <c r="F12" i="6"/>
  <c r="F7" i="6"/>
  <c r="F4" i="6"/>
  <c r="G7" i="6"/>
  <c r="G2" i="6"/>
  <c r="G9" i="6"/>
  <c r="G4" i="6"/>
  <c r="H6" i="6"/>
  <c r="H13" i="6"/>
  <c r="H3" i="6"/>
  <c r="F10" i="6"/>
  <c r="F13" i="6"/>
  <c r="H9" i="6"/>
  <c r="G5" i="6"/>
  <c r="G8" i="6"/>
  <c r="F3" i="6"/>
  <c r="G11" i="6"/>
  <c r="F6" i="6"/>
  <c r="H2" i="6"/>
  <c r="H5" i="6"/>
  <c r="H8" i="6"/>
  <c r="H11" i="6"/>
  <c r="G10" i="6"/>
</calcChain>
</file>

<file path=xl/sharedStrings.xml><?xml version="1.0" encoding="utf-8"?>
<sst xmlns="http://schemas.openxmlformats.org/spreadsheetml/2006/main" count="9062" uniqueCount="2114">
  <si>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</si>
  <si>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</si>
  <si>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</si>
  <si>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</si>
  <si>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</si>
  <si>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</si>
  <si>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</si>
  <si>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</si>
  <si>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</si>
  <si>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</si>
  <si>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</si>
  <si>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</si>
  <si>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</si>
  <si>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</si>
  <si>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</si>
  <si>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</si>
  <si>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</si>
  <si>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</si>
  <si>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</si>
  <si>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</si>
  <si>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</si>
  <si>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</si>
  <si>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</si>
  <si>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</si>
  <si>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</si>
  <si>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</si>
  <si>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</si>
  <si>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</si>
  <si>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</si>
  <si>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</si>
  <si>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</si>
  <si>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</si>
  <si>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</si>
  <si>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</si>
  <si>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</si>
  <si>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</si>
  <si>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</si>
  <si>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</si>
  <si>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</si>
  <si>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</si>
  <si>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</si>
  <si>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</si>
  <si>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</si>
  <si>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</si>
  <si>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</si>
  <si>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</si>
  <si>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</si>
  <si>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</si>
  <si>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</si>
  <si>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</si>
  <si>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</si>
  <si>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</si>
  <si>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</si>
  <si>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</si>
  <si>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</si>
  <si>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</si>
  <si>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</si>
  <si>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</si>
  <si>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</si>
  <si>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</si>
  <si>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</si>
  <si>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</si>
  <si>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</si>
  <si>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</si>
  <si>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</si>
  <si>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</si>
  <si>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</si>
  <si>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</si>
  <si>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</si>
  <si>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</si>
  <si>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</si>
  <si>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</si>
  <si>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</si>
  <si>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</si>
  <si>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</si>
  <si>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</si>
  <si>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</si>
  <si>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</si>
  <si>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</si>
  <si>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</si>
  <si>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</si>
  <si>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</si>
  <si>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</si>
  <si>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</si>
  <si>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</si>
  <si>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</si>
  <si>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</si>
  <si>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</si>
  <si>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</si>
  <si>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</si>
  <si>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</si>
  <si>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</si>
  <si>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</si>
  <si>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</si>
  <si>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</si>
  <si>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</si>
  <si>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</si>
  <si>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</si>
  <si>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</si>
  <si>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</si>
  <si>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</si>
  <si>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</si>
  <si>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</si>
  <si>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</si>
  <si>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</si>
  <si>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</si>
  <si>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</si>
  <si>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</si>
  <si>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</si>
  <si>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</si>
  <si>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</si>
  <si>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</si>
  <si>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</si>
  <si>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</si>
  <si>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</si>
  <si>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</si>
  <si>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</si>
  <si>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</si>
  <si>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</si>
  <si>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</si>
  <si>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</si>
  <si>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</si>
  <si>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</si>
  <si>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</si>
  <si>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</si>
  <si>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</si>
  <si>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</si>
  <si>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</si>
  <si>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</si>
  <si>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</si>
  <si>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</si>
  <si>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</si>
  <si>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</si>
  <si>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</si>
  <si>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</si>
  <si>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</si>
  <si>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</si>
  <si>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</si>
  <si>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</si>
  <si>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</si>
  <si>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</si>
  <si>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</si>
  <si>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</si>
  <si>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</si>
  <si>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</si>
  <si>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</si>
  <si>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</si>
  <si>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</si>
  <si>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</si>
  <si>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</si>
  <si>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</si>
  <si>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</si>
  <si>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</si>
  <si>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</si>
  <si>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</si>
  <si>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</si>
  <si>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</si>
  <si>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</si>
  <si>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</si>
  <si>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</si>
  <si>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</si>
  <si>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</si>
  <si>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</si>
  <si>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</si>
  <si>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</si>
  <si>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</si>
  <si>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</si>
  <si>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</si>
  <si>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</si>
  <si>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</si>
  <si>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</si>
  <si>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</si>
  <si>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</si>
  <si>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</si>
  <si>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</si>
  <si>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</si>
  <si>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</si>
  <si>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</si>
  <si>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</si>
  <si>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</si>
  <si>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</si>
  <si>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</si>
  <si>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</si>
  <si>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</si>
  <si>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</si>
  <si>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</si>
  <si>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</si>
  <si>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</si>
  <si>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</si>
  <si>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</si>
  <si>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</si>
  <si>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</si>
  <si>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</si>
  <si>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</si>
  <si>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</si>
  <si>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</si>
  <si>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</si>
  <si>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</si>
  <si>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</si>
  <si>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</si>
  <si>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</si>
  <si>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</si>
  <si>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</si>
  <si>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</si>
  <si>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</si>
  <si>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</si>
  <si>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</si>
  <si>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</si>
  <si>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</si>
  <si>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</si>
  <si>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</si>
  <si>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</si>
  <si>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</si>
  <si>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</si>
  <si>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</si>
  <si>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</si>
  <si>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</si>
  <si>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</si>
  <si>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</si>
  <si>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</si>
  <si>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</si>
  <si>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</si>
  <si>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</si>
  <si>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</si>
  <si>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</si>
  <si>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</si>
  <si>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</si>
  <si>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</si>
  <si>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</si>
  <si>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</si>
  <si>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</si>
  <si>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</si>
  <si>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</si>
  <si>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</si>
  <si>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</si>
  <si>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</si>
  <si>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</si>
  <si>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</si>
  <si>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</si>
  <si>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</si>
  <si>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</si>
  <si>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</si>
  <si>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</si>
  <si>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</si>
  <si>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</si>
  <si>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</si>
  <si>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</si>
  <si>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</si>
  <si>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</si>
  <si>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</si>
  <si>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</si>
  <si>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</si>
  <si>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</si>
  <si>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</si>
  <si>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</si>
  <si>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</si>
  <si>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</si>
  <si>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</si>
  <si>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</si>
  <si>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</si>
  <si>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</si>
  <si>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</si>
  <si>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</si>
  <si>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</si>
  <si>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</si>
  <si>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</si>
  <si>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</si>
  <si>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</si>
  <si>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</si>
  <si>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</si>
  <si>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</si>
  <si>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</si>
  <si>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</si>
  <si>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</si>
  <si>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</si>
  <si>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</si>
  <si>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</si>
  <si>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</si>
  <si>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</si>
  <si>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</si>
  <si>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</si>
  <si>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</si>
  <si>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</si>
  <si>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</si>
  <si>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</si>
  <si>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</si>
  <si>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</si>
  <si>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</si>
  <si>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</si>
  <si>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</si>
  <si>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</si>
  <si>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</si>
  <si>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</si>
  <si>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</si>
  <si>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</si>
  <si>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</si>
  <si>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</si>
  <si>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</si>
  <si>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</si>
  <si>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</si>
  <si>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</si>
  <si>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</si>
  <si>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</si>
  <si>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</si>
  <si>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</si>
  <si>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</si>
  <si>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</si>
  <si>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</si>
  <si>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</si>
  <si>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</si>
  <si>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</si>
  <si>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</si>
  <si>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</si>
  <si>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</si>
  <si>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</si>
  <si>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</si>
  <si>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</si>
  <si>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</si>
  <si>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</si>
  <si>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</si>
  <si>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</si>
  <si>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</si>
  <si>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</si>
  <si>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</si>
  <si>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</si>
  <si>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</si>
  <si>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</si>
  <si>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</si>
  <si>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</si>
  <si>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</si>
  <si>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</si>
  <si>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</si>
  <si>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</si>
  <si>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</si>
  <si>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</si>
  <si>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</si>
  <si>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</si>
  <si>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</si>
  <si>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</si>
  <si>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</si>
  <si>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</si>
  <si>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</si>
  <si>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</si>
  <si>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</si>
  <si>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</si>
  <si>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</si>
  <si>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</si>
  <si>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</si>
  <si>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</si>
  <si>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</si>
  <si>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</si>
  <si>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</si>
  <si>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</si>
  <si>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</si>
  <si>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</si>
  <si>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</si>
  <si>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</si>
  <si>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</si>
  <si>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</si>
  <si>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</si>
  <si>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</si>
  <si>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</si>
  <si>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</si>
  <si>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</si>
  <si>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</si>
  <si>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</si>
  <si>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</si>
  <si>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</si>
  <si>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</si>
  <si>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</si>
  <si>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</si>
  <si>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</si>
  <si>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</si>
  <si>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</si>
  <si>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</si>
  <si>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</si>
  <si>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</si>
  <si>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</si>
  <si>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</si>
  <si>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</si>
  <si>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</si>
  <si>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</si>
  <si>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</si>
  <si>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</si>
  <si>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</si>
  <si>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</si>
  <si>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</si>
  <si>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</si>
  <si>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</si>
  <si>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</si>
  <si>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</si>
  <si>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</si>
  <si>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</si>
  <si>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</si>
  <si>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</si>
  <si>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</si>
  <si>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</si>
  <si>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</si>
  <si>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</si>
  <si>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</si>
  <si>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</si>
  <si>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</si>
  <si>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</si>
  <si>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</si>
  <si>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</si>
  <si>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</si>
  <si>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</si>
  <si>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</si>
  <si>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</si>
  <si>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</si>
  <si>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</si>
  <si>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</si>
  <si>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</si>
  <si>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</si>
  <si>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</si>
  <si>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</si>
  <si>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</si>
  <si>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</si>
  <si>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</si>
  <si>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</si>
  <si>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</si>
  <si>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</si>
  <si>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</si>
  <si>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</si>
  <si>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</si>
  <si>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</si>
  <si>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</si>
  <si>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</si>
  <si>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</si>
  <si>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</si>
  <si>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</si>
  <si>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</si>
  <si>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</si>
  <si>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</si>
  <si>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</si>
  <si>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</si>
  <si>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</si>
  <si>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</si>
  <si>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</si>
  <si>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</si>
  <si>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</si>
  <si>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</si>
  <si>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</si>
  <si>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</si>
  <si>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</si>
  <si>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</si>
  <si>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</si>
  <si>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</si>
  <si>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</si>
  <si>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</si>
  <si>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</si>
  <si>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</si>
  <si>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</si>
  <si>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</si>
  <si>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</si>
  <si>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</si>
  <si>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</si>
  <si>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</si>
  <si>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</si>
  <si>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</si>
  <si>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</si>
  <si>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</si>
  <si>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</si>
  <si>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</si>
  <si>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</si>
  <si>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</si>
  <si>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</si>
  <si>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</si>
  <si>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</si>
  <si>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</si>
  <si>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</si>
  <si>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</si>
  <si>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</si>
  <si>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</si>
  <si>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</si>
  <si>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</si>
  <si>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</si>
  <si>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</si>
  <si>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</si>
  <si>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</si>
  <si>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</si>
  <si>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</si>
  <si>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</si>
  <si>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</si>
  <si>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</si>
  <si>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</si>
  <si>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</si>
  <si>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</si>
  <si>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</si>
  <si>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</si>
  <si>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</si>
  <si>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</si>
  <si>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</si>
  <si>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</si>
  <si>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</si>
  <si>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</si>
  <si>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</si>
  <si>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</si>
  <si>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</si>
  <si>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</si>
  <si>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</si>
  <si>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</si>
  <si>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</si>
  <si>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</si>
  <si>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</si>
  <si>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</si>
  <si>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</si>
  <si>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</si>
  <si>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</si>
  <si>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</si>
  <si>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</si>
  <si>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</si>
  <si>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</si>
  <si>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</si>
  <si>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</si>
  <si>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</si>
  <si>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</si>
  <si>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</si>
  <si>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</si>
  <si>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</si>
  <si>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</si>
  <si>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</si>
  <si>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</si>
  <si>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</si>
  <si>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</si>
  <si>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</si>
  <si>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</si>
  <si>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</si>
  <si>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</si>
  <si>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</si>
  <si>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</si>
  <si>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</si>
  <si>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</si>
  <si>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</si>
  <si>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</si>
  <si>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</si>
  <si>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</si>
  <si>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</si>
  <si>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</si>
  <si>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</si>
  <si>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</si>
  <si>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</si>
  <si>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</si>
  <si>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</si>
  <si>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</si>
  <si>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</si>
  <si>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</si>
  <si>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</si>
  <si>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</si>
  <si>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</si>
  <si>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</si>
  <si>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</si>
  <si>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</si>
  <si>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</si>
  <si>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</si>
  <si>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</si>
  <si>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</si>
  <si>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</si>
  <si>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</si>
  <si>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</si>
  <si>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</si>
  <si>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</si>
  <si>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</si>
  <si>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</si>
  <si>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</si>
  <si>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</si>
  <si>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</si>
  <si>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</si>
  <si>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</si>
  <si>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</si>
  <si>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</si>
  <si>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</si>
  <si>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</si>
  <si>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</si>
  <si>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</si>
  <si>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</si>
  <si>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</si>
  <si>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</si>
  <si>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</si>
  <si>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</si>
  <si>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</si>
  <si>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</si>
  <si>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</si>
  <si>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</si>
  <si>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</si>
  <si>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</si>
  <si>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</si>
  <si>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</si>
  <si>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</si>
  <si>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</si>
  <si>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</si>
  <si>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</si>
  <si>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</si>
  <si>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</si>
  <si>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</si>
  <si>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</si>
  <si>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</si>
  <si>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</si>
  <si>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</si>
  <si>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</si>
  <si>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</si>
  <si>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</si>
  <si>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</si>
  <si>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</si>
  <si>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</si>
  <si>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</si>
  <si>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</si>
  <si>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</si>
  <si>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</si>
  <si>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</si>
  <si>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</si>
  <si>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</si>
  <si>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</si>
  <si>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</si>
  <si>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</si>
  <si>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</si>
  <si>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</si>
  <si>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</si>
  <si>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</si>
  <si>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</si>
  <si>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</si>
  <si>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</si>
  <si>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</si>
  <si>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</si>
  <si>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</si>
  <si>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</si>
  <si>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</si>
  <si>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</si>
  <si>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</si>
  <si>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</si>
  <si>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</si>
  <si>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</si>
  <si>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</si>
  <si>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</si>
  <si>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</si>
  <si>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</si>
  <si>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</si>
  <si>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</si>
  <si>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</si>
  <si>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</si>
  <si>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</si>
  <si>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</si>
  <si>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</si>
  <si>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</si>
  <si>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</si>
  <si>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</si>
  <si>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</si>
  <si>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</si>
  <si>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</si>
  <si>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</si>
  <si>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</si>
  <si>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</si>
  <si>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</si>
  <si>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</si>
  <si>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</si>
  <si>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</si>
  <si>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</si>
  <si>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</si>
  <si>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</si>
  <si>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</si>
  <si>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</si>
  <si>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</si>
  <si>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</si>
  <si>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</si>
  <si>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</si>
  <si>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</si>
  <si>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</si>
  <si>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</si>
  <si>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</si>
  <si>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</si>
  <si>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</si>
  <si>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</si>
  <si>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</si>
  <si>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</si>
  <si>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</si>
  <si>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</si>
  <si>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</si>
  <si>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</si>
  <si>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</si>
  <si>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</si>
  <si>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</si>
  <si>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</si>
  <si>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</si>
  <si>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</si>
  <si>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</si>
  <si>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</si>
  <si>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</si>
  <si>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</si>
  <si>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</si>
  <si>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</si>
  <si>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</si>
  <si>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</si>
  <si>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</si>
  <si>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</si>
  <si>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</si>
  <si>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</si>
  <si>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</si>
  <si>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</si>
  <si>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</si>
  <si>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</si>
  <si>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</si>
  <si>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</si>
  <si>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</si>
  <si>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</si>
  <si>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</si>
  <si>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</si>
  <si>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</si>
  <si>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</si>
  <si>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</si>
  <si>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</si>
  <si>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</si>
  <si>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</si>
  <si>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</si>
  <si>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</si>
  <si>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</si>
  <si>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</si>
  <si>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</si>
  <si>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</si>
  <si>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</si>
  <si>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</si>
  <si>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</si>
  <si>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</si>
  <si>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</si>
  <si>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</si>
  <si>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</si>
  <si>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</si>
  <si>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</si>
  <si>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</si>
  <si>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</si>
  <si>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</si>
  <si>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</si>
  <si>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</si>
  <si>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</si>
  <si>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</si>
  <si>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</si>
  <si>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</si>
  <si>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</si>
  <si>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</si>
  <si>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</si>
  <si>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</si>
  <si>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</si>
  <si>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</si>
  <si>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</si>
  <si>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</si>
  <si>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</si>
  <si>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</si>
  <si>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</si>
  <si>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</si>
  <si>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</si>
  <si>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</si>
  <si>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</si>
  <si>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</si>
  <si>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</si>
  <si>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</si>
  <si>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</si>
  <si>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</si>
  <si>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</si>
  <si>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</si>
  <si>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</si>
  <si>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</si>
  <si>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</si>
  <si>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</si>
  <si>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</si>
  <si>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</si>
  <si>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</si>
  <si>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</si>
  <si>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</si>
  <si>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</si>
  <si>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</si>
  <si>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</si>
  <si>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</si>
  <si>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</si>
  <si>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</si>
  <si>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</si>
  <si>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</si>
  <si>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</si>
  <si>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</si>
  <si>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</si>
  <si>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</si>
  <si>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</si>
  <si>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</si>
  <si>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</si>
  <si>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</si>
  <si>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</si>
  <si>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</si>
  <si>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</si>
  <si>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</si>
  <si>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</si>
  <si>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</si>
  <si>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</si>
  <si>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</si>
  <si>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</si>
  <si>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</si>
  <si>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</si>
  <si>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</si>
  <si>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</si>
  <si>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</si>
  <si>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</si>
  <si>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</si>
  <si>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</si>
  <si>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</si>
  <si>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</si>
  <si>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</si>
  <si>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</si>
  <si>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</si>
  <si>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</si>
  <si>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</si>
  <si>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</si>
  <si>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</si>
  <si>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</si>
  <si>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</si>
  <si>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</si>
  <si>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</si>
  <si>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</si>
  <si>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</si>
  <si>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</si>
  <si>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</si>
  <si>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</si>
  <si>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</si>
  <si>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</si>
  <si>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</si>
  <si>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</si>
  <si>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</si>
  <si>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</si>
  <si>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</si>
  <si>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</si>
  <si>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</si>
  <si>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</si>
  <si>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</si>
  <si>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</si>
  <si>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</si>
  <si>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</si>
  <si>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</si>
  <si>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</si>
  <si>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</si>
  <si>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</si>
  <si>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</si>
  <si>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</si>
  <si>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</si>
  <si>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</si>
  <si>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</si>
  <si>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</si>
  <si>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</si>
  <si>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</si>
  <si>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</si>
  <si>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</si>
  <si>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</si>
  <si>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</si>
  <si>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</si>
  <si>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</si>
  <si>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</si>
  <si>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</si>
  <si>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</si>
  <si>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</si>
  <si>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</si>
  <si>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</si>
  <si>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</si>
  <si>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</si>
  <si>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</si>
  <si>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</si>
  <si>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</si>
  <si>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</si>
  <si>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</si>
  <si>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</si>
  <si>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</si>
  <si>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</si>
  <si>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</si>
  <si>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</si>
  <si>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</si>
  <si>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</si>
  <si>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</si>
  <si>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</si>
  <si>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</si>
  <si>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</si>
  <si>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</si>
  <si>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</si>
  <si>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</si>
  <si>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</si>
  <si>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</si>
  <si>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</si>
  <si>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</si>
  <si>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</si>
  <si>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</si>
  <si>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</si>
  <si>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</si>
  <si>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</si>
  <si>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</si>
  <si>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</si>
  <si>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</si>
  <si>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</si>
  <si>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</si>
  <si>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</si>
  <si>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</si>
  <si>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</si>
  <si>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</si>
  <si>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</si>
  <si>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</si>
  <si>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</si>
  <si>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</si>
  <si>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</si>
  <si>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</si>
  <si>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</si>
  <si>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</si>
  <si>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</si>
  <si>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</si>
  <si>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</si>
  <si>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</si>
  <si>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</si>
  <si>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</si>
  <si>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</si>
  <si>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</si>
  <si>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</si>
  <si>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</si>
  <si>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</si>
  <si>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</si>
  <si>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</si>
  <si>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</si>
  <si>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</si>
  <si>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</si>
  <si>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</si>
  <si>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</si>
  <si>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</si>
  <si>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</si>
  <si>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</si>
  <si>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</si>
  <si>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</si>
  <si>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</si>
  <si>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</si>
  <si>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</si>
  <si>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</si>
  <si>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</si>
  <si>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</si>
  <si>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</si>
  <si>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</si>
  <si>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</si>
  <si>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</si>
  <si>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</si>
  <si>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</si>
  <si>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</si>
  <si>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</si>
  <si>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</si>
  <si>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</si>
  <si>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</si>
  <si>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</si>
  <si>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</si>
  <si>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</si>
  <si>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</si>
  <si>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</si>
  <si>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</si>
  <si>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</si>
  <si>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</si>
  <si>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</si>
  <si>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</si>
  <si>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</si>
  <si>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</si>
  <si>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</si>
  <si>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</si>
  <si>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</si>
  <si>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</si>
  <si>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</si>
  <si>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</si>
  <si>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</si>
  <si>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</si>
  <si>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</si>
  <si>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</si>
  <si>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</si>
  <si>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</si>
  <si>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</si>
  <si>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</si>
  <si>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</si>
  <si>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</si>
  <si>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</si>
  <si>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</si>
  <si>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</si>
  <si>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</si>
  <si>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</si>
  <si>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</si>
  <si>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</si>
  <si>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</si>
  <si>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</si>
  <si>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</si>
  <si>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</si>
  <si>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</si>
  <si>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</si>
  <si>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</si>
  <si>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</si>
  <si>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</si>
  <si>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</si>
  <si>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</si>
  <si>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</si>
  <si>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</si>
  <si>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</si>
  <si>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</si>
  <si>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</si>
  <si>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</si>
  <si>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</si>
  <si>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</si>
  <si>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</si>
  <si>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</si>
  <si>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</si>
  <si>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</si>
  <si>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</si>
  <si>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</si>
  <si>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</si>
  <si>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</si>
  <si>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</si>
  <si>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</si>
  <si>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</si>
  <si>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</si>
  <si>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</si>
  <si>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</si>
  <si>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</si>
  <si>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</si>
  <si>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</si>
  <si>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</si>
  <si>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</si>
  <si>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</si>
  <si>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</si>
  <si>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</si>
  <si>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</si>
  <si>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</si>
  <si>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</si>
  <si>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</si>
  <si>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</si>
  <si>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</si>
  <si>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</si>
  <si>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</si>
  <si>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</si>
  <si>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</si>
  <si>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</si>
  <si>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</si>
  <si>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</si>
  <si>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</si>
  <si>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</si>
  <si>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</si>
  <si>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</si>
  <si>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</si>
  <si>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</si>
  <si>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</si>
  <si>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</si>
  <si>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</si>
  <si>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</si>
  <si>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</si>
  <si>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</si>
  <si>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</si>
  <si>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</si>
  <si>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</si>
  <si>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</si>
  <si>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</si>
  <si>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</si>
  <si>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</si>
  <si>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</si>
  <si>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</si>
  <si>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</si>
  <si>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</si>
  <si>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</si>
  <si>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</si>
  <si>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</si>
  <si>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</si>
  <si>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</si>
  <si>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</si>
  <si>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</si>
  <si>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</si>
  <si>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</si>
  <si>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</si>
  <si>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</si>
  <si>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</si>
  <si>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</si>
  <si>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</si>
  <si>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</si>
  <si>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</si>
  <si>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</si>
  <si>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</si>
  <si>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</si>
  <si>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</si>
  <si>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</si>
  <si>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</si>
  <si>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</si>
  <si>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</si>
  <si>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</si>
  <si>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</si>
  <si>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</si>
  <si>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</si>
  <si>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</si>
  <si>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</si>
  <si>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</si>
  <si>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</si>
  <si>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</si>
  <si>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</si>
  <si>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</si>
  <si>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</si>
  <si>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</si>
  <si>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</si>
  <si>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</si>
  <si>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</si>
  <si>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</si>
  <si>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</si>
  <si>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</si>
  <si>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</si>
  <si>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</si>
  <si>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</si>
  <si>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</si>
  <si>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</si>
  <si>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</si>
  <si>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</si>
  <si>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</si>
  <si>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</si>
  <si>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</si>
  <si>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</si>
  <si>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</si>
  <si>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</si>
  <si>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</si>
  <si>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</si>
  <si>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</si>
  <si>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</si>
  <si>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</si>
  <si>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</si>
  <si>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</si>
  <si>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</si>
  <si>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</si>
  <si>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</si>
  <si>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</si>
  <si>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</si>
  <si>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</si>
  <si>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</si>
  <si>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</si>
  <si>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</si>
  <si>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</si>
  <si>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</si>
  <si>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</si>
  <si>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</si>
  <si>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</si>
  <si>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</si>
  <si>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</si>
  <si>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</si>
  <si>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</si>
  <si>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</si>
  <si>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</si>
  <si>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</si>
  <si>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</si>
  <si>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</si>
  <si>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</si>
  <si>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</si>
  <si>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</si>
  <si>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</si>
  <si>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</si>
  <si>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</si>
  <si>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</si>
  <si>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</si>
  <si>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</si>
  <si>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</si>
  <si>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</si>
  <si>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</si>
  <si>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</si>
  <si>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</si>
  <si>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</si>
  <si>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</si>
  <si>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</si>
  <si>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</si>
  <si>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</si>
  <si>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</si>
  <si>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</si>
  <si>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</si>
  <si>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</si>
  <si>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</si>
  <si>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</si>
  <si>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</si>
  <si>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</si>
  <si>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</si>
  <si>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</si>
  <si>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</si>
  <si>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</si>
  <si>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</si>
  <si>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</si>
  <si>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</si>
  <si>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</si>
  <si>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</si>
  <si>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</si>
  <si>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</si>
  <si>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</si>
  <si>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</si>
  <si>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</si>
  <si>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</si>
  <si>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</si>
  <si>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</si>
  <si>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</si>
  <si>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</si>
  <si>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</si>
  <si>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</si>
  <si>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</si>
  <si>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</si>
  <si>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</si>
  <si>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</si>
  <si>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</si>
  <si>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</si>
  <si>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</si>
  <si>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</si>
  <si>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</si>
  <si>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</si>
  <si>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</si>
  <si>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</si>
  <si>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</si>
  <si>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</si>
  <si>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</si>
  <si>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</si>
  <si>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</si>
  <si>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</si>
  <si>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</si>
  <si>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</si>
  <si>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</si>
  <si>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</si>
  <si>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</si>
  <si>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</si>
  <si>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</si>
  <si>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</si>
  <si>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</si>
  <si>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</si>
  <si>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</si>
  <si>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</si>
  <si>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</si>
  <si>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</si>
  <si>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</si>
  <si>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</si>
  <si>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</si>
  <si>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</si>
  <si>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</si>
  <si>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</si>
  <si>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</si>
  <si>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</si>
  <si>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</si>
  <si>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</si>
  <si>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</si>
  <si>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</si>
  <si>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</si>
  <si>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</si>
  <si>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</si>
  <si>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</si>
  <si>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</si>
  <si>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</si>
  <si>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</si>
  <si>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</si>
  <si>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</si>
  <si>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</si>
  <si>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</si>
  <si>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</si>
  <si>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</si>
  <si>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</si>
  <si>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</si>
  <si>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</si>
  <si>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</si>
  <si>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</si>
  <si>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</si>
  <si>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</si>
  <si>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</si>
  <si>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</si>
  <si>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</si>
  <si>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</si>
  <si>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</si>
  <si>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</si>
  <si>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</si>
  <si>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</si>
  <si>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</si>
  <si>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</si>
  <si>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</si>
  <si>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</si>
  <si>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</si>
  <si>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</si>
  <si>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</si>
  <si>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</si>
  <si>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</si>
  <si>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</si>
  <si>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</si>
  <si>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</si>
  <si>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</si>
  <si>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</si>
  <si>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</si>
  <si>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</si>
  <si>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</si>
  <si>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</si>
  <si>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</si>
  <si>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</si>
  <si>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</si>
  <si>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</si>
  <si>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</si>
  <si>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</si>
  <si>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</si>
  <si>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</si>
  <si>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</si>
  <si>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</si>
  <si>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</si>
  <si>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</si>
  <si>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</si>
  <si>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</si>
  <si>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</si>
  <si>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</si>
  <si>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</si>
  <si>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</si>
  <si>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</si>
  <si>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</si>
  <si>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</si>
  <si>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</si>
  <si>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</si>
  <si>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</si>
  <si>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</si>
  <si>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</si>
  <si>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</si>
  <si>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</si>
  <si>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</si>
  <si>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</si>
  <si>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</si>
  <si>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</si>
  <si>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</si>
  <si>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</si>
  <si>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</si>
  <si>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</si>
  <si>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</si>
  <si>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</si>
  <si>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</si>
  <si>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</si>
  <si>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</si>
  <si>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</si>
  <si>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</si>
  <si>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</si>
  <si>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</si>
  <si>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</si>
  <si>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</si>
  <si>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</si>
  <si>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</si>
  <si>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</si>
  <si>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</si>
  <si>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</si>
  <si>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</si>
  <si>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</si>
  <si>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</si>
  <si>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</si>
  <si>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</si>
  <si>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</si>
  <si>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</si>
  <si>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</si>
  <si>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</si>
  <si>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</si>
  <si>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</si>
  <si>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</si>
  <si>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</si>
  <si>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</si>
  <si>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</si>
  <si>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</si>
  <si>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</si>
  <si>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</si>
  <si>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</si>
  <si>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</si>
  <si>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</si>
  <si>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</si>
  <si>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</si>
  <si>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</si>
  <si>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</si>
  <si>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</si>
  <si>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</si>
  <si>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</si>
  <si>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</si>
  <si>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</si>
  <si>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</si>
  <si>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</si>
  <si>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</si>
  <si>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</si>
  <si>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</si>
  <si>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</si>
  <si>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</si>
  <si>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</si>
  <si>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</si>
  <si>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</si>
  <si>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</si>
  <si>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</si>
  <si>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</si>
  <si>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</si>
  <si>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</si>
  <si>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</si>
  <si>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</si>
  <si>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</si>
  <si>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</si>
  <si>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</si>
  <si>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</si>
  <si>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</si>
  <si>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</si>
  <si>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</si>
  <si>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</si>
  <si>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</si>
  <si>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</si>
  <si>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</si>
  <si>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</si>
  <si>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</si>
  <si>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</si>
  <si>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</si>
  <si>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</si>
  <si>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</si>
  <si>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</si>
  <si>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</si>
  <si>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</si>
  <si>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</si>
  <si>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</si>
  <si>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</si>
  <si>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</si>
  <si>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</si>
  <si>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</si>
  <si>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</si>
  <si>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</si>
  <si>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</si>
  <si>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</si>
  <si>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</si>
  <si>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</si>
  <si>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</si>
  <si>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</si>
  <si>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</si>
  <si>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</si>
  <si>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</si>
  <si>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</si>
  <si>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</si>
  <si>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</si>
  <si>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</si>
  <si>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</si>
  <si>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</si>
  <si>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</si>
  <si>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</si>
  <si>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</si>
  <si>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</si>
  <si>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</si>
  <si>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</si>
  <si>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</si>
  <si>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</si>
  <si>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</si>
  <si>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</si>
  <si>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</si>
  <si>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</si>
  <si>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</si>
  <si>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</si>
  <si>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</si>
  <si>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</si>
  <si>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</si>
  <si>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</si>
  <si>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</si>
  <si>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</si>
  <si>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</si>
  <si>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</si>
  <si>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</si>
  <si>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</si>
  <si>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</si>
  <si>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</si>
  <si>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</si>
  <si>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</si>
  <si>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</si>
  <si>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</si>
  <si>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</si>
  <si>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</si>
  <si>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</si>
  <si>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</si>
  <si>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</si>
  <si>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</si>
  <si>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</si>
  <si>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</si>
  <si>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</si>
  <si>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</si>
  <si>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</si>
  <si>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</si>
  <si>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</si>
  <si>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</si>
  <si>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</si>
  <si>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</si>
  <si>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</si>
  <si>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</si>
  <si>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</si>
  <si>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</si>
  <si>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</si>
  <si>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</si>
  <si>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</si>
  <si>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</si>
  <si>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</si>
  <si>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</si>
  <si>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</si>
  <si>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</si>
  <si>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</si>
  <si>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</si>
  <si>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</si>
  <si>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</si>
  <si>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</si>
  <si>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</si>
  <si>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</si>
  <si>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</si>
  <si>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</si>
  <si>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</si>
  <si>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</si>
  <si>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</si>
  <si>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</si>
  <si>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</si>
  <si>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</si>
  <si>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</si>
  <si>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</si>
  <si>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</si>
  <si>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</si>
  <si>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</si>
  <si>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</si>
  <si>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</si>
  <si>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</si>
  <si>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</si>
  <si>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</si>
  <si>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</si>
  <si>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</si>
  <si>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</si>
  <si>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</si>
  <si>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</si>
  <si>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</si>
  <si>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</si>
  <si>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</si>
  <si>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</si>
  <si>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</si>
  <si>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</si>
  <si>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</si>
  <si>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</si>
  <si>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</si>
  <si>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</si>
  <si>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</si>
  <si>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</si>
  <si>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</si>
  <si>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</si>
  <si>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</si>
  <si>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</si>
  <si>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</si>
  <si>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</si>
  <si>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</si>
  <si>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</si>
  <si>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</si>
  <si>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</si>
  <si>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</si>
  <si>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</si>
  <si>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</si>
  <si>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</si>
  <si>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</si>
  <si>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</si>
  <si>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</si>
  <si>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</si>
  <si>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</si>
  <si>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</si>
  <si>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</si>
  <si>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</si>
  <si>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</si>
  <si>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</si>
  <si>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</si>
  <si>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</si>
  <si>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</si>
  <si>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</si>
  <si>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</si>
  <si>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</si>
  <si>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</si>
  <si>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</si>
  <si>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</si>
  <si>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</si>
  <si>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</si>
  <si>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</si>
  <si>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</si>
  <si>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</si>
  <si>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</si>
  <si>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</si>
  <si>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</si>
  <si>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</si>
  <si>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</si>
  <si>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</si>
  <si>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</si>
  <si>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</si>
  <si>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</si>
  <si>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</si>
  <si>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</si>
  <si>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</si>
  <si>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</si>
  <si>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</si>
  <si>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</si>
  <si>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</si>
  <si>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</si>
  <si>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</si>
  <si>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</si>
  <si>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</si>
  <si>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</si>
  <si>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</si>
  <si>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</si>
  <si>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</si>
  <si>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</si>
  <si>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</si>
  <si>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</si>
  <si>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</si>
  <si>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</si>
  <si>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</si>
  <si>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</si>
  <si>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</si>
  <si>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</si>
  <si>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</si>
  <si>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</si>
  <si>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</si>
  <si>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</si>
  <si>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</si>
  <si>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</si>
  <si>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</si>
  <si>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</si>
  <si>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</si>
  <si>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</si>
  <si>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</si>
  <si>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</si>
  <si>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</si>
  <si>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</si>
  <si>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</si>
  <si>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</si>
  <si>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</si>
  <si>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</si>
  <si>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</si>
  <si>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</si>
  <si>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</si>
  <si>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</si>
  <si>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</si>
  <si>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</si>
  <si>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</si>
  <si>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</si>
  <si>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</si>
  <si>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</si>
  <si>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</si>
  <si>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</si>
  <si>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</si>
  <si>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</si>
  <si>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</si>
  <si>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</si>
  <si>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</si>
  <si>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</si>
  <si>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</si>
  <si>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</si>
  <si>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</si>
  <si>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</si>
  <si>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</si>
  <si>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</si>
  <si>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</si>
  <si>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</si>
  <si>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</si>
  <si>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</si>
  <si>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</si>
  <si>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</si>
  <si>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</si>
  <si>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</si>
  <si>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</si>
  <si>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</si>
  <si>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</si>
  <si>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</si>
  <si>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</si>
  <si>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</si>
  <si>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</si>
  <si>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</si>
  <si>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</si>
  <si>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</si>
  <si>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</si>
  <si>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</si>
  <si>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</si>
  <si>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</si>
  <si>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</si>
  <si>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</si>
  <si>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</si>
  <si>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</si>
  <si>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</si>
  <si>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</si>
  <si>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</si>
  <si>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</si>
  <si>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</si>
  <si>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</si>
  <si>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</si>
  <si>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</si>
  <si>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</si>
  <si>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</si>
  <si>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</si>
  <si>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</si>
  <si>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</si>
  <si>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</si>
  <si>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</si>
  <si>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</si>
  <si>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</si>
  <si>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</si>
  <si>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</si>
  <si>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</si>
  <si>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</si>
  <si>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</si>
  <si>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</si>
  <si>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</si>
  <si>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</si>
  <si>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</si>
  <si>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</si>
  <si>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</si>
  <si>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</si>
  <si>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</si>
  <si>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</si>
  <si>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</si>
  <si>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</si>
  <si>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</si>
  <si>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</si>
  <si>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</si>
  <si>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</si>
  <si>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</si>
  <si>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</si>
  <si>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</si>
  <si>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</si>
  <si>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</si>
  <si>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</si>
  <si>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</si>
  <si>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</si>
  <si>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</si>
  <si>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</si>
  <si>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</si>
  <si>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</si>
  <si>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</si>
  <si>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</si>
  <si>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</si>
  <si>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</si>
  <si>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</si>
  <si>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</si>
  <si>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</si>
  <si>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</si>
  <si>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</si>
  <si>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</si>
  <si>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</si>
  <si>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</si>
  <si>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</si>
  <si>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</si>
  <si>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</si>
  <si>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</si>
  <si>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</si>
  <si>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</si>
  <si>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</si>
  <si>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</si>
  <si>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</si>
  <si>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</si>
  <si>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</si>
  <si>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</si>
  <si>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</si>
  <si>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</si>
  <si>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</si>
  <si>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</si>
  <si>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</si>
  <si>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</si>
  <si>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</si>
  <si>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</si>
  <si>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</si>
  <si>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</si>
  <si>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</si>
  <si>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</si>
  <si>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</si>
  <si>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</si>
  <si>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</si>
  <si>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</si>
  <si>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</si>
  <si>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</si>
  <si>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</si>
  <si>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</si>
  <si>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</si>
  <si>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</si>
  <si>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</si>
  <si>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</si>
  <si>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</si>
  <si>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</si>
  <si>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</si>
  <si>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</si>
  <si>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</si>
  <si>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</si>
  <si>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</si>
  <si>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</si>
  <si>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</si>
  <si>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</si>
  <si>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</si>
  <si>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</si>
  <si>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</si>
  <si>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</si>
  <si>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</si>
  <si>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</si>
  <si>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</si>
  <si>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</si>
  <si>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</si>
  <si>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</si>
  <si>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</si>
  <si>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</si>
  <si>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</si>
  <si>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</si>
  <si>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</si>
  <si>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</si>
  <si>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</si>
  <si>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</si>
  <si>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</si>
  <si>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</si>
  <si>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</si>
  <si>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</si>
  <si>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</si>
  <si>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</si>
  <si>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</si>
  <si>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</si>
  <si>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</si>
  <si>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</si>
  <si>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</si>
  <si>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</si>
  <si>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</si>
  <si>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</si>
  <si>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</si>
  <si>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</si>
  <si>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</si>
  <si>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</si>
  <si>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</si>
  <si>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</si>
  <si>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</si>
  <si>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</si>
  <si>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</si>
  <si>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</si>
  <si>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</si>
  <si>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</si>
  <si>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</si>
  <si>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</si>
  <si>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</si>
  <si>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</si>
  <si>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</si>
  <si>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</si>
  <si>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</si>
  <si>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</si>
  <si>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</si>
  <si>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</si>
  <si>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</si>
  <si>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</si>
  <si>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</si>
  <si>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</si>
  <si>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</si>
  <si>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</si>
  <si>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</si>
  <si>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</si>
  <si>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</si>
  <si>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</si>
  <si>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</si>
  <si>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</si>
  <si>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</si>
  <si>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</si>
  <si>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</si>
  <si>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</si>
  <si>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</si>
  <si>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</si>
  <si>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</si>
  <si>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</si>
  <si>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</si>
  <si>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</si>
  <si>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</si>
  <si>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</si>
  <si>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</si>
  <si>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</si>
  <si>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</si>
  <si>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</si>
  <si>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</si>
  <si>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</si>
  <si>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</si>
  <si>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</si>
  <si>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</si>
  <si>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</si>
  <si>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</si>
  <si>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</si>
  <si>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</si>
  <si>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</si>
  <si>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</si>
  <si>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</si>
  <si>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</si>
  <si>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</si>
  <si>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</si>
  <si>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</si>
  <si>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</si>
  <si>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</si>
  <si>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</si>
  <si>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</si>
  <si>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</si>
  <si>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</si>
  <si>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</si>
  <si>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</si>
  <si>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</si>
  <si>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</si>
  <si>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</si>
  <si>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</si>
  <si>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</si>
  <si>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</si>
  <si>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</si>
  <si>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</si>
  <si>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</si>
  <si>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</si>
  <si>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</si>
  <si>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</si>
  <si>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</si>
  <si>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</si>
  <si>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</si>
  <si>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</si>
  <si>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</si>
  <si>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</si>
  <si>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</si>
  <si>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</si>
  <si>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</si>
  <si>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</si>
  <si>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</si>
  <si>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</si>
  <si>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</si>
  <si>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</si>
  <si>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</si>
  <si>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</si>
  <si>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</si>
  <si>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</si>
  <si>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</si>
  <si>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</si>
  <si>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</si>
  <si>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</si>
  <si>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</si>
  <si>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</si>
  <si>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</si>
  <si>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</si>
  <si>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</si>
  <si>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</si>
  <si>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</si>
  <si>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</si>
  <si>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</si>
  <si>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</si>
  <si>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</si>
  <si>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</si>
  <si>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</si>
  <si>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</si>
  <si>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</si>
  <si>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</si>
  <si>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</si>
  <si>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</si>
  <si>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</si>
  <si>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</si>
  <si>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</si>
  <si>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</si>
  <si>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</si>
  <si>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</si>
  <si>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</si>
  <si>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</si>
  <si>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</si>
  <si>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</si>
  <si>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</si>
  <si>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</si>
  <si>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</si>
  <si>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</si>
  <si>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</si>
  <si>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</si>
  <si>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</si>
  <si>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</si>
  <si>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</si>
  <si>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</si>
  <si>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</si>
  <si>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</si>
  <si>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</si>
  <si>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</si>
  <si>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</si>
  <si>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</si>
  <si>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</si>
  <si>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</si>
  <si>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</si>
  <si>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</si>
  <si>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</si>
  <si>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</si>
  <si>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</si>
  <si>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</si>
  <si>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</si>
  <si>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</si>
  <si>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</si>
  <si>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</si>
  <si>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</si>
  <si>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</si>
  <si>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</si>
  <si>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</si>
  <si>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</si>
  <si>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</si>
  <si>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</si>
  <si>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</si>
  <si>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</si>
  <si>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</si>
  <si>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</si>
  <si>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</si>
  <si>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</si>
  <si>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</si>
  <si>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</si>
  <si>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</si>
  <si>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</si>
  <si>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</si>
  <si>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</si>
  <si>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</si>
  <si>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</si>
  <si>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</si>
  <si>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</si>
  <si>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</si>
  <si>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</si>
  <si>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</si>
  <si>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</si>
  <si>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</si>
  <si>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</si>
  <si>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</si>
  <si>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</si>
  <si>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</si>
  <si>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</si>
  <si>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</si>
  <si>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</si>
  <si>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</si>
  <si>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</si>
  <si>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</si>
  <si>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</si>
  <si>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</si>
  <si>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</si>
  <si>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</si>
  <si>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</si>
  <si>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</si>
  <si>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</si>
  <si>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</si>
  <si>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</si>
  <si>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</si>
  <si>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</si>
  <si>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</si>
  <si>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</si>
  <si>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</si>
  <si>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</si>
  <si>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</si>
  <si>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</si>
  <si>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</si>
  <si>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</si>
  <si>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</si>
  <si>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</si>
  <si>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</si>
  <si>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</si>
  <si>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</si>
  <si>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</si>
  <si>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</si>
  <si>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</si>
  <si>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</si>
  <si>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</si>
  <si>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</si>
  <si>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</si>
  <si>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</si>
  <si>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</si>
  <si>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</si>
  <si>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</si>
  <si>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</si>
  <si>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</si>
  <si>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</si>
  <si>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</si>
  <si>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</si>
  <si>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</si>
  <si>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</si>
  <si>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</si>
  <si>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</si>
  <si>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</si>
  <si>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</si>
  <si>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</si>
  <si>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</si>
  <si>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</si>
  <si>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</si>
  <si>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</si>
  <si>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</si>
  <si>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</si>
  <si>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</si>
  <si>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</si>
  <si>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</si>
  <si>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</si>
  <si>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</si>
  <si>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</si>
  <si>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</si>
  <si>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</si>
  <si>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</si>
  <si>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</si>
  <si>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</si>
  <si>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</si>
  <si>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</si>
  <si>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</si>
  <si>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</si>
  <si>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</si>
  <si>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</si>
  <si>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</si>
  <si>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</si>
  <si>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</si>
  <si>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</si>
  <si>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</si>
  <si>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</si>
  <si>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</si>
  <si>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</si>
  <si>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</si>
  <si>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</si>
  <si>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</si>
  <si>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</si>
  <si>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</si>
  <si>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</si>
  <si>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</si>
  <si>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</si>
  <si>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</si>
  <si>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</si>
  <si>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</si>
  <si>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</si>
  <si>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</si>
  <si>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</si>
  <si>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</si>
  <si>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</si>
  <si>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</si>
  <si>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</si>
  <si>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</si>
  <si>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</si>
  <si>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</si>
  <si>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</si>
  <si>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</si>
  <si>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</si>
  <si>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</si>
  <si>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</si>
  <si>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</si>
  <si>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</si>
  <si>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</si>
  <si>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</si>
  <si>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</si>
  <si>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</si>
  <si>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</si>
  <si>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Backers for Successful Campaigns</t>
  </si>
  <si>
    <t>Backers for 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</si>
</sst>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1" fontId="0" fillId="0" borderId="0" xfId="42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0" applyNumberFormat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 (Category)!PivotTable8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 (Category)'!$B$4:$B$5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 (Category)'!$A$6:$A$15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(Category)'!$B$6:$B$15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4-8048-BAF9-CC9B46FFB72A}"/>
            </c:ext>
          </c:extLst>
        </c:ser>
        <c:ser>
          <c:idx val="1"/>
          <c:order val="1"/>
          <c:tx>
            <c:strRef>
              <c:f>'Pivot Table 1 (Category)'!$C$4:$C$5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1 (Category)'!$A$6:$A$15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(Category)'!$C$6:$C$15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44-8048-BAF9-CC9B46FFB72A}"/>
            </c:ext>
          </c:extLst>
        </c:ser>
        <c:ser>
          <c:idx val="2"/>
          <c:order val="2"/>
          <c:tx>
            <c:strRef>
              <c:f>'Pivot Table 1 (Category)'!$D$4:$D$5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 (Category)'!$A$6:$A$15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(Category)'!$D$6:$D$15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44-8048-BAF9-CC9B46FFB72A}"/>
            </c:ext>
          </c:extLst>
        </c:ser>
        <c:ser>
          <c:idx val="3"/>
          <c:order val="3"/>
          <c:tx>
            <c:strRef>
              <c:f>'Pivot Table 1 (Category)'!$E$4:$E$5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1 (Category)'!$A$6:$A$15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(Category)'!$E$6:$E$15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44-8048-BAF9-CC9B46FFB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1326736"/>
        <c:axId val="781246864"/>
      </c:barChart>
      <c:catAx>
        <c:axId val="78132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46864"/>
        <c:crosses val="autoZero"/>
        <c:auto val="1"/>
        <c:lblAlgn val="ctr"/>
        <c:lblOffset val="100"/>
        <c:noMultiLvlLbl val="0"/>
      </c:catAx>
      <c:valAx>
        <c:axId val="7812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3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 (Sub-Category)!PivotTable9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Outcomes by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 (Sub-Category)'!$B$4:$B$5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 (Sub-Category)'!$A$6:$A$30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 (Sub-Category)'!$B$6:$B$30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C-5344-BCD1-A7EC23FB68AF}"/>
            </c:ext>
          </c:extLst>
        </c:ser>
        <c:ser>
          <c:idx val="1"/>
          <c:order val="1"/>
          <c:tx>
            <c:strRef>
              <c:f>'Pivot Table 2 (Sub-Category)'!$C$4:$C$5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 2 (Sub-Category)'!$A$6:$A$30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 (Sub-Category)'!$C$6:$C$30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C-5344-BCD1-A7EC23FB68AF}"/>
            </c:ext>
          </c:extLst>
        </c:ser>
        <c:ser>
          <c:idx val="2"/>
          <c:order val="2"/>
          <c:tx>
            <c:strRef>
              <c:f>'Pivot Table 2 (Sub-Category)'!$D$4:$D$5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 (Sub-Category)'!$A$6:$A$30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 (Sub-Category)'!$D$6:$D$30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C-5344-BCD1-A7EC23FB68AF}"/>
            </c:ext>
          </c:extLst>
        </c:ser>
        <c:ser>
          <c:idx val="3"/>
          <c:order val="3"/>
          <c:tx>
            <c:strRef>
              <c:f>'Pivot Table 2 (Sub-Category)'!$E$4:$E$5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2 (Sub-Category)'!$A$6:$A$30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 (Sub-Category)'!$E$6:$E$30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4C-5344-BCD1-A7EC23FB6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1648192"/>
        <c:axId val="830737232"/>
      </c:barChart>
      <c:catAx>
        <c:axId val="84164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37232"/>
        <c:crosses val="autoZero"/>
        <c:auto val="1"/>
        <c:lblAlgn val="ctr"/>
        <c:lblOffset val="100"/>
        <c:noMultiLvlLbl val="0"/>
      </c:catAx>
      <c:valAx>
        <c:axId val="8307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 (Date Created)!PivotTable11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Outcomes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 (Date Created)'!$B$4:$B$5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'Pivot Table 3 (Date Created)'!$A$6:$A$18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 (Date Created)'!$B$6:$B$18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0-2344-98D6-77DBD5AE88FA}"/>
            </c:ext>
          </c:extLst>
        </c:ser>
        <c:ser>
          <c:idx val="1"/>
          <c:order val="1"/>
          <c:tx>
            <c:strRef>
              <c:f>'Pivot Table 3 (Date Created)'!$C$4:$C$5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 (Date Created)'!$A$6:$A$18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 (Date Created)'!$C$6:$C$18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0-2344-98D6-77DBD5AE88FA}"/>
            </c:ext>
          </c:extLst>
        </c:ser>
        <c:ser>
          <c:idx val="2"/>
          <c:order val="2"/>
          <c:tx>
            <c:strRef>
              <c:f>'Pivot Table 3 (Date Created)'!$D$4:$D$5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'Pivot Table 3 (Date Created)'!$A$6:$A$18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 (Date Created)'!$D$6:$D$18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0-2344-98D6-77DBD5AE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491264"/>
        <c:axId val="846398960"/>
      </c:lineChart>
      <c:catAx>
        <c:axId val="78149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98960"/>
        <c:crosses val="autoZero"/>
        <c:auto val="1"/>
        <c:lblAlgn val="ctr"/>
        <c:lblOffset val="100"/>
        <c:noMultiLvlLbl val="0"/>
      </c:catAx>
      <c:valAx>
        <c:axId val="8463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A-A24E-B92D-53313DCF4857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A-A24E-B92D-53313DCF4857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A-A24E-B92D-53313DCF4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902671"/>
        <c:axId val="875444159"/>
      </c:lineChart>
      <c:catAx>
        <c:axId val="87490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44159"/>
        <c:crosses val="autoZero"/>
        <c:auto val="1"/>
        <c:lblAlgn val="ctr"/>
        <c:lblOffset val="100"/>
        <c:noMultiLvlLbl val="0"/>
      </c:catAx>
      <c:valAx>
        <c:axId val="8754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0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219363</xdr:colOff>
      <xdr:row>9</xdr:row>
      <xdr:rowOff>103909</xdr:rowOff>
    </xdr:from>
    <xdr:to>
      <xdr:col>18</xdr:col>
      <xdr:colOff>127000</xdr:colOff>
      <xdr:row>31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FF999-A80D-3EA3-3F9E-D09EF2891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9</xdr:row>
      <xdr:rowOff>165100</xdr:rowOff>
    </xdr:from>
    <xdr:to>
      <xdr:col>18</xdr:col>
      <xdr:colOff>774700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DF020-868B-47C0-27A2-7ECA61ED0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67733</xdr:colOff>
      <xdr:row>3</xdr:row>
      <xdr:rowOff>76200</xdr:rowOff>
    </xdr:from>
    <xdr:to>
      <xdr:col>13</xdr:col>
      <xdr:colOff>215900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D3EC0-D8E9-16B8-81F3-3BB7AB688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994833</xdr:colOff>
      <xdr:row>15</xdr:row>
      <xdr:rowOff>105834</xdr:rowOff>
    </xdr:from>
    <xdr:to>
      <xdr:col>9</xdr:col>
      <xdr:colOff>592666</xdr:colOff>
      <xdr:row>36</xdr:row>
      <xdr:rowOff>186268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0154F-581D-8385-181D-CD7E6EBB4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47.733396643518" createdVersion="8" refreshedVersion="8" minRefreshableVersion="3" recordCount="1000" xr:uid="{6C90FCCD-5F22-D54F-AE2C-BBF260D0ECAB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BC5A4-5E05-214F-A9B1-D876AF616FDF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0C1FD-0C19-F64D-9AAF-5B1E5572DACC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65518-5BEE-6745-822C-A3795819EA19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113" zoomScaleNormal="212" workbookViewId="0">
      <selection activeCell="I15" sqref="I1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0.83203125" style="5"/>
    <col min="8" max="8" width="13" bestFit="1" customWidth="1"/>
    <col min="9" max="9" width="13" customWidth="1"/>
    <col min="12" max="13" width="11.1640625" bestFit="1" customWidth="1"/>
    <col min="14" max="14" width="21.5" customWidth="1"/>
    <col min="15" max="15" width="21.6640625" customWidth="1"/>
    <col min="18" max="18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8" t="str">
        <f>IFERROR(E2/H2,"0")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7">
        <f t="shared" ref="I3:I66" si="1">IFERROR(E3/H3,"0")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(E67/D67)*100</f>
        <v>236.14754098360655</v>
      </c>
      <c r="G67" t="s">
        <v>20</v>
      </c>
      <c r="H67">
        <v>236</v>
      </c>
      <c r="I67" s="7">
        <f t="shared" ref="I67:I130" si="5">IFERROR(E67/H67,"0")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(E131/D131)*100</f>
        <v>3.202693602693603</v>
      </c>
      <c r="G131" t="s">
        <v>74</v>
      </c>
      <c r="H131">
        <v>55</v>
      </c>
      <c r="I131" s="7">
        <f t="shared" ref="I131:I194" si="9">IFERROR(E131/H131,"0")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0">(((L131/60)/60)/24)+DATE(1970,1,1)</f>
        <v>42038.25</v>
      </c>
      <c r="O131" s="11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(E195/D195)*100</f>
        <v>45.636363636363633</v>
      </c>
      <c r="G195" t="s">
        <v>14</v>
      </c>
      <c r="H195">
        <v>65</v>
      </c>
      <c r="I195" s="7">
        <f t="shared" ref="I195:I258" si="13">IFERROR(E195/H195,"0")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4">(((L195/60)/60)/24)+DATE(1970,1,1)</f>
        <v>43198.208333333328</v>
      </c>
      <c r="O195" s="11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(E259/D259)*100</f>
        <v>146</v>
      </c>
      <c r="G259" t="s">
        <v>20</v>
      </c>
      <c r="H259">
        <v>92</v>
      </c>
      <c r="I259" s="7">
        <f t="shared" ref="I259:I322" si="17">IFERROR(E259/H259,"0")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8">(((L259/60)/60)/24)+DATE(1970,1,1)</f>
        <v>41338.25</v>
      </c>
      <c r="O259" s="11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(E323/D323)*100</f>
        <v>94.144366197183089</v>
      </c>
      <c r="G323" t="s">
        <v>14</v>
      </c>
      <c r="H323">
        <v>2468</v>
      </c>
      <c r="I323" s="7">
        <f t="shared" ref="I323:I386" si="21">IFERROR(E323/H323,"0")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2">(((L323/60)/60)/24)+DATE(1970,1,1)</f>
        <v>40634.208333333336</v>
      </c>
      <c r="O323" s="11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(E387/D387)*100</f>
        <v>146.16709511568124</v>
      </c>
      <c r="G387" t="s">
        <v>20</v>
      </c>
      <c r="H387">
        <v>1137</v>
      </c>
      <c r="I387" s="7">
        <f t="shared" ref="I387:I450" si="25">IFERROR(E387/H387,"0")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6">(((L387/60)/60)/24)+DATE(1970,1,1)</f>
        <v>43553.208333333328</v>
      </c>
      <c r="O387" s="11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(E451/D451)*100</f>
        <v>967</v>
      </c>
      <c r="G451" t="s">
        <v>20</v>
      </c>
      <c r="H451">
        <v>86</v>
      </c>
      <c r="I451" s="7">
        <f t="shared" ref="I451:I514" si="29">IFERROR(E451/H451,"0")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30">(((L451/60)/60)/24)+DATE(1970,1,1)</f>
        <v>43530.25</v>
      </c>
      <c r="O451" s="11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7" t="str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(E515/D515)*100</f>
        <v>39.277108433734945</v>
      </c>
      <c r="G515" t="s">
        <v>74</v>
      </c>
      <c r="H515">
        <v>35</v>
      </c>
      <c r="I515" s="7">
        <f t="shared" ref="I515:I578" si="33">IFERROR(E515/H515,"0")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4">(((L515/60)/60)/24)+DATE(1970,1,1)</f>
        <v>40430.208333333336</v>
      </c>
      <c r="O515" s="11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(E579/D579)*100</f>
        <v>18.853658536585368</v>
      </c>
      <c r="G579" t="s">
        <v>74</v>
      </c>
      <c r="H579">
        <v>37</v>
      </c>
      <c r="I579" s="7">
        <f t="shared" ref="I579:I642" si="37">IFERROR(E579/H579,"0")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8">(((L579/60)/60)/24)+DATE(1970,1,1)</f>
        <v>40613.25</v>
      </c>
      <c r="O579" s="11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(E643/D643)*100</f>
        <v>119.96808510638297</v>
      </c>
      <c r="G643" t="s">
        <v>20</v>
      </c>
      <c r="H643">
        <v>194</v>
      </c>
      <c r="I643" s="7">
        <f t="shared" ref="I643:I706" si="41">IFERROR(E643/H643,"0")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2">(((L643/60)/60)/24)+DATE(1970,1,1)</f>
        <v>42786.25</v>
      </c>
      <c r="O643" s="11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(E707/D707)*100</f>
        <v>99.026517383618156</v>
      </c>
      <c r="G707" t="s">
        <v>14</v>
      </c>
      <c r="H707">
        <v>2025</v>
      </c>
      <c r="I707" s="7">
        <f t="shared" ref="I707:I770" si="45">IFERROR(E707/H707,"0")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6">(((L707/60)/60)/24)+DATE(1970,1,1)</f>
        <v>41619.25</v>
      </c>
      <c r="O707" s="11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(E771/D771)*100</f>
        <v>86.867834394904463</v>
      </c>
      <c r="G771" t="s">
        <v>14</v>
      </c>
      <c r="H771">
        <v>3410</v>
      </c>
      <c r="I771" s="7">
        <f t="shared" ref="I771:I834" si="49">IFERROR(E771/H771,"0")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50">(((L771/60)/60)/24)+DATE(1970,1,1)</f>
        <v>41501.208333333336</v>
      </c>
      <c r="O771" s="11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(E835/D835)*100</f>
        <v>157.69117647058823</v>
      </c>
      <c r="G835" t="s">
        <v>20</v>
      </c>
      <c r="H835">
        <v>165</v>
      </c>
      <c r="I835" s="7">
        <f t="shared" ref="I835:I898" si="53">IFERROR(E835/H835,"0")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4">(((L835/60)/60)/24)+DATE(1970,1,1)</f>
        <v>40588.25</v>
      </c>
      <c r="O835" s="11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(E899/D899)*100</f>
        <v>27.693181818181817</v>
      </c>
      <c r="G899" t="s">
        <v>14</v>
      </c>
      <c r="H899">
        <v>27</v>
      </c>
      <c r="I899" s="7">
        <f t="shared" ref="I899:I962" si="57">IFERROR(E899/H899,"0")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8">(((L899/60)/60)/24)+DATE(1970,1,1)</f>
        <v>43583.208333333328</v>
      </c>
      <c r="O899" s="11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(E963/D963)*100</f>
        <v>119.29824561403508</v>
      </c>
      <c r="G963" t="s">
        <v>20</v>
      </c>
      <c r="H963">
        <v>155</v>
      </c>
      <c r="I963" s="7">
        <f t="shared" ref="I963:I1001" si="61">IFERROR(E963/H963,"0")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2">(((L963/60)/60)/24)+DATE(1970,1,1)</f>
        <v>40591.25</v>
      </c>
      <c r="O963" s="11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  <cfRule type="colorScale" priority="2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11" priority="3" operator="containsText" text="live">
      <formula>NOT(ISERROR(SEARCH("live",G1)))</formula>
    </cfRule>
    <cfRule type="containsText" dxfId="10" priority="4" operator="containsText" text="canceled">
      <formula>NOT(ISERROR(SEARCH("canceled",G1)))</formula>
    </cfRule>
    <cfRule type="containsText" dxfId="9" priority="5" operator="containsText" text="successful">
      <formula>NOT(ISERROR(SEARCH("successful",G1)))</formula>
    </cfRule>
    <cfRule type="containsText" dxfId="8" priority="6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8CE0-81F2-9D48-8EE0-5D11AE815444}">
  <dimension ref="A2:H15"/>
  <sheetViews>
    <sheetView zoomScale="134" workbookViewId="0">
      <selection activeCell="H7" sqref="H7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8" x14ac:dyDescent="0.2">
      <c r="A2" s="9" t="s">
        <v>6</v>
      </c>
      <c r="B2" t="s">
        <v>2070</v>
      </c>
    </row>
    <row r="4" spans="1:8" x14ac:dyDescent="0.2">
      <c r="A4" s="9" t="s">
        <v>2068</v>
      </c>
      <c r="B4" s="9" t="s">
        <v>2069</v>
      </c>
    </row>
    <row r="5" spans="1:8" x14ac:dyDescent="0.2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8" x14ac:dyDescent="0.2">
      <c r="A6" s="10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8" x14ac:dyDescent="0.2">
      <c r="A7" s="10" t="s">
        <v>2033</v>
      </c>
      <c r="B7">
        <v>4</v>
      </c>
      <c r="C7">
        <v>20</v>
      </c>
      <c r="E7">
        <v>22</v>
      </c>
      <c r="F7">
        <v>46</v>
      </c>
    </row>
    <row r="8" spans="1:8" x14ac:dyDescent="0.2">
      <c r="A8" s="10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8" x14ac:dyDescent="0.2">
      <c r="A9" s="10" t="s">
        <v>2064</v>
      </c>
      <c r="E9">
        <v>4</v>
      </c>
      <c r="F9">
        <v>4</v>
      </c>
    </row>
    <row r="10" spans="1:8" x14ac:dyDescent="0.2">
      <c r="A10" s="10" t="s">
        <v>2035</v>
      </c>
      <c r="B10">
        <v>10</v>
      </c>
      <c r="C10">
        <v>66</v>
      </c>
      <c r="E10">
        <v>99</v>
      </c>
      <c r="F10">
        <v>175</v>
      </c>
    </row>
    <row r="11" spans="1:8" x14ac:dyDescent="0.2">
      <c r="A11" s="10" t="s">
        <v>2054</v>
      </c>
      <c r="B11">
        <v>4</v>
      </c>
      <c r="C11">
        <v>11</v>
      </c>
      <c r="D11">
        <v>1</v>
      </c>
      <c r="E11">
        <v>26</v>
      </c>
      <c r="F11">
        <v>42</v>
      </c>
      <c r="H11" s="15"/>
    </row>
    <row r="12" spans="1:8" x14ac:dyDescent="0.2">
      <c r="A12" s="10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8" x14ac:dyDescent="0.2">
      <c r="A13" s="10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8" x14ac:dyDescent="0.2">
      <c r="A14" s="10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8" x14ac:dyDescent="0.2">
      <c r="A15" s="10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D6E4-056D-5243-BBA6-027AFE32714F}">
  <dimension ref="A1:F30"/>
  <sheetViews>
    <sheetView zoomScale="150" workbookViewId="0">
      <selection activeCell="G9" sqref="G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1" bestFit="1" customWidth="1"/>
  </cols>
  <sheetData>
    <row r="1" spans="1:6" x14ac:dyDescent="0.2">
      <c r="A1" s="9" t="s">
        <v>6</v>
      </c>
      <c r="B1" t="s">
        <v>2070</v>
      </c>
    </row>
    <row r="2" spans="1:6" x14ac:dyDescent="0.2">
      <c r="A2" s="9" t="s">
        <v>2031</v>
      </c>
      <c r="B2" t="s">
        <v>2070</v>
      </c>
    </row>
    <row r="4" spans="1:6" x14ac:dyDescent="0.2">
      <c r="A4" s="9" t="s">
        <v>2068</v>
      </c>
      <c r="B4" s="9" t="s">
        <v>2069</v>
      </c>
    </row>
    <row r="5" spans="1:6" x14ac:dyDescent="0.2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0" t="s">
        <v>2065</v>
      </c>
      <c r="E7">
        <v>4</v>
      </c>
      <c r="F7">
        <v>4</v>
      </c>
    </row>
    <row r="8" spans="1:6" x14ac:dyDescent="0.2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0" t="s">
        <v>2043</v>
      </c>
      <c r="C10">
        <v>8</v>
      </c>
      <c r="E10">
        <v>10</v>
      </c>
      <c r="F10">
        <v>18</v>
      </c>
    </row>
    <row r="11" spans="1:6" x14ac:dyDescent="0.2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0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0" t="s">
        <v>2057</v>
      </c>
      <c r="C15">
        <v>3</v>
      </c>
      <c r="E15">
        <v>4</v>
      </c>
      <c r="F15">
        <v>7</v>
      </c>
    </row>
    <row r="16" spans="1:6" x14ac:dyDescent="0.2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0" t="s">
        <v>2056</v>
      </c>
      <c r="C20">
        <v>4</v>
      </c>
      <c r="E20">
        <v>4</v>
      </c>
      <c r="F20">
        <v>8</v>
      </c>
    </row>
    <row r="21" spans="1:6" x14ac:dyDescent="0.2">
      <c r="A21" s="10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0" t="s">
        <v>2063</v>
      </c>
      <c r="C22">
        <v>9</v>
      </c>
      <c r="E22">
        <v>5</v>
      </c>
      <c r="F22">
        <v>14</v>
      </c>
    </row>
    <row r="23" spans="1:6" x14ac:dyDescent="0.2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0" t="s">
        <v>2059</v>
      </c>
      <c r="C25">
        <v>7</v>
      </c>
      <c r="E25">
        <v>14</v>
      </c>
      <c r="F25">
        <v>21</v>
      </c>
    </row>
    <row r="26" spans="1:6" x14ac:dyDescent="0.2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0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0" t="s">
        <v>2062</v>
      </c>
      <c r="E29">
        <v>3</v>
      </c>
      <c r="F29">
        <v>3</v>
      </c>
    </row>
    <row r="30" spans="1:6" x14ac:dyDescent="0.2">
      <c r="A30" s="10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CB87-815A-2C45-84DC-E8EB9E35026D}">
  <dimension ref="A1:E18"/>
  <sheetViews>
    <sheetView zoomScale="150" workbookViewId="0">
      <selection activeCell="H26" sqref="H26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9" t="s">
        <v>2031</v>
      </c>
      <c r="B1" t="s">
        <v>2070</v>
      </c>
    </row>
    <row r="2" spans="1:5" x14ac:dyDescent="0.2">
      <c r="A2" s="9" t="s">
        <v>2085</v>
      </c>
      <c r="B2" t="s">
        <v>2070</v>
      </c>
    </row>
    <row r="4" spans="1:5" x14ac:dyDescent="0.2">
      <c r="A4" s="9" t="s">
        <v>2068</v>
      </c>
      <c r="B4" s="9" t="s">
        <v>2069</v>
      </c>
    </row>
    <row r="5" spans="1:5" x14ac:dyDescent="0.2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2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2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2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2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2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2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2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2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2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2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2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2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2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5B49-67AB-3444-AD9C-AC047120515F}">
  <dimension ref="A1:I13"/>
  <sheetViews>
    <sheetView zoomScale="111" workbookViewId="0">
      <selection activeCell="B28" sqref="B28"/>
    </sheetView>
  </sheetViews>
  <sheetFormatPr baseColWidth="10" defaultRowHeight="16" x14ac:dyDescent="0.2"/>
  <cols>
    <col min="1" max="1" width="27.1640625" customWidth="1"/>
    <col min="2" max="2" width="16.83203125" customWidth="1"/>
    <col min="3" max="3" width="14.1640625" customWidth="1"/>
    <col min="4" max="4" width="16.33203125" customWidth="1"/>
    <col min="5" max="5" width="17.33203125" customWidth="1"/>
    <col min="6" max="6" width="21.33203125" customWidth="1"/>
    <col min="7" max="7" width="18.5" customWidth="1"/>
    <col min="8" max="8" width="19.83203125" customWidth="1"/>
  </cols>
  <sheetData>
    <row r="1" spans="1:9" x14ac:dyDescent="0.2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  <c r="I1" s="13"/>
    </row>
    <row r="2" spans="1:9" x14ac:dyDescent="0.2">
      <c r="A2" t="s">
        <v>2094</v>
      </c>
      <c r="B2">
        <f>COUNTIFS(Crowdfunding!$D:$D, "&lt; 1000", Crowdfunding!$G:$G, "successful")</f>
        <v>30</v>
      </c>
      <c r="C2">
        <f>COUNTIFS(Crowdfunding!$D:$D, "&lt; 1000", Crowdfunding!$G:$G, "failed")</f>
        <v>20</v>
      </c>
      <c r="D2">
        <f>COUNTIFS(Crowdfunding!$D:$D, "&lt; 1000", Crowdfunding!$G:$G, "canceled")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9" x14ac:dyDescent="0.2">
      <c r="A3" t="s">
        <v>2095</v>
      </c>
      <c r="B3">
        <f>COUNTIFS(Crowdfunding!$D:$D, "&gt;= 1000", Crowdfunding!$D:$D, "&lt;=4999", Crowdfunding!$G:$G, "successful")</f>
        <v>191</v>
      </c>
      <c r="C3">
        <f>COUNTIFS(Crowdfunding!$D:$D, "&gt;= 1000", Crowdfunding!$D:$D, "&lt;=4999", Crowdfunding!$G:$G, "failed")</f>
        <v>38</v>
      </c>
      <c r="D3">
        <f>COUNTIFS(Crowdfunding!$D:$D, "&gt;= 1000", Crowdfunding!$D:$D, "&lt;=4999", Crowdfunding!$G:$G, "canceled")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9" x14ac:dyDescent="0.2">
      <c r="A4" t="s">
        <v>2096</v>
      </c>
      <c r="B4">
        <f>COUNTIFS(Crowdfunding!$D:$D, "&gt;= 5000", Crowdfunding!$D:$D, "&lt;=9999", Crowdfunding!$G:$G, "successful")</f>
        <v>164</v>
      </c>
      <c r="C4">
        <f>COUNTIFS(Crowdfunding!$D:$D, "&gt;= 5000", Crowdfunding!$D:$D, "&lt;=9999", Crowdfunding!$G:$G, "failed")</f>
        <v>126</v>
      </c>
      <c r="D4">
        <f>COUNTIFS(Crowdfunding!$D:$D, "&gt;= 5000", Crowdfunding!$D:$D, "&lt;=9999", Crowdfunding!$G:$G, "canceled")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9" x14ac:dyDescent="0.2">
      <c r="A5" t="s">
        <v>2097</v>
      </c>
      <c r="B5">
        <f>COUNTIFS(Crowdfunding!$D:$D, "&gt;= 10000", Crowdfunding!$D:$D, "&lt;=14999", Crowdfunding!$G:$G, "successful")</f>
        <v>4</v>
      </c>
      <c r="C5">
        <f>COUNTIFS(Crowdfunding!$D:$D, "&gt;= 10000", Crowdfunding!$D:$D, "&lt;=14999", Crowdfunding!$G:$G, "failed")</f>
        <v>5</v>
      </c>
      <c r="D5">
        <f>COUNTIFS(Crowdfunding!$D:$D, "&gt;= 10000", Crowdfunding!$D:$D, "&lt;=14999", Crowdfunding!$G:$G, "canceled")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9" x14ac:dyDescent="0.2">
      <c r="A6" t="s">
        <v>2098</v>
      </c>
      <c r="B6">
        <f>COUNTIFS(Crowdfunding!$D:$D, "&gt;= 15000", Crowdfunding!$D:$D, "&lt;=19999", Crowdfunding!$G:$G, "successful")</f>
        <v>10</v>
      </c>
      <c r="C6">
        <f>COUNTIFS(Crowdfunding!$D:$D, "&gt;= 15000", Crowdfunding!$D:$D, "&lt;=19999", Crowdfunding!$G:$G, "failed")</f>
        <v>0</v>
      </c>
      <c r="D6">
        <f>COUNTIFS(Crowdfunding!$D:$D, "&gt;= 15000", Crowdfunding!$D:$D, "&lt;=19999", Crowdfunding!$G:$G, "canceled")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9" x14ac:dyDescent="0.2">
      <c r="A7" t="s">
        <v>2099</v>
      </c>
      <c r="B7">
        <f>COUNTIFS(Crowdfunding!$D:$D, "&gt;= 20000", Crowdfunding!$D:$D, "&lt;=24999", Crowdfunding!$G:$G, "successful")</f>
        <v>7</v>
      </c>
      <c r="C7">
        <f>COUNTIFS(Crowdfunding!$D:$D, "&gt;= 20000", Crowdfunding!$D:$D, "&lt;=24999", Crowdfunding!$G:$G, "failed")</f>
        <v>0</v>
      </c>
      <c r="D7">
        <f>COUNTIFS(Crowdfunding!$D:$D, "&gt;= 20000", Crowdfunding!$D:$D, "&lt;=24999", Crowdfunding!$G:$G, "canceled")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9" x14ac:dyDescent="0.2">
      <c r="A8" t="s">
        <v>2100</v>
      </c>
      <c r="B8">
        <f>COUNTIFS(Crowdfunding!$D:$D, "&gt;= 25000", Crowdfunding!$D:$D, "&lt;=29999", Crowdfunding!$G:$G, "successful")</f>
        <v>11</v>
      </c>
      <c r="C8">
        <f>COUNTIFS(Crowdfunding!$D:$D, "&gt;= 25000", Crowdfunding!$D:$D, "&lt;=29999", Crowdfunding!$G:$G, "failed")</f>
        <v>3</v>
      </c>
      <c r="D8">
        <f>COUNTIFS(Crowdfunding!$D:$D, "&gt;= 25000", Crowdfunding!$D:$D, "&lt;=29999", Crowdfunding!$G:$G, "canceled")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9" x14ac:dyDescent="0.2">
      <c r="A9" t="s">
        <v>2101</v>
      </c>
      <c r="B9">
        <f>COUNTIFS(Crowdfunding!$D:$D, "&gt;= 30000", Crowdfunding!$D:$D, "&lt;=34999", Crowdfunding!$G:$G, "successful")</f>
        <v>7</v>
      </c>
      <c r="C9">
        <f>COUNTIFS(Crowdfunding!$D:$D, "&gt;= 30000", Crowdfunding!$D:$D, "&lt;=34999", Crowdfunding!$G:$G, "failed")</f>
        <v>0</v>
      </c>
      <c r="D9">
        <f>COUNTIFS(Crowdfunding!$D:$D, "&gt;= 30000", Crowdfunding!$D:$D, "&lt;=34999", Crowdfunding!$G:$G, "canceled")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9" x14ac:dyDescent="0.2">
      <c r="A10" t="s">
        <v>2102</v>
      </c>
      <c r="B10">
        <f>COUNTIFS(Crowdfunding!$D:$D, "&gt;= 35000", Crowdfunding!$D:$D, "&lt;=39999", Crowdfunding!$G:$G, "successful")</f>
        <v>8</v>
      </c>
      <c r="C10">
        <f>COUNTIFS(Crowdfunding!$D:$D, "&gt;= 35000", Crowdfunding!$D:$D, "&lt;=39999", Crowdfunding!$G:$G, "failed")</f>
        <v>3</v>
      </c>
      <c r="D10">
        <f>COUNTIFS(Crowdfunding!$D:$D, "&gt;= 35000", Crowdfunding!$D:$D, "&lt;=39999", Crowdfunding!$G:$G, "canceled")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9" x14ac:dyDescent="0.2">
      <c r="A11" t="s">
        <v>2103</v>
      </c>
      <c r="B11">
        <f>COUNTIFS(Crowdfunding!$D:$D, "&gt;= 40000", Crowdfunding!$D:$D, "&lt;=44999", Crowdfunding!$G:$G, "successful")</f>
        <v>11</v>
      </c>
      <c r="C11">
        <f>COUNTIFS(Crowdfunding!$D:$D, "&gt;= 40000", Crowdfunding!$D:$D, "&lt;=44999", Crowdfunding!$G:$G, "failed")</f>
        <v>3</v>
      </c>
      <c r="D11">
        <f>COUNTIFS(Crowdfunding!$D:$D, "&gt;= 40000", Crowdfunding!$D:$D, "&lt;=44999", Crowdfunding!$G:$G, "canceled")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9" x14ac:dyDescent="0.2">
      <c r="A12" t="s">
        <v>2104</v>
      </c>
      <c r="B12">
        <f>COUNTIFS(Crowdfunding!$D:$D, "&gt;= 45000", Crowdfunding!$D:$D, "&lt;=49999", Crowdfunding!$G:$G, "successful")</f>
        <v>8</v>
      </c>
      <c r="C12">
        <f>COUNTIFS(Crowdfunding!$D:$D, "&gt;= 45000", Crowdfunding!$D:$D, "&lt;=49999", Crowdfunding!$G:$G, "failed")</f>
        <v>3</v>
      </c>
      <c r="D12">
        <f>COUNTIFS(Crowdfunding!$D:$D, "&gt;= 45000", Crowdfunding!$D:$D, "&lt;=49999", Crowdfunding!$G:$G, "canceled")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9" x14ac:dyDescent="0.2">
      <c r="A13" t="s">
        <v>2105</v>
      </c>
      <c r="B13">
        <f>COUNTIFS(Crowdfunding!$D:$D, "&gt;= 50000", Crowdfunding!$G:$G, "successful")</f>
        <v>114</v>
      </c>
      <c r="C13">
        <f>COUNTIFS(Crowdfunding!$D:$D, "&gt;= 50000", Crowdfunding!$G:$G, "failed")</f>
        <v>163</v>
      </c>
      <c r="D13">
        <f>COUNTIFS(Crowdfunding!$D:$D, "&gt;= 50000", Crowdfunding!$G:$G, "canceled")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ignoredErrors>
    <ignoredError sqref="C2:C5 C6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D00D-BA60-FD4A-BC1F-22849E8D71DF}">
  <dimension ref="A1:I566"/>
  <sheetViews>
    <sheetView zoomScale="98" zoomScaleNormal="98" workbookViewId="0">
      <selection activeCell="G8" sqref="G8"/>
    </sheetView>
  </sheetViews>
  <sheetFormatPr baseColWidth="10" defaultRowHeight="16" x14ac:dyDescent="0.2"/>
  <cols>
    <col min="2" max="2" width="13.33203125" customWidth="1"/>
    <col min="4" max="4" width="13.5" customWidth="1"/>
    <col min="6" max="6" width="17.5" customWidth="1"/>
    <col min="7" max="7" width="30.83203125" customWidth="1"/>
    <col min="8" max="8" width="10.83203125" customWidth="1"/>
    <col min="9" max="9" width="14.83203125" customWidth="1"/>
    <col min="10" max="10" width="16.83203125" customWidth="1"/>
  </cols>
  <sheetData>
    <row r="1" spans="1:9" x14ac:dyDescent="0.2">
      <c r="A1" s="1" t="s">
        <v>4</v>
      </c>
      <c r="B1" s="1" t="s">
        <v>5</v>
      </c>
      <c r="C1" s="1" t="s">
        <v>4</v>
      </c>
      <c r="D1" s="1" t="s">
        <v>5</v>
      </c>
      <c r="G1" s="1" t="s">
        <v>2112</v>
      </c>
      <c r="I1" s="13" t="s">
        <v>2113</v>
      </c>
    </row>
    <row r="2" spans="1:9" x14ac:dyDescent="0.2">
      <c r="A2" t="s">
        <v>20</v>
      </c>
      <c r="B2">
        <v>158</v>
      </c>
      <c r="C2" t="s">
        <v>14</v>
      </c>
      <c r="D2">
        <v>0</v>
      </c>
      <c r="F2" t="s">
        <v>2106</v>
      </c>
      <c r="G2" s="7">
        <f>AVERAGE(B2:B566)</f>
        <v>851.14690265486729</v>
      </c>
      <c r="I2" s="7">
        <f>AVERAGE(D2:D365)</f>
        <v>585.61538461538464</v>
      </c>
    </row>
    <row r="3" spans="1:9" x14ac:dyDescent="0.2">
      <c r="A3" t="s">
        <v>20</v>
      </c>
      <c r="B3">
        <v>1425</v>
      </c>
      <c r="C3" t="s">
        <v>14</v>
      </c>
      <c r="D3">
        <v>24</v>
      </c>
      <c r="F3" t="s">
        <v>2107</v>
      </c>
      <c r="G3">
        <f>MEDIAN(B2:B566)</f>
        <v>201</v>
      </c>
      <c r="I3" s="7">
        <f>MEDIAN(D2:D365)</f>
        <v>114.5</v>
      </c>
    </row>
    <row r="4" spans="1:9" x14ac:dyDescent="0.2">
      <c r="A4" t="s">
        <v>20</v>
      </c>
      <c r="B4">
        <v>174</v>
      </c>
      <c r="C4" t="s">
        <v>14</v>
      </c>
      <c r="D4">
        <v>53</v>
      </c>
      <c r="F4" t="s">
        <v>2108</v>
      </c>
      <c r="G4">
        <f>MIN(B2:B566)</f>
        <v>16</v>
      </c>
      <c r="I4">
        <f>MIN(D2:D365)</f>
        <v>0</v>
      </c>
    </row>
    <row r="5" spans="1:9" x14ac:dyDescent="0.2">
      <c r="A5" t="s">
        <v>20</v>
      </c>
      <c r="B5">
        <v>227</v>
      </c>
      <c r="C5" t="s">
        <v>14</v>
      </c>
      <c r="D5">
        <v>18</v>
      </c>
      <c r="F5" t="s">
        <v>2109</v>
      </c>
      <c r="G5">
        <f>MAX(B2:B566)</f>
        <v>7295</v>
      </c>
      <c r="I5">
        <f>MAX(D2:D365)</f>
        <v>6080</v>
      </c>
    </row>
    <row r="6" spans="1:9" x14ac:dyDescent="0.2">
      <c r="A6" t="s">
        <v>20</v>
      </c>
      <c r="B6">
        <v>220</v>
      </c>
      <c r="C6" t="s">
        <v>14</v>
      </c>
      <c r="D6">
        <v>44</v>
      </c>
      <c r="F6" t="s">
        <v>2110</v>
      </c>
      <c r="G6" s="7">
        <f>_xlfn.VAR.P(B2:B566)</f>
        <v>1603373.7324019109</v>
      </c>
      <c r="I6" s="7">
        <f>_xlfn.VAR.P(D2:D365)</f>
        <v>921574.68174133555</v>
      </c>
    </row>
    <row r="7" spans="1:9" x14ac:dyDescent="0.2">
      <c r="A7" t="s">
        <v>20</v>
      </c>
      <c r="B7">
        <v>98</v>
      </c>
      <c r="C7" t="s">
        <v>14</v>
      </c>
      <c r="D7">
        <v>27</v>
      </c>
      <c r="F7" t="s">
        <v>2111</v>
      </c>
      <c r="G7" s="7">
        <f>_xlfn.STDEV.P(B2:B566)</f>
        <v>1266.2439466397898</v>
      </c>
      <c r="I7" s="7">
        <f>_xlfn.STDEV.P(D2:D365)</f>
        <v>959.98681331637863</v>
      </c>
    </row>
    <row r="8" spans="1:9" x14ac:dyDescent="0.2">
      <c r="A8" t="s">
        <v>20</v>
      </c>
      <c r="B8">
        <v>100</v>
      </c>
      <c r="C8" t="s">
        <v>14</v>
      </c>
      <c r="D8">
        <v>55</v>
      </c>
    </row>
    <row r="9" spans="1:9" x14ac:dyDescent="0.2">
      <c r="A9" t="s">
        <v>20</v>
      </c>
      <c r="B9">
        <v>1249</v>
      </c>
      <c r="C9" t="s">
        <v>14</v>
      </c>
      <c r="D9">
        <v>200</v>
      </c>
    </row>
    <row r="10" spans="1:9" x14ac:dyDescent="0.2">
      <c r="A10" t="s">
        <v>20</v>
      </c>
      <c r="B10">
        <v>1396</v>
      </c>
      <c r="C10" t="s">
        <v>14</v>
      </c>
      <c r="D10">
        <v>452</v>
      </c>
    </row>
    <row r="11" spans="1:9" x14ac:dyDescent="0.2">
      <c r="A11" t="s">
        <v>20</v>
      </c>
      <c r="B11">
        <v>890</v>
      </c>
      <c r="C11" t="s">
        <v>14</v>
      </c>
      <c r="D11">
        <v>674</v>
      </c>
    </row>
    <row r="12" spans="1:9" x14ac:dyDescent="0.2">
      <c r="A12" t="s">
        <v>20</v>
      </c>
      <c r="B12">
        <v>142</v>
      </c>
      <c r="C12" t="s">
        <v>14</v>
      </c>
      <c r="D12">
        <v>558</v>
      </c>
    </row>
    <row r="13" spans="1:9" x14ac:dyDescent="0.2">
      <c r="A13" t="s">
        <v>20</v>
      </c>
      <c r="B13">
        <v>2673</v>
      </c>
      <c r="C13" t="s">
        <v>14</v>
      </c>
      <c r="D13">
        <v>15</v>
      </c>
    </row>
    <row r="14" spans="1:9" x14ac:dyDescent="0.2">
      <c r="A14" t="s">
        <v>20</v>
      </c>
      <c r="B14">
        <v>163</v>
      </c>
      <c r="C14" t="s">
        <v>14</v>
      </c>
      <c r="D14">
        <v>2307</v>
      </c>
    </row>
    <row r="15" spans="1:9" x14ac:dyDescent="0.2">
      <c r="A15" t="s">
        <v>20</v>
      </c>
      <c r="B15">
        <v>2220</v>
      </c>
      <c r="C15" t="s">
        <v>14</v>
      </c>
      <c r="D15">
        <v>88</v>
      </c>
    </row>
    <row r="16" spans="1:9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C2:C365">
    <cfRule type="containsText" dxfId="3" priority="1" operator="containsText" text="live">
      <formula>NOT(ISERROR(SEARCH("live",C2)))</formula>
    </cfRule>
    <cfRule type="containsText" dxfId="2" priority="2" operator="containsText" text="canceled">
      <formula>NOT(ISERROR(SEARCH("canceled",C2)))</formula>
    </cfRule>
    <cfRule type="containsText" dxfId="1" priority="3" operator="containsText" text="successful">
      <formula>NOT(ISERROR(SEARCH("successful",C2)))</formula>
    </cfRule>
    <cfRule type="containsText" dxfId="0" priority="4" operator="containsText" text="failed">
      <formula>NOT(ISERROR(SEARCH("failed",C2)))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 (Category)</vt:lpstr>
      <vt:lpstr>Pivot Table 2 (Sub-Category)</vt:lpstr>
      <vt:lpstr>Pivot Table 3 (Date Created)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2023-05-05T01:58:38Z</dcterms:modified>
</cp:coreProperties>
</file>