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AF350B6-FCB0-42D4-8E46-D48018E1533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" sheetId="1" r:id="rId1"/>
    <sheet name="Normality K-S" sheetId="2" r:id="rId2"/>
    <sheet name="Levene" sheetId="3" r:id="rId3"/>
    <sheet name="Factorial Design" sheetId="4" r:id="rId4"/>
    <sheet name="Duncan" sheetId="5" r:id="rId5"/>
  </sheets>
  <definedNames>
    <definedName name="_xlnm._FilterDatabase" localSheetId="4" hidden="1">Duncan!$A$16:$B$21</definedName>
    <definedName name="_xlnm._FilterDatabase" localSheetId="1" hidden="1">'Normality K-S'!$B$1:$C$31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4" l="1"/>
  <c r="B54" i="4"/>
  <c r="C54" i="4" s="1"/>
  <c r="D53" i="4"/>
  <c r="B53" i="4"/>
  <c r="C53" i="4" s="1"/>
  <c r="D52" i="4"/>
  <c r="C52" i="4"/>
  <c r="F52" i="4" s="1"/>
  <c r="B52" i="4"/>
  <c r="D51" i="4"/>
  <c r="F51" i="4" s="1"/>
  <c r="C51" i="4"/>
  <c r="B51" i="4"/>
  <c r="D50" i="4"/>
  <c r="B50" i="4"/>
  <c r="C50" i="4" s="1"/>
  <c r="D49" i="4"/>
  <c r="B49" i="4"/>
  <c r="C49" i="4" s="1"/>
  <c r="F25" i="4"/>
  <c r="F24" i="4"/>
  <c r="F23" i="4"/>
  <c r="F22" i="4"/>
  <c r="F21" i="4"/>
  <c r="F20" i="4"/>
  <c r="E25" i="4"/>
  <c r="E24" i="4"/>
  <c r="E23" i="4"/>
  <c r="E22" i="4"/>
  <c r="E21" i="4"/>
  <c r="E20" i="4"/>
  <c r="D25" i="4"/>
  <c r="D24" i="4"/>
  <c r="D23" i="4"/>
  <c r="D22" i="4"/>
  <c r="D21" i="4"/>
  <c r="D20" i="4"/>
  <c r="C21" i="4"/>
  <c r="C22" i="4"/>
  <c r="C23" i="4"/>
  <c r="C24" i="4"/>
  <c r="C25" i="4"/>
  <c r="C20" i="4"/>
  <c r="B21" i="4"/>
  <c r="B22" i="4"/>
  <c r="B23" i="4"/>
  <c r="B24" i="4"/>
  <c r="B25" i="4"/>
  <c r="B20" i="4"/>
  <c r="H36" i="4"/>
  <c r="H37" i="4"/>
  <c r="H38" i="4"/>
  <c r="H39" i="4"/>
  <c r="H40" i="4"/>
  <c r="H41" i="4"/>
  <c r="L31" i="4"/>
  <c r="L38" i="4" s="1"/>
  <c r="N38" i="4" s="1"/>
  <c r="L37" i="4"/>
  <c r="N37" i="4" s="1"/>
  <c r="B44" i="4"/>
  <c r="B45" i="4"/>
  <c r="C45" i="4" s="1"/>
  <c r="B46" i="4"/>
  <c r="C46" i="4" s="1"/>
  <c r="B47" i="4"/>
  <c r="C47" i="4" s="1"/>
  <c r="B48" i="4"/>
  <c r="C48" i="4" s="1"/>
  <c r="M40" i="4"/>
  <c r="M41" i="4"/>
  <c r="P40" i="4" s="1"/>
  <c r="M39" i="4"/>
  <c r="M38" i="4"/>
  <c r="P38" i="4" s="1"/>
  <c r="H7" i="4"/>
  <c r="H8" i="4"/>
  <c r="H9" i="4"/>
  <c r="H10" i="4"/>
  <c r="H11" i="4"/>
  <c r="H12" i="4"/>
  <c r="L2" i="4"/>
  <c r="L9" i="4" s="1"/>
  <c r="N9" i="4" s="1"/>
  <c r="L8" i="4"/>
  <c r="B15" i="4"/>
  <c r="B16" i="4"/>
  <c r="B17" i="4"/>
  <c r="C17" i="4" s="1"/>
  <c r="B18" i="4"/>
  <c r="B19" i="4"/>
  <c r="C19" i="4" s="1"/>
  <c r="L10" i="4"/>
  <c r="N10" i="4" s="1"/>
  <c r="M11" i="4"/>
  <c r="M12" i="4"/>
  <c r="Q11" i="4" s="1"/>
  <c r="M10" i="4"/>
  <c r="M9" i="4"/>
  <c r="Q9" i="4" s="1"/>
  <c r="B34" i="5"/>
  <c r="B37" i="5"/>
  <c r="B42" i="5"/>
  <c r="B41" i="5"/>
  <c r="C42" i="5"/>
  <c r="B40" i="5"/>
  <c r="C41" i="5"/>
  <c r="B13" i="5"/>
  <c r="B16" i="5"/>
  <c r="B21" i="5"/>
  <c r="B20" i="5"/>
  <c r="C21" i="5"/>
  <c r="B19" i="5"/>
  <c r="C20" i="5"/>
  <c r="N5" i="2"/>
  <c r="F5" i="2"/>
  <c r="G5" i="2"/>
  <c r="H5" i="2"/>
  <c r="G1" i="2"/>
  <c r="G2" i="2"/>
  <c r="I5" i="2"/>
  <c r="J5" i="2"/>
  <c r="K5" i="2"/>
  <c r="F6" i="2"/>
  <c r="G6" i="2"/>
  <c r="H6" i="2"/>
  <c r="I6" i="2"/>
  <c r="J6" i="2"/>
  <c r="K6" i="2"/>
  <c r="F7" i="2"/>
  <c r="G7" i="2"/>
  <c r="H7" i="2"/>
  <c r="I7" i="2"/>
  <c r="J7" i="2"/>
  <c r="K7" i="2"/>
  <c r="F8" i="2"/>
  <c r="G8" i="2"/>
  <c r="H8" i="2"/>
  <c r="I8" i="2"/>
  <c r="J8" i="2"/>
  <c r="K8" i="2"/>
  <c r="F9" i="2"/>
  <c r="G9" i="2"/>
  <c r="H9" i="2"/>
  <c r="I9" i="2"/>
  <c r="J9" i="2"/>
  <c r="K9" i="2"/>
  <c r="F10" i="2"/>
  <c r="G10" i="2"/>
  <c r="H10" i="2"/>
  <c r="I10" i="2"/>
  <c r="J10" i="2"/>
  <c r="K10" i="2"/>
  <c r="F11" i="2"/>
  <c r="G11" i="2"/>
  <c r="H11" i="2"/>
  <c r="I11" i="2"/>
  <c r="J11" i="2"/>
  <c r="K11" i="2"/>
  <c r="F12" i="2"/>
  <c r="G12" i="2"/>
  <c r="H12" i="2"/>
  <c r="I12" i="2"/>
  <c r="J12" i="2"/>
  <c r="K12" i="2"/>
  <c r="F13" i="2"/>
  <c r="G13" i="2"/>
  <c r="H13" i="2"/>
  <c r="I13" i="2"/>
  <c r="J13" i="2"/>
  <c r="K13" i="2"/>
  <c r="F14" i="2"/>
  <c r="G14" i="2"/>
  <c r="H14" i="2"/>
  <c r="I14" i="2"/>
  <c r="J14" i="2"/>
  <c r="K14" i="2"/>
  <c r="F15" i="2"/>
  <c r="G15" i="2"/>
  <c r="H15" i="2"/>
  <c r="I15" i="2"/>
  <c r="J15" i="2"/>
  <c r="K15" i="2"/>
  <c r="F16" i="2"/>
  <c r="G16" i="2"/>
  <c r="H16" i="2"/>
  <c r="I16" i="2"/>
  <c r="J16" i="2"/>
  <c r="K16" i="2"/>
  <c r="F17" i="2"/>
  <c r="G17" i="2"/>
  <c r="H17" i="2"/>
  <c r="I17" i="2"/>
  <c r="J17" i="2"/>
  <c r="K17" i="2"/>
  <c r="F18" i="2"/>
  <c r="G18" i="2"/>
  <c r="H18" i="2"/>
  <c r="I18" i="2"/>
  <c r="J18" i="2"/>
  <c r="K18" i="2"/>
  <c r="F19" i="2"/>
  <c r="G19" i="2"/>
  <c r="H19" i="2"/>
  <c r="I19" i="2"/>
  <c r="J19" i="2"/>
  <c r="K19" i="2"/>
  <c r="F20" i="2"/>
  <c r="G20" i="2"/>
  <c r="H20" i="2"/>
  <c r="I20" i="2"/>
  <c r="J20" i="2"/>
  <c r="K20" i="2"/>
  <c r="F21" i="2"/>
  <c r="G21" i="2"/>
  <c r="H21" i="2"/>
  <c r="I21" i="2"/>
  <c r="J21" i="2"/>
  <c r="K21" i="2"/>
  <c r="F22" i="2"/>
  <c r="G22" i="2"/>
  <c r="H22" i="2"/>
  <c r="I22" i="2"/>
  <c r="J22" i="2"/>
  <c r="K22" i="2"/>
  <c r="N4" i="2"/>
  <c r="C44" i="4"/>
  <c r="I41" i="4"/>
  <c r="Q40" i="4"/>
  <c r="I40" i="4"/>
  <c r="I39" i="4"/>
  <c r="I38" i="4"/>
  <c r="M37" i="4"/>
  <c r="I37" i="4"/>
  <c r="M36" i="4"/>
  <c r="I36" i="4"/>
  <c r="F73" i="3"/>
  <c r="C73" i="3"/>
  <c r="H61" i="3"/>
  <c r="E68" i="3"/>
  <c r="D68" i="3"/>
  <c r="H60" i="3"/>
  <c r="E67" i="3"/>
  <c r="H59" i="3"/>
  <c r="D66" i="3"/>
  <c r="H58" i="3"/>
  <c r="F65" i="3"/>
  <c r="H57" i="3"/>
  <c r="D64" i="3"/>
  <c r="H56" i="3"/>
  <c r="E63" i="3"/>
  <c r="N41" i="2"/>
  <c r="F41" i="2"/>
  <c r="G41" i="2"/>
  <c r="H41" i="2"/>
  <c r="G37" i="2"/>
  <c r="G38" i="2"/>
  <c r="I41" i="2"/>
  <c r="J41" i="2"/>
  <c r="K41" i="2"/>
  <c r="F42" i="2"/>
  <c r="G42" i="2"/>
  <c r="H42" i="2"/>
  <c r="I42" i="2"/>
  <c r="J42" i="2"/>
  <c r="K42" i="2"/>
  <c r="F43" i="2"/>
  <c r="G43" i="2"/>
  <c r="H43" i="2"/>
  <c r="I43" i="2"/>
  <c r="J43" i="2"/>
  <c r="K43" i="2"/>
  <c r="F44" i="2"/>
  <c r="G44" i="2"/>
  <c r="H44" i="2"/>
  <c r="I44" i="2"/>
  <c r="J44" i="2"/>
  <c r="K44" i="2"/>
  <c r="F45" i="2"/>
  <c r="G45" i="2"/>
  <c r="H45" i="2"/>
  <c r="I45" i="2"/>
  <c r="J45" i="2"/>
  <c r="K45" i="2"/>
  <c r="F46" i="2"/>
  <c r="G46" i="2"/>
  <c r="H46" i="2"/>
  <c r="I46" i="2"/>
  <c r="J46" i="2"/>
  <c r="K46" i="2"/>
  <c r="F47" i="2"/>
  <c r="G47" i="2"/>
  <c r="H47" i="2"/>
  <c r="I47" i="2"/>
  <c r="J47" i="2"/>
  <c r="K47" i="2"/>
  <c r="F48" i="2"/>
  <c r="G48" i="2"/>
  <c r="H48" i="2"/>
  <c r="I48" i="2"/>
  <c r="J48" i="2"/>
  <c r="K48" i="2"/>
  <c r="F49" i="2"/>
  <c r="G49" i="2"/>
  <c r="H49" i="2"/>
  <c r="I49" i="2"/>
  <c r="J49" i="2"/>
  <c r="K49" i="2"/>
  <c r="F50" i="2"/>
  <c r="G50" i="2"/>
  <c r="H50" i="2"/>
  <c r="I50" i="2"/>
  <c r="J50" i="2"/>
  <c r="K50" i="2"/>
  <c r="F51" i="2"/>
  <c r="G51" i="2"/>
  <c r="H51" i="2"/>
  <c r="I51" i="2"/>
  <c r="J51" i="2"/>
  <c r="K51" i="2"/>
  <c r="F52" i="2"/>
  <c r="G52" i="2"/>
  <c r="H52" i="2"/>
  <c r="I52" i="2"/>
  <c r="J52" i="2"/>
  <c r="K52" i="2"/>
  <c r="F53" i="2"/>
  <c r="G53" i="2"/>
  <c r="H53" i="2"/>
  <c r="I53" i="2"/>
  <c r="J53" i="2"/>
  <c r="K53" i="2"/>
  <c r="F54" i="2"/>
  <c r="G54" i="2"/>
  <c r="H54" i="2"/>
  <c r="I54" i="2"/>
  <c r="J54" i="2"/>
  <c r="K54" i="2"/>
  <c r="F55" i="2"/>
  <c r="G55" i="2"/>
  <c r="H55" i="2"/>
  <c r="I55" i="2"/>
  <c r="J55" i="2"/>
  <c r="K55" i="2"/>
  <c r="F56" i="2"/>
  <c r="G56" i="2"/>
  <c r="H56" i="2"/>
  <c r="I56" i="2"/>
  <c r="J56" i="2"/>
  <c r="K56" i="2"/>
  <c r="F57" i="2"/>
  <c r="G57" i="2"/>
  <c r="H57" i="2"/>
  <c r="I57" i="2"/>
  <c r="J57" i="2"/>
  <c r="K57" i="2"/>
  <c r="F58" i="2"/>
  <c r="G58" i="2"/>
  <c r="H58" i="2"/>
  <c r="I58" i="2"/>
  <c r="J58" i="2"/>
  <c r="K58" i="2"/>
  <c r="F59" i="2"/>
  <c r="G59" i="2"/>
  <c r="H59" i="2"/>
  <c r="I59" i="2"/>
  <c r="J59" i="2"/>
  <c r="K59" i="2"/>
  <c r="F60" i="2"/>
  <c r="G60" i="2"/>
  <c r="H60" i="2"/>
  <c r="I60" i="2"/>
  <c r="J60" i="2"/>
  <c r="K60" i="2"/>
  <c r="F61" i="2"/>
  <c r="G61" i="2"/>
  <c r="H61" i="2"/>
  <c r="I61" i="2"/>
  <c r="J61" i="2"/>
  <c r="K61" i="2"/>
  <c r="F62" i="2"/>
  <c r="G62" i="2"/>
  <c r="H62" i="2"/>
  <c r="I62" i="2"/>
  <c r="J62" i="2"/>
  <c r="K62" i="2"/>
  <c r="F63" i="2"/>
  <c r="G63" i="2"/>
  <c r="H63" i="2"/>
  <c r="I63" i="2"/>
  <c r="J63" i="2"/>
  <c r="K63" i="2"/>
  <c r="F64" i="2"/>
  <c r="G64" i="2"/>
  <c r="H64" i="2"/>
  <c r="I64" i="2"/>
  <c r="J64" i="2"/>
  <c r="K64" i="2"/>
  <c r="F65" i="2"/>
  <c r="G65" i="2"/>
  <c r="H65" i="2"/>
  <c r="I65" i="2"/>
  <c r="J65" i="2"/>
  <c r="K65" i="2"/>
  <c r="N40" i="2"/>
  <c r="I37" i="2"/>
  <c r="I12" i="4"/>
  <c r="I11" i="4"/>
  <c r="I10" i="4"/>
  <c r="I9" i="4"/>
  <c r="I8" i="4"/>
  <c r="I7" i="4"/>
  <c r="H31" i="3"/>
  <c r="C38" i="3"/>
  <c r="D38" i="3"/>
  <c r="E38" i="3"/>
  <c r="F38" i="3"/>
  <c r="G38" i="3"/>
  <c r="H38" i="3"/>
  <c r="H32" i="3"/>
  <c r="C39" i="3"/>
  <c r="D39" i="3"/>
  <c r="E39" i="3"/>
  <c r="F39" i="3"/>
  <c r="G39" i="3"/>
  <c r="H39" i="3"/>
  <c r="H33" i="3"/>
  <c r="C40" i="3"/>
  <c r="D40" i="3"/>
  <c r="E40" i="3"/>
  <c r="F40" i="3"/>
  <c r="G40" i="3"/>
  <c r="H40" i="3"/>
  <c r="H34" i="3"/>
  <c r="C41" i="3"/>
  <c r="D41" i="3"/>
  <c r="E41" i="3"/>
  <c r="F41" i="3"/>
  <c r="G41" i="3"/>
  <c r="H41" i="3"/>
  <c r="H35" i="3"/>
  <c r="C42" i="3"/>
  <c r="D42" i="3"/>
  <c r="E42" i="3"/>
  <c r="F42" i="3"/>
  <c r="G42" i="3"/>
  <c r="H42" i="3"/>
  <c r="H36" i="3"/>
  <c r="C43" i="3"/>
  <c r="D43" i="3"/>
  <c r="E43" i="3"/>
  <c r="F43" i="3"/>
  <c r="G43" i="3"/>
  <c r="H43" i="3"/>
  <c r="B45" i="3"/>
  <c r="B48" i="3"/>
  <c r="C48" i="3"/>
  <c r="D48" i="3"/>
  <c r="B47" i="3"/>
  <c r="B49" i="3"/>
  <c r="C47" i="3"/>
  <c r="C49" i="3"/>
  <c r="D49" i="3"/>
  <c r="E48" i="3"/>
  <c r="F48" i="3"/>
  <c r="F21" i="3"/>
  <c r="H4" i="3"/>
  <c r="C11" i="3"/>
  <c r="C21" i="3"/>
  <c r="H8" i="3"/>
  <c r="F15" i="3"/>
  <c r="H7" i="3"/>
  <c r="D14" i="3"/>
  <c r="H6" i="3"/>
  <c r="F13" i="3"/>
  <c r="F11" i="3"/>
  <c r="H9" i="3"/>
  <c r="G16" i="3"/>
  <c r="E15" i="3"/>
  <c r="G14" i="3"/>
  <c r="E13" i="3"/>
  <c r="H5" i="3"/>
  <c r="G12" i="3"/>
  <c r="E11" i="3"/>
  <c r="O33" i="1"/>
  <c r="N33" i="1"/>
  <c r="P39" i="4"/>
  <c r="C67" i="3"/>
  <c r="F67" i="3"/>
  <c r="E66" i="3"/>
  <c r="G67" i="3"/>
  <c r="D67" i="3"/>
  <c r="C63" i="3"/>
  <c r="D63" i="3"/>
  <c r="F63" i="3"/>
  <c r="G63" i="3"/>
  <c r="H63" i="3"/>
  <c r="E64" i="3"/>
  <c r="G65" i="3"/>
  <c r="F64" i="3"/>
  <c r="D65" i="3"/>
  <c r="F66" i="3"/>
  <c r="F68" i="3"/>
  <c r="C65" i="3"/>
  <c r="C64" i="3"/>
  <c r="G64" i="3"/>
  <c r="E65" i="3"/>
  <c r="C66" i="3"/>
  <c r="G66" i="3"/>
  <c r="C68" i="3"/>
  <c r="G68" i="3"/>
  <c r="D12" i="3"/>
  <c r="G11" i="3"/>
  <c r="E12" i="3"/>
  <c r="C13" i="3"/>
  <c r="G13" i="3"/>
  <c r="E14" i="3"/>
  <c r="C15" i="3"/>
  <c r="G15" i="3"/>
  <c r="E16" i="3"/>
  <c r="D16" i="3"/>
  <c r="D11" i="3"/>
  <c r="F12" i="3"/>
  <c r="D13" i="3"/>
  <c r="F14" i="3"/>
  <c r="D15" i="3"/>
  <c r="F16" i="3"/>
  <c r="C12" i="3"/>
  <c r="H12" i="3"/>
  <c r="C14" i="3"/>
  <c r="H14" i="3"/>
  <c r="C16" i="3"/>
  <c r="C15" i="4"/>
  <c r="C16" i="4"/>
  <c r="C18" i="4"/>
  <c r="M7" i="4"/>
  <c r="P11" i="4"/>
  <c r="P10" i="4"/>
  <c r="P9" i="4"/>
  <c r="M8" i="4"/>
  <c r="H67" i="3"/>
  <c r="C72" i="3"/>
  <c r="C74" i="3"/>
  <c r="B70" i="3"/>
  <c r="B72" i="3"/>
  <c r="H65" i="3"/>
  <c r="H68" i="3"/>
  <c r="H64" i="3"/>
  <c r="H66" i="3"/>
  <c r="N42" i="2"/>
  <c r="C20" i="3"/>
  <c r="C22" i="3"/>
  <c r="H11" i="3"/>
  <c r="B18" i="3"/>
  <c r="H16" i="3"/>
  <c r="H15" i="3"/>
  <c r="H13" i="3"/>
  <c r="I1" i="2"/>
  <c r="B73" i="3"/>
  <c r="B74" i="3"/>
  <c r="D73" i="3"/>
  <c r="B20" i="3"/>
  <c r="B21" i="3"/>
  <c r="D21" i="3"/>
  <c r="D72" i="3"/>
  <c r="D74" i="3"/>
  <c r="E73" i="3"/>
  <c r="B22" i="3"/>
  <c r="D22" i="3"/>
  <c r="E21" i="3"/>
  <c r="D20" i="3"/>
  <c r="D47" i="3"/>
  <c r="N6" i="2"/>
  <c r="F50" i="4" l="1"/>
  <c r="E50" i="4"/>
  <c r="F53" i="4"/>
  <c r="E53" i="4"/>
  <c r="F54" i="4"/>
  <c r="E54" i="4"/>
  <c r="E49" i="4"/>
  <c r="F49" i="4"/>
  <c r="E51" i="4"/>
  <c r="E52" i="4"/>
  <c r="L11" i="4"/>
  <c r="N11" i="4" s="1"/>
  <c r="L39" i="4"/>
  <c r="N39" i="4" s="1"/>
  <c r="L40" i="4"/>
  <c r="N40" i="4" s="1"/>
  <c r="Q10" i="4"/>
  <c r="L7" i="4"/>
  <c r="L36" i="4"/>
  <c r="Q38" i="4"/>
  <c r="Q39" i="4"/>
  <c r="N8" i="4"/>
  <c r="N7" i="4" l="1"/>
  <c r="L12" i="4"/>
  <c r="N12" i="4" s="1"/>
  <c r="O11" i="4"/>
  <c r="R11" i="4" s="1"/>
  <c r="L3" i="4"/>
  <c r="L41" i="4"/>
  <c r="N41" i="4" s="1"/>
  <c r="N36" i="4"/>
  <c r="L32" i="4"/>
  <c r="L33" i="4" l="1"/>
  <c r="D45" i="4"/>
  <c r="D47" i="4"/>
  <c r="D48" i="4"/>
  <c r="D44" i="4"/>
  <c r="D46" i="4"/>
  <c r="O38" i="4"/>
  <c r="R38" i="4" s="1"/>
  <c r="O40" i="4"/>
  <c r="R40" i="4" s="1"/>
  <c r="D17" i="4"/>
  <c r="D16" i="4"/>
  <c r="D19" i="4"/>
  <c r="L4" i="4"/>
  <c r="D18" i="4"/>
  <c r="D15" i="4"/>
  <c r="O9" i="4"/>
  <c r="R9" i="4" s="1"/>
  <c r="O10" i="4"/>
  <c r="R10" i="4" s="1"/>
  <c r="O39" i="4"/>
  <c r="R39" i="4" s="1"/>
  <c r="F16" i="4" l="1"/>
  <c r="E16" i="4"/>
  <c r="F19" i="4"/>
  <c r="E19" i="4"/>
  <c r="F15" i="4"/>
  <c r="E15" i="4"/>
  <c r="E46" i="4"/>
  <c r="F46" i="4"/>
  <c r="F44" i="4"/>
  <c r="E44" i="4"/>
  <c r="E48" i="4"/>
  <c r="F48" i="4"/>
  <c r="F47" i="4"/>
  <c r="E47" i="4"/>
  <c r="F45" i="4"/>
  <c r="E45" i="4"/>
  <c r="E18" i="4"/>
  <c r="F18" i="4"/>
  <c r="F17" i="4"/>
  <c r="E17" i="4"/>
</calcChain>
</file>

<file path=xl/sharedStrings.xml><?xml version="1.0" encoding="utf-8"?>
<sst xmlns="http://schemas.openxmlformats.org/spreadsheetml/2006/main" count="408" uniqueCount="114">
  <si>
    <t>Tipe Kelahiran</t>
  </si>
  <si>
    <t>Pengaruh Tipe Kelahiran dan musim terhadap bobot lahir</t>
  </si>
  <si>
    <t>Ulangan 1</t>
  </si>
  <si>
    <t>Ulangan 2</t>
  </si>
  <si>
    <t>Ulangan 3</t>
  </si>
  <si>
    <t>Ulangan 5</t>
  </si>
  <si>
    <t>Ulangan 4</t>
  </si>
  <si>
    <t>Total</t>
  </si>
  <si>
    <t>MUSIM HUJAN</t>
  </si>
  <si>
    <t>Tipe Kembar 2</t>
  </si>
  <si>
    <t>MUSIM KEMARAU</t>
  </si>
  <si>
    <t>Tipe Kembar 3</t>
  </si>
  <si>
    <t>Tipe Tunggal</t>
  </si>
  <si>
    <t>Pengaruh Tipe Kelahiran dan musim terhadap bobot sapih</t>
  </si>
  <si>
    <t>ID Induk Domba</t>
  </si>
  <si>
    <t>Bobot Sapih Anak</t>
  </si>
  <si>
    <t>Bobot Lahir Anak</t>
  </si>
  <si>
    <t>15 132</t>
  </si>
  <si>
    <t>12 1049</t>
  </si>
  <si>
    <t>15 4 244</t>
  </si>
  <si>
    <t>15 5 292</t>
  </si>
  <si>
    <t>15 02 061</t>
  </si>
  <si>
    <t>15 104</t>
  </si>
  <si>
    <t>15 9 586</t>
  </si>
  <si>
    <t>16 02 102</t>
  </si>
  <si>
    <t>14 11 719</t>
  </si>
  <si>
    <t>15 02 098</t>
  </si>
  <si>
    <t>15 6 347</t>
  </si>
  <si>
    <t>15 110</t>
  </si>
  <si>
    <t>15 063</t>
  </si>
  <si>
    <t>16 04 254</t>
  </si>
  <si>
    <t>15 8 536</t>
  </si>
  <si>
    <t>16 06 400</t>
  </si>
  <si>
    <t>15 062</t>
  </si>
  <si>
    <t>15 071</t>
  </si>
  <si>
    <t>15 113</t>
  </si>
  <si>
    <t>15 137</t>
  </si>
  <si>
    <t>16 04 217</t>
  </si>
  <si>
    <t>15 4 248</t>
  </si>
  <si>
    <t>Kelahiran 4 / Parietas 4 tahun januari 2019 sd desember 2020</t>
  </si>
  <si>
    <t>Frek</t>
  </si>
  <si>
    <t>Frek Kum</t>
  </si>
  <si>
    <t>Sn</t>
  </si>
  <si>
    <t>Z-score</t>
  </si>
  <si>
    <t>F(x)</t>
  </si>
  <si>
    <t>Dmax</t>
  </si>
  <si>
    <t>Dn,a</t>
  </si>
  <si>
    <t>stdev</t>
  </si>
  <si>
    <t>mean</t>
  </si>
  <si>
    <t>n</t>
  </si>
  <si>
    <t>K-S</t>
  </si>
  <si>
    <t>Difference</t>
  </si>
  <si>
    <t>Musim Hujan</t>
  </si>
  <si>
    <t>Musim Kemarau</t>
  </si>
  <si>
    <t>Musim</t>
  </si>
  <si>
    <t>Mean</t>
  </si>
  <si>
    <t>https://digensia.wordpress.com/2012/08/31/uji-levene/</t>
  </si>
  <si>
    <t>Faktor Koreksi (FK)</t>
  </si>
  <si>
    <t>Jumlah</t>
  </si>
  <si>
    <t>R Squared</t>
  </si>
  <si>
    <t>Jumlah Kuadrat</t>
  </si>
  <si>
    <t>Total (JKT)</t>
  </si>
  <si>
    <t>Perlakuan (JKP)</t>
  </si>
  <si>
    <t>Musim (JKA)</t>
  </si>
  <si>
    <t>Tipe Kelahiran (JKB)</t>
  </si>
  <si>
    <t>Interaksi (JKAB)</t>
  </si>
  <si>
    <t>Galat (JKG)</t>
  </si>
  <si>
    <t>Derajat Bebas</t>
  </si>
  <si>
    <t>Musim (A)</t>
  </si>
  <si>
    <t>Tipe Kelahiran (B)</t>
  </si>
  <si>
    <t>Sumber Keragaman</t>
  </si>
  <si>
    <t>Kuadrat Tengah</t>
  </si>
  <si>
    <t>F</t>
  </si>
  <si>
    <t>F tabel (5%)</t>
  </si>
  <si>
    <t>F tabel (10%)</t>
  </si>
  <si>
    <t>a1</t>
  </si>
  <si>
    <t>a2</t>
  </si>
  <si>
    <t>b1</t>
  </si>
  <si>
    <t>b2</t>
  </si>
  <si>
    <t>b3</t>
  </si>
  <si>
    <t>Rata-rata</t>
  </si>
  <si>
    <t>R Squared Adj</t>
  </si>
  <si>
    <t>Uji Levene Berbasis Median</t>
  </si>
  <si>
    <t>Median</t>
  </si>
  <si>
    <t>Perlakuan</t>
  </si>
  <si>
    <t>SE</t>
  </si>
  <si>
    <t>Lower Bound</t>
  </si>
  <si>
    <t>Upper Bound</t>
  </si>
  <si>
    <t>p</t>
  </si>
  <si>
    <t>q 0.05 (p, 24)</t>
  </si>
  <si>
    <t>a</t>
  </si>
  <si>
    <t>b</t>
  </si>
  <si>
    <t>c</t>
  </si>
  <si>
    <t>Rp</t>
  </si>
  <si>
    <t>Sy bar</t>
  </si>
  <si>
    <t>KTG</t>
  </si>
  <si>
    <t>BOBOT LAHIR</t>
  </si>
  <si>
    <t>F 0,05 5,24</t>
  </si>
  <si>
    <t>bobot lahir</t>
  </si>
  <si>
    <t>bobot sapih</t>
  </si>
  <si>
    <t>BOBOT Sapih</t>
  </si>
  <si>
    <t>Selisih</t>
  </si>
  <si>
    <t>Kode</t>
  </si>
  <si>
    <t>BOBOT sapih</t>
  </si>
  <si>
    <t>karena hanya membandingkan dua rata-rata</t>
  </si>
  <si>
    <t>dari tabel wilayah distudenkan untuk uji wilayah berganda</t>
  </si>
  <si>
    <t>nilai cut-off atau batas untuk membandingkan rata-rata dari dua perlakuan</t>
  </si>
  <si>
    <t>sig</t>
  </si>
  <si>
    <t>a1b1</t>
  </si>
  <si>
    <t>a1b2</t>
  </si>
  <si>
    <t>a1b3</t>
  </si>
  <si>
    <t>a2b1</t>
  </si>
  <si>
    <t>a2b2</t>
  </si>
  <si>
    <t>a2b3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</si>
</sst>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Border="1" applyAlignment="1"/>
    <xf numFmtId="0" fontId="0" fillId="0" borderId="0" xfId="0" applyBorder="1"/>
    <xf numFmtId="0" fontId="0" fillId="2" borderId="0" xfId="0" applyFill="1"/>
    <xf numFmtId="2" fontId="0" fillId="0" borderId="0" xfId="0" applyNumberFormat="1" applyBorder="1" applyAlignment="1"/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66" fontId="0" fillId="0" borderId="0" xfId="0" applyNumberFormat="1"/>
    <xf numFmtId="165" fontId="0" fillId="0" borderId="0" xfId="0" applyNumberFormat="1" applyFill="1"/>
    <xf numFmtId="0" fontId="0" fillId="4" borderId="0" xfId="0" applyFill="1"/>
    <xf numFmtId="164" fontId="0" fillId="0" borderId="0" xfId="0" applyNumberFormat="1" applyFill="1" applyBorder="1"/>
    <xf numFmtId="0" fontId="1" fillId="5" borderId="0" xfId="0" applyFont="1" applyFill="1"/>
    <xf numFmtId="0" fontId="0" fillId="5" borderId="0" xfId="0" applyFill="1"/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5" fontId="0" fillId="5" borderId="0" xfId="0" applyNumberFormat="1" applyFill="1"/>
    <xf numFmtId="0" fontId="0" fillId="5" borderId="0" xfId="0" applyFill="1" applyAlignment="1">
      <alignment horizontal="right"/>
    </xf>
    <xf numFmtId="165" fontId="0" fillId="5" borderId="0" xfId="0" applyNumberFormat="1" applyFill="1" applyAlignment="1">
      <alignment horizontal="center"/>
    </xf>
    <xf numFmtId="0" fontId="0" fillId="0" borderId="2" xfId="0" applyBorder="1" applyAlignment="1"/>
    <xf numFmtId="0" fontId="1" fillId="0" borderId="0" xfId="0" applyFont="1" applyFill="1"/>
    <xf numFmtId="166" fontId="1" fillId="0" borderId="0" xfId="0" applyNumberFormat="1" applyFont="1" applyFill="1"/>
    <xf numFmtId="0" fontId="2" fillId="0" borderId="0" xfId="0" applyFont="1"/>
    <xf numFmtId="165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"/>
  <sheetViews>
    <sheetView topLeftCell="B10" workbookViewId="0">
      <selection activeCell="D24" sqref="D24:H26"/>
    </sheetView>
  </sheetViews>
  <sheetFormatPr defaultRowHeight="15" x14ac:dyDescent="0.25"/>
  <cols>
    <col min="1" max="1" width="2.7109375" customWidth="1"/>
    <col min="4" max="4" width="11" customWidth="1"/>
    <col min="5" max="5" width="11.28515625" customWidth="1"/>
    <col min="6" max="6" width="11.85546875" customWidth="1"/>
    <col min="7" max="7" width="11.42578125" customWidth="1"/>
    <col min="8" max="8" width="10.7109375" customWidth="1"/>
    <col min="12" max="12" width="2.7109375" customWidth="1"/>
    <col min="13" max="13" width="15.140625" bestFit="1" customWidth="1"/>
    <col min="14" max="14" width="16" bestFit="1" customWidth="1"/>
    <col min="15" max="15" width="16.5703125" bestFit="1" customWidth="1"/>
  </cols>
  <sheetData>
    <row r="2" spans="2:15" x14ac:dyDescent="0.25">
      <c r="B2" s="35" t="s">
        <v>39</v>
      </c>
      <c r="C2" s="35"/>
      <c r="D2" s="35"/>
      <c r="E2" s="35"/>
      <c r="F2" s="35"/>
      <c r="G2" s="35"/>
      <c r="H2" s="35"/>
      <c r="I2" s="35"/>
      <c r="J2" s="35"/>
      <c r="K2" s="35"/>
      <c r="M2" s="29" t="s">
        <v>14</v>
      </c>
      <c r="N2" s="29" t="s">
        <v>16</v>
      </c>
      <c r="O2" s="29" t="s">
        <v>15</v>
      </c>
    </row>
    <row r="3" spans="2:15" x14ac:dyDescent="0.25">
      <c r="B3" s="34" t="s">
        <v>0</v>
      </c>
      <c r="C3" s="34"/>
      <c r="D3" s="34" t="s">
        <v>1</v>
      </c>
      <c r="E3" s="34"/>
      <c r="F3" s="34"/>
      <c r="G3" s="34"/>
      <c r="H3" s="34"/>
      <c r="I3" s="34"/>
      <c r="J3" s="34" t="s">
        <v>7</v>
      </c>
      <c r="K3" s="34"/>
      <c r="M3" s="29" t="s">
        <v>17</v>
      </c>
      <c r="N3" s="29">
        <v>3.5</v>
      </c>
      <c r="O3" s="29">
        <v>13.8</v>
      </c>
    </row>
    <row r="4" spans="2:15" x14ac:dyDescent="0.25">
      <c r="B4" s="1"/>
      <c r="C4" s="1"/>
      <c r="D4" s="1" t="s">
        <v>2</v>
      </c>
      <c r="E4" s="1" t="s">
        <v>3</v>
      </c>
      <c r="F4" s="1" t="s">
        <v>4</v>
      </c>
      <c r="G4" s="1" t="s">
        <v>6</v>
      </c>
      <c r="H4" s="1" t="s">
        <v>5</v>
      </c>
      <c r="I4" s="1"/>
      <c r="J4" s="1"/>
      <c r="K4" s="2"/>
      <c r="M4" s="29" t="s">
        <v>18</v>
      </c>
      <c r="N4" s="29">
        <v>3.9</v>
      </c>
      <c r="O4" s="29">
        <v>16.2</v>
      </c>
    </row>
    <row r="5" spans="2:15" x14ac:dyDescent="0.25">
      <c r="B5" s="34" t="s">
        <v>8</v>
      </c>
      <c r="C5" s="34"/>
      <c r="D5" s="34"/>
      <c r="E5" s="34"/>
      <c r="F5" s="34"/>
      <c r="G5" s="34"/>
      <c r="H5" s="34"/>
      <c r="I5" s="34"/>
      <c r="J5" s="34"/>
      <c r="K5" s="34"/>
      <c r="M5" s="29" t="s">
        <v>19</v>
      </c>
      <c r="N5" s="29">
        <v>3.6</v>
      </c>
      <c r="O5" s="29">
        <v>17.7</v>
      </c>
    </row>
    <row r="6" spans="2:15" x14ac:dyDescent="0.25">
      <c r="B6" s="34" t="s">
        <v>12</v>
      </c>
      <c r="C6" s="34"/>
      <c r="D6" s="1">
        <v>3.5</v>
      </c>
      <c r="E6" s="1">
        <v>3.9</v>
      </c>
      <c r="F6" s="1">
        <v>3.6</v>
      </c>
      <c r="G6" s="1">
        <v>3.5</v>
      </c>
      <c r="H6" s="1">
        <v>3.2</v>
      </c>
      <c r="I6" s="1"/>
      <c r="J6" s="1"/>
      <c r="K6" s="1"/>
      <c r="M6" s="29" t="s">
        <v>20</v>
      </c>
      <c r="N6" s="29">
        <v>3.5</v>
      </c>
      <c r="O6" s="29">
        <v>15.3</v>
      </c>
    </row>
    <row r="7" spans="2:15" x14ac:dyDescent="0.25">
      <c r="B7" s="34" t="s">
        <v>9</v>
      </c>
      <c r="C7" s="34"/>
      <c r="D7" s="1">
        <v>2.4</v>
      </c>
      <c r="E7" s="1">
        <v>2.8</v>
      </c>
      <c r="F7" s="1">
        <v>2.6</v>
      </c>
      <c r="G7" s="1">
        <v>2.4</v>
      </c>
      <c r="H7" s="1">
        <v>2.8</v>
      </c>
      <c r="I7" s="1"/>
      <c r="J7" s="1"/>
      <c r="K7" s="1"/>
      <c r="M7" s="29" t="s">
        <v>21</v>
      </c>
      <c r="N7" s="29">
        <v>3.2</v>
      </c>
      <c r="O7" s="29">
        <v>12.3</v>
      </c>
    </row>
    <row r="8" spans="2:15" x14ac:dyDescent="0.25">
      <c r="B8" s="34" t="s">
        <v>11</v>
      </c>
      <c r="C8" s="34"/>
      <c r="D8" s="1">
        <v>2.6</v>
      </c>
      <c r="E8" s="1">
        <v>1.8</v>
      </c>
      <c r="F8" s="1">
        <v>2.2999999999999998</v>
      </c>
      <c r="G8" s="1">
        <v>2.2000000000000002</v>
      </c>
      <c r="H8" s="1">
        <v>2.4</v>
      </c>
      <c r="I8" s="1"/>
      <c r="J8" s="1"/>
      <c r="K8" s="1"/>
      <c r="M8" s="29" t="s">
        <v>22</v>
      </c>
      <c r="N8" s="29">
        <v>2.4</v>
      </c>
      <c r="O8" s="29">
        <v>8.9</v>
      </c>
    </row>
    <row r="9" spans="2:15" x14ac:dyDescent="0.25">
      <c r="B9" s="34" t="s">
        <v>10</v>
      </c>
      <c r="C9" s="34"/>
      <c r="D9" s="34"/>
      <c r="E9" s="34"/>
      <c r="F9" s="34"/>
      <c r="G9" s="34"/>
      <c r="H9" s="34"/>
      <c r="I9" s="34"/>
      <c r="J9" s="34"/>
      <c r="K9" s="34"/>
      <c r="M9" s="29"/>
      <c r="N9" s="29">
        <v>2.8</v>
      </c>
      <c r="O9" s="29">
        <v>9.3000000000000007</v>
      </c>
    </row>
    <row r="10" spans="2:15" x14ac:dyDescent="0.25">
      <c r="B10" s="34" t="s">
        <v>12</v>
      </c>
      <c r="C10" s="34"/>
      <c r="D10" s="3">
        <v>3.4</v>
      </c>
      <c r="E10" s="3">
        <v>3.2</v>
      </c>
      <c r="F10" s="3">
        <v>4.2</v>
      </c>
      <c r="G10" s="3">
        <v>3.6</v>
      </c>
      <c r="H10" s="3">
        <v>3.5</v>
      </c>
      <c r="I10" s="2"/>
      <c r="J10" s="2"/>
      <c r="K10" s="2"/>
      <c r="M10" s="29" t="s">
        <v>23</v>
      </c>
      <c r="N10" s="29">
        <v>2.6</v>
      </c>
      <c r="O10" s="29">
        <v>12.7</v>
      </c>
    </row>
    <row r="11" spans="2:15" x14ac:dyDescent="0.25">
      <c r="B11" s="34" t="s">
        <v>9</v>
      </c>
      <c r="C11" s="34"/>
      <c r="D11" s="3">
        <v>3</v>
      </c>
      <c r="E11" s="3">
        <v>2.9</v>
      </c>
      <c r="F11" s="3">
        <v>2.7</v>
      </c>
      <c r="G11" s="3">
        <v>2.4</v>
      </c>
      <c r="H11" s="3">
        <v>2.2999999999999998</v>
      </c>
      <c r="I11" s="2"/>
      <c r="J11" s="2"/>
      <c r="K11" s="2"/>
      <c r="M11" s="29"/>
      <c r="N11" s="29">
        <v>2.4</v>
      </c>
      <c r="O11" s="29">
        <v>9.4</v>
      </c>
    </row>
    <row r="12" spans="2:15" x14ac:dyDescent="0.25">
      <c r="B12" s="34" t="s">
        <v>11</v>
      </c>
      <c r="C12" s="34"/>
      <c r="D12" s="3">
        <v>2.2999999999999998</v>
      </c>
      <c r="E12" s="3">
        <v>2.2000000000000002</v>
      </c>
      <c r="F12" s="3">
        <v>1.6</v>
      </c>
      <c r="G12" s="3">
        <v>2</v>
      </c>
      <c r="H12" s="3">
        <v>1.5</v>
      </c>
      <c r="I12" s="2"/>
      <c r="J12" s="2"/>
      <c r="K12" s="2"/>
      <c r="M12" s="29" t="s">
        <v>24</v>
      </c>
      <c r="N12" s="29">
        <v>2.8</v>
      </c>
      <c r="O12" s="29">
        <v>11.3</v>
      </c>
    </row>
    <row r="13" spans="2:1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M13" s="29" t="s">
        <v>25</v>
      </c>
      <c r="N13" s="29">
        <v>2.6</v>
      </c>
      <c r="O13" s="29">
        <v>9.3000000000000007</v>
      </c>
    </row>
    <row r="14" spans="2:15" x14ac:dyDescent="0.25">
      <c r="B14" s="34" t="s">
        <v>7</v>
      </c>
      <c r="C14" s="34"/>
      <c r="D14" s="2"/>
      <c r="E14" s="2"/>
      <c r="F14" s="2"/>
      <c r="G14" s="2"/>
      <c r="H14" s="2"/>
      <c r="I14" s="2"/>
      <c r="J14" s="2"/>
      <c r="K14" s="2"/>
      <c r="M14" s="29"/>
      <c r="N14" s="29">
        <v>1.8</v>
      </c>
      <c r="O14" s="29">
        <v>7.8</v>
      </c>
    </row>
    <row r="15" spans="2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M15" s="29" t="s">
        <v>26</v>
      </c>
      <c r="N15" s="29">
        <v>2.2999999999999998</v>
      </c>
      <c r="O15" s="29">
        <v>8</v>
      </c>
    </row>
    <row r="16" spans="2:15" x14ac:dyDescent="0.25">
      <c r="M16" s="29"/>
      <c r="N16" s="29">
        <v>2.2000000000000002</v>
      </c>
      <c r="O16" s="29">
        <v>7.8</v>
      </c>
    </row>
    <row r="17" spans="2:15" x14ac:dyDescent="0.25">
      <c r="B17" s="34" t="s">
        <v>0</v>
      </c>
      <c r="C17" s="34"/>
      <c r="D17" s="34" t="s">
        <v>13</v>
      </c>
      <c r="E17" s="34"/>
      <c r="F17" s="34"/>
      <c r="G17" s="34"/>
      <c r="H17" s="34"/>
      <c r="I17" s="34"/>
      <c r="J17" s="34" t="s">
        <v>7</v>
      </c>
      <c r="K17" s="34"/>
      <c r="M17" s="29" t="s">
        <v>27</v>
      </c>
      <c r="N17" s="29">
        <v>2.4</v>
      </c>
      <c r="O17" s="29">
        <v>11.5</v>
      </c>
    </row>
    <row r="18" spans="2:15" x14ac:dyDescent="0.25">
      <c r="B18" s="1"/>
      <c r="C18" s="1"/>
      <c r="D18" s="1" t="s">
        <v>2</v>
      </c>
      <c r="E18" s="1" t="s">
        <v>3</v>
      </c>
      <c r="F18" s="1" t="s">
        <v>4</v>
      </c>
      <c r="G18" s="1" t="s">
        <v>6</v>
      </c>
      <c r="H18" s="1" t="s">
        <v>5</v>
      </c>
      <c r="I18" s="1"/>
      <c r="J18" s="1"/>
      <c r="K18" s="1"/>
      <c r="M18" s="29" t="s">
        <v>28</v>
      </c>
      <c r="N18" s="29">
        <v>3.4</v>
      </c>
      <c r="O18" s="29">
        <v>15.3</v>
      </c>
    </row>
    <row r="19" spans="2:15" x14ac:dyDescent="0.25">
      <c r="B19" s="34" t="s">
        <v>8</v>
      </c>
      <c r="C19" s="34"/>
      <c r="D19" s="34"/>
      <c r="E19" s="34"/>
      <c r="F19" s="34"/>
      <c r="G19" s="34"/>
      <c r="H19" s="34"/>
      <c r="I19" s="34"/>
      <c r="J19" s="34"/>
      <c r="K19" s="34"/>
      <c r="M19" s="29" t="s">
        <v>29</v>
      </c>
      <c r="N19" s="29">
        <v>3.2</v>
      </c>
      <c r="O19" s="29">
        <v>14.2</v>
      </c>
    </row>
    <row r="20" spans="2:15" x14ac:dyDescent="0.25">
      <c r="B20" s="34" t="s">
        <v>12</v>
      </c>
      <c r="C20" s="34"/>
      <c r="D20" s="1">
        <v>13.8</v>
      </c>
      <c r="E20" s="1">
        <v>16.2</v>
      </c>
      <c r="F20" s="1">
        <v>17.7</v>
      </c>
      <c r="G20" s="1">
        <v>15.3</v>
      </c>
      <c r="H20" s="1">
        <v>12.3</v>
      </c>
      <c r="I20" s="1"/>
      <c r="J20" s="1"/>
      <c r="K20" s="1"/>
      <c r="M20" s="29" t="s">
        <v>30</v>
      </c>
      <c r="N20" s="29">
        <v>4.2</v>
      </c>
      <c r="O20" s="29">
        <v>13.8</v>
      </c>
    </row>
    <row r="21" spans="2:15" x14ac:dyDescent="0.25">
      <c r="B21" s="34" t="s">
        <v>9</v>
      </c>
      <c r="C21" s="34"/>
      <c r="D21" s="1">
        <v>8.9</v>
      </c>
      <c r="E21" s="1">
        <v>9.3000000000000007</v>
      </c>
      <c r="F21" s="1">
        <v>12.7</v>
      </c>
      <c r="G21" s="1">
        <v>9.4</v>
      </c>
      <c r="H21" s="1">
        <v>11.3</v>
      </c>
      <c r="I21" s="1"/>
      <c r="J21" s="1"/>
      <c r="K21" s="1"/>
      <c r="M21" s="29" t="s">
        <v>31</v>
      </c>
      <c r="N21" s="29">
        <v>3.6</v>
      </c>
      <c r="O21" s="29">
        <v>12.9</v>
      </c>
    </row>
    <row r="22" spans="2:15" x14ac:dyDescent="0.25">
      <c r="B22" s="34" t="s">
        <v>11</v>
      </c>
      <c r="C22" s="34"/>
      <c r="D22" s="1">
        <v>9.3000000000000007</v>
      </c>
      <c r="E22" s="1">
        <v>7.8</v>
      </c>
      <c r="F22" s="1">
        <v>8</v>
      </c>
      <c r="G22" s="1">
        <v>7.8</v>
      </c>
      <c r="H22" s="1">
        <v>11.5</v>
      </c>
      <c r="I22" s="1"/>
      <c r="J22" s="1"/>
      <c r="K22" s="1"/>
      <c r="M22" s="29" t="s">
        <v>32</v>
      </c>
      <c r="N22" s="29">
        <v>3.5</v>
      </c>
      <c r="O22" s="29">
        <v>13.6</v>
      </c>
    </row>
    <row r="23" spans="2:15" x14ac:dyDescent="0.25">
      <c r="B23" s="34" t="s">
        <v>10</v>
      </c>
      <c r="C23" s="34"/>
      <c r="D23" s="34"/>
      <c r="E23" s="34"/>
      <c r="F23" s="34"/>
      <c r="G23" s="34"/>
      <c r="H23" s="34"/>
      <c r="I23" s="34"/>
      <c r="J23" s="34"/>
      <c r="K23" s="34"/>
      <c r="M23" s="29" t="s">
        <v>33</v>
      </c>
      <c r="N23" s="29">
        <v>3</v>
      </c>
      <c r="O23" s="29">
        <v>11.7</v>
      </c>
    </row>
    <row r="24" spans="2:15" x14ac:dyDescent="0.25">
      <c r="B24" s="34" t="s">
        <v>12</v>
      </c>
      <c r="C24" s="34"/>
      <c r="D24" s="1">
        <v>15.3</v>
      </c>
      <c r="E24" s="1">
        <v>14.2</v>
      </c>
      <c r="F24" s="1">
        <v>13.8</v>
      </c>
      <c r="G24" s="1">
        <v>12.9</v>
      </c>
      <c r="H24" s="1">
        <v>13.6</v>
      </c>
      <c r="I24" s="1"/>
      <c r="J24" s="1"/>
      <c r="K24" s="1"/>
      <c r="M24" s="29"/>
      <c r="N24" s="29">
        <v>2.9</v>
      </c>
      <c r="O24" s="29">
        <v>9.1999999999999993</v>
      </c>
    </row>
    <row r="25" spans="2:15" x14ac:dyDescent="0.25">
      <c r="B25" s="34" t="s">
        <v>9</v>
      </c>
      <c r="C25" s="34"/>
      <c r="D25" s="1">
        <v>11.7</v>
      </c>
      <c r="E25" s="1">
        <v>9.1999999999999993</v>
      </c>
      <c r="F25" s="1">
        <v>7.9</v>
      </c>
      <c r="G25" s="1">
        <v>7.1</v>
      </c>
      <c r="H25" s="3">
        <v>6.5</v>
      </c>
      <c r="I25" s="1"/>
      <c r="J25" s="1"/>
      <c r="K25" s="1"/>
      <c r="M25" s="29" t="s">
        <v>34</v>
      </c>
      <c r="N25" s="29">
        <v>2.7</v>
      </c>
      <c r="O25" s="29">
        <v>7.9</v>
      </c>
    </row>
    <row r="26" spans="2:15" x14ac:dyDescent="0.25">
      <c r="B26" s="34" t="s">
        <v>11</v>
      </c>
      <c r="C26" s="34"/>
      <c r="D26" s="1">
        <v>7.3</v>
      </c>
      <c r="E26" s="1">
        <v>6.9</v>
      </c>
      <c r="F26" s="1">
        <v>8.1999999999999993</v>
      </c>
      <c r="G26" s="1">
        <v>8.6</v>
      </c>
      <c r="H26" s="1">
        <v>8.1999999999999993</v>
      </c>
      <c r="I26" s="1"/>
      <c r="J26" s="1"/>
      <c r="K26" s="1"/>
      <c r="M26" s="29"/>
      <c r="N26" s="29">
        <v>2.4</v>
      </c>
      <c r="O26" s="29">
        <v>7.2</v>
      </c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M27" s="29" t="s">
        <v>35</v>
      </c>
      <c r="N27" s="29">
        <v>2.2999999999999998</v>
      </c>
      <c r="O27" s="29">
        <v>6.5</v>
      </c>
    </row>
    <row r="28" spans="2:15" x14ac:dyDescent="0.25">
      <c r="B28" s="34" t="s">
        <v>7</v>
      </c>
      <c r="C28" s="34"/>
      <c r="D28" s="1"/>
      <c r="E28" s="1"/>
      <c r="F28" s="1"/>
      <c r="G28" s="1"/>
      <c r="H28" s="1"/>
      <c r="I28" s="1"/>
      <c r="J28" s="1"/>
      <c r="K28" s="1"/>
      <c r="M28" s="29" t="s">
        <v>36</v>
      </c>
      <c r="N28" s="29">
        <v>2.2999999999999998</v>
      </c>
      <c r="O28" s="29">
        <v>7.3</v>
      </c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M29" s="29"/>
      <c r="N29" s="29">
        <v>2.2000000000000002</v>
      </c>
      <c r="O29" s="29">
        <v>6.9</v>
      </c>
    </row>
    <row r="30" spans="2:15" x14ac:dyDescent="0.25">
      <c r="M30" s="29" t="s">
        <v>37</v>
      </c>
      <c r="N30" s="29">
        <v>1.6</v>
      </c>
      <c r="O30" s="29">
        <v>8.1999999999999993</v>
      </c>
    </row>
    <row r="31" spans="2:15" x14ac:dyDescent="0.25">
      <c r="M31" s="29" t="s">
        <v>38</v>
      </c>
      <c r="N31" s="29">
        <v>2</v>
      </c>
      <c r="O31" s="29">
        <v>8.6</v>
      </c>
    </row>
    <row r="32" spans="2:15" x14ac:dyDescent="0.25">
      <c r="M32" s="29"/>
      <c r="N32" s="29">
        <v>1.5</v>
      </c>
      <c r="O32" s="29">
        <v>8.1999999999999993</v>
      </c>
    </row>
    <row r="33" spans="14:15" x14ac:dyDescent="0.25">
      <c r="N33">
        <f>SUM(N3:N32)</f>
        <v>82.8</v>
      </c>
      <c r="O33">
        <f>SUM(O3:O32)</f>
        <v>322.8</v>
      </c>
    </row>
  </sheetData>
  <mergeCells count="25">
    <mergeCell ref="B26:C26"/>
    <mergeCell ref="B28:C28"/>
    <mergeCell ref="B20:C20"/>
    <mergeCell ref="B21:C21"/>
    <mergeCell ref="B22:C22"/>
    <mergeCell ref="B23:K23"/>
    <mergeCell ref="B24:C24"/>
    <mergeCell ref="B25:C25"/>
    <mergeCell ref="B2:K2"/>
    <mergeCell ref="B17:C17"/>
    <mergeCell ref="D17:I17"/>
    <mergeCell ref="J17:K17"/>
    <mergeCell ref="B3:C3"/>
    <mergeCell ref="D3:I3"/>
    <mergeCell ref="J3:K3"/>
    <mergeCell ref="B5:K5"/>
    <mergeCell ref="B6:C6"/>
    <mergeCell ref="B19:K19"/>
    <mergeCell ref="B7:C7"/>
    <mergeCell ref="B8:C8"/>
    <mergeCell ref="B9:K9"/>
    <mergeCell ref="B10:C10"/>
    <mergeCell ref="B11:C11"/>
    <mergeCell ref="B12:C1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67"/>
  <sheetViews>
    <sheetView topLeftCell="A41" zoomScale="80" zoomScaleNormal="80" workbookViewId="0">
      <selection activeCell="N5" sqref="N5"/>
    </sheetView>
  </sheetViews>
  <sheetFormatPr defaultRowHeight="15" x14ac:dyDescent="0.25"/>
  <cols>
    <col min="2" max="2" width="17.7109375" style="7" customWidth="1"/>
    <col min="3" max="3" width="18.7109375" style="7" customWidth="1"/>
    <col min="4" max="4" width="2.7109375" customWidth="1"/>
    <col min="5" max="5" width="16" bestFit="1" customWidth="1"/>
    <col min="8" max="8" width="7.42578125" customWidth="1"/>
    <col min="11" max="11" width="12" bestFit="1" customWidth="1"/>
    <col min="12" max="12" width="2.7109375" customWidth="1"/>
  </cols>
  <sheetData>
    <row r="1" spans="2:14" x14ac:dyDescent="0.25">
      <c r="B1" s="24" t="s">
        <v>14</v>
      </c>
      <c r="C1" s="24" t="s">
        <v>16</v>
      </c>
      <c r="E1" s="23"/>
      <c r="F1" s="23" t="s">
        <v>48</v>
      </c>
      <c r="G1" s="26">
        <f>AVERAGE(C2:C31)</f>
        <v>2.76</v>
      </c>
      <c r="H1" s="27" t="s">
        <v>49</v>
      </c>
      <c r="I1" s="23">
        <f>COUNT(C2:C31)</f>
        <v>30</v>
      </c>
      <c r="J1" s="23"/>
      <c r="K1" s="23"/>
    </row>
    <row r="2" spans="2:14" x14ac:dyDescent="0.25">
      <c r="B2" s="6"/>
      <c r="C2" s="9">
        <v>1.5</v>
      </c>
      <c r="E2" s="23"/>
      <c r="F2" s="23" t="s">
        <v>47</v>
      </c>
      <c r="G2" s="26">
        <f>STDEV(C2:C31)</f>
        <v>0.68410525505948427</v>
      </c>
      <c r="H2" s="23"/>
      <c r="I2" s="23"/>
      <c r="J2" s="23"/>
      <c r="K2" s="23"/>
    </row>
    <row r="3" spans="2:14" x14ac:dyDescent="0.25">
      <c r="B3" s="6" t="s">
        <v>37</v>
      </c>
      <c r="C3" s="9">
        <v>1.6</v>
      </c>
    </row>
    <row r="4" spans="2:14" x14ac:dyDescent="0.25">
      <c r="B4" s="6"/>
      <c r="C4" s="9">
        <v>1.8</v>
      </c>
      <c r="E4" s="25" t="s">
        <v>16</v>
      </c>
      <c r="F4" s="25" t="s">
        <v>40</v>
      </c>
      <c r="G4" s="25" t="s">
        <v>41</v>
      </c>
      <c r="H4" s="25" t="s">
        <v>42</v>
      </c>
      <c r="I4" s="25" t="s">
        <v>43</v>
      </c>
      <c r="J4" s="25" t="s">
        <v>44</v>
      </c>
      <c r="K4" s="25" t="s">
        <v>51</v>
      </c>
      <c r="M4" s="23" t="s">
        <v>45</v>
      </c>
      <c r="N4" s="28">
        <f>MAX(K5:K22)</f>
        <v>0.13397079850690952</v>
      </c>
    </row>
    <row r="5" spans="2:14" x14ac:dyDescent="0.25">
      <c r="B5" s="6" t="s">
        <v>38</v>
      </c>
      <c r="C5" s="9">
        <v>2</v>
      </c>
      <c r="E5">
        <v>1.5</v>
      </c>
      <c r="F5">
        <f>COUNTIF($C$2:$C$31,E5)</f>
        <v>1</v>
      </c>
      <c r="G5">
        <f>SUM($F$5:F5)</f>
        <v>1</v>
      </c>
      <c r="H5" s="5">
        <f>G5/30</f>
        <v>3.3333333333333333E-2</v>
      </c>
      <c r="I5">
        <f>(E5-$G$1)/$G$2</f>
        <v>-1.8418218405447571</v>
      </c>
      <c r="J5">
        <f>NORMSDIST(I5)</f>
        <v>3.2750607128465885E-2</v>
      </c>
      <c r="K5">
        <f>ABS(H5-J5)</f>
        <v>5.8272620486744808E-4</v>
      </c>
      <c r="M5" s="23" t="s">
        <v>46</v>
      </c>
      <c r="N5" s="28">
        <f>1.3581/SQRT(30)</f>
        <v>0.24795400178258872</v>
      </c>
    </row>
    <row r="6" spans="2:14" x14ac:dyDescent="0.25">
      <c r="B6" s="6"/>
      <c r="C6" s="9">
        <v>2.2000000000000002</v>
      </c>
      <c r="E6">
        <v>1.6</v>
      </c>
      <c r="F6">
        <f t="shared" ref="F6:F22" si="0">COUNTIF($C$2:$C$31,E6)</f>
        <v>1</v>
      </c>
      <c r="G6">
        <f>SUM($F$5:F6)</f>
        <v>2</v>
      </c>
      <c r="H6" s="5">
        <f t="shared" ref="H6:H22" si="1">G6/30</f>
        <v>6.6666666666666666E-2</v>
      </c>
      <c r="I6">
        <f t="shared" ref="I6:I22" si="2">(E6-$G$1)/$G$2</f>
        <v>-1.6956455039935856</v>
      </c>
      <c r="J6">
        <f t="shared" ref="J6:J22" si="3">NORMSDIST(I6)</f>
        <v>4.4976517361915859E-2</v>
      </c>
      <c r="K6">
        <f t="shared" ref="K6:K22" si="4">ABS(H6-J6)</f>
        <v>2.1690149304750807E-2</v>
      </c>
      <c r="M6" s="23" t="s">
        <v>50</v>
      </c>
      <c r="N6" s="25" t="str">
        <f>IF(N4&lt;N5,"Normal","Not Normal")</f>
        <v>Normal</v>
      </c>
    </row>
    <row r="7" spans="2:14" x14ac:dyDescent="0.25">
      <c r="B7" s="6"/>
      <c r="C7" s="9">
        <v>2.2000000000000002</v>
      </c>
      <c r="E7">
        <v>1.8</v>
      </c>
      <c r="F7">
        <f t="shared" si="0"/>
        <v>1</v>
      </c>
      <c r="G7">
        <f>SUM($F$5:F7)</f>
        <v>3</v>
      </c>
      <c r="H7" s="5">
        <f t="shared" si="1"/>
        <v>0.1</v>
      </c>
      <c r="I7">
        <f t="shared" si="2"/>
        <v>-1.4032928308912433</v>
      </c>
      <c r="J7">
        <f t="shared" si="3"/>
        <v>8.026476757196202E-2</v>
      </c>
      <c r="K7">
        <f t="shared" si="4"/>
        <v>1.9735232428037985E-2</v>
      </c>
    </row>
    <row r="8" spans="2:14" x14ac:dyDescent="0.25">
      <c r="B8" s="6" t="s">
        <v>26</v>
      </c>
      <c r="C8" s="9">
        <v>2.2999999999999998</v>
      </c>
      <c r="E8">
        <v>2</v>
      </c>
      <c r="F8">
        <f t="shared" si="0"/>
        <v>1</v>
      </c>
      <c r="G8">
        <f>SUM($F$5:F8)</f>
        <v>4</v>
      </c>
      <c r="H8" s="5">
        <f t="shared" si="1"/>
        <v>0.13333333333333333</v>
      </c>
      <c r="I8">
        <f t="shared" si="2"/>
        <v>-1.1109401577889009</v>
      </c>
      <c r="J8">
        <f t="shared" si="3"/>
        <v>0.1332970542625638</v>
      </c>
      <c r="K8">
        <f t="shared" si="4"/>
        <v>3.6279070769529298E-5</v>
      </c>
    </row>
    <row r="9" spans="2:14" x14ac:dyDescent="0.25">
      <c r="B9" s="6" t="s">
        <v>35</v>
      </c>
      <c r="C9" s="9">
        <v>2.2999999999999998</v>
      </c>
      <c r="E9">
        <v>2.2000000000000002</v>
      </c>
      <c r="F9">
        <f t="shared" si="0"/>
        <v>2</v>
      </c>
      <c r="G9">
        <f>SUM($F$5:F9)</f>
        <v>6</v>
      </c>
      <c r="H9" s="5">
        <f t="shared" si="1"/>
        <v>0.2</v>
      </c>
      <c r="I9">
        <f t="shared" si="2"/>
        <v>-0.81858748468655829</v>
      </c>
      <c r="J9">
        <f t="shared" si="3"/>
        <v>0.20651090493192104</v>
      </c>
      <c r="K9">
        <f t="shared" si="4"/>
        <v>6.5109049319210244E-3</v>
      </c>
    </row>
    <row r="10" spans="2:14" x14ac:dyDescent="0.25">
      <c r="B10" s="6" t="s">
        <v>36</v>
      </c>
      <c r="C10" s="9">
        <v>2.2999999999999998</v>
      </c>
      <c r="E10">
        <v>2.2999999999999998</v>
      </c>
      <c r="F10">
        <f t="shared" si="0"/>
        <v>3</v>
      </c>
      <c r="G10">
        <f>SUM($F$5:F10)</f>
        <v>9</v>
      </c>
      <c r="H10" s="5">
        <f t="shared" si="1"/>
        <v>0.3</v>
      </c>
      <c r="I10">
        <f t="shared" si="2"/>
        <v>-0.6724111481353876</v>
      </c>
      <c r="J10">
        <f t="shared" si="3"/>
        <v>0.25066099381000545</v>
      </c>
      <c r="K10">
        <f t="shared" si="4"/>
        <v>4.9339006189994539E-2</v>
      </c>
    </row>
    <row r="11" spans="2:14" x14ac:dyDescent="0.25">
      <c r="B11" s="6" t="s">
        <v>22</v>
      </c>
      <c r="C11" s="9">
        <v>2.4</v>
      </c>
      <c r="E11">
        <v>2.4</v>
      </c>
      <c r="F11">
        <f t="shared" si="0"/>
        <v>4</v>
      </c>
      <c r="G11">
        <f>SUM($F$5:F11)</f>
        <v>13</v>
      </c>
      <c r="H11" s="5">
        <f t="shared" si="1"/>
        <v>0.43333333333333335</v>
      </c>
      <c r="I11">
        <f t="shared" si="2"/>
        <v>-0.52623481158421626</v>
      </c>
      <c r="J11">
        <f t="shared" si="3"/>
        <v>0.29936253482642383</v>
      </c>
      <c r="K11">
        <f t="shared" si="4"/>
        <v>0.13397079850690952</v>
      </c>
    </row>
    <row r="12" spans="2:14" x14ac:dyDescent="0.25">
      <c r="B12" s="6"/>
      <c r="C12" s="9">
        <v>2.4</v>
      </c>
      <c r="E12">
        <v>2.6</v>
      </c>
      <c r="F12">
        <f t="shared" si="0"/>
        <v>2</v>
      </c>
      <c r="G12">
        <f>SUM($F$5:F12)</f>
        <v>15</v>
      </c>
      <c r="H12" s="5">
        <f t="shared" si="1"/>
        <v>0.5</v>
      </c>
      <c r="I12">
        <f t="shared" si="2"/>
        <v>-0.2338821384818735</v>
      </c>
      <c r="J12">
        <f t="shared" si="3"/>
        <v>0.40753824005547401</v>
      </c>
      <c r="K12">
        <f t="shared" si="4"/>
        <v>9.246175994452599E-2</v>
      </c>
    </row>
    <row r="13" spans="2:14" x14ac:dyDescent="0.25">
      <c r="B13" s="6" t="s">
        <v>27</v>
      </c>
      <c r="C13" s="9">
        <v>2.4</v>
      </c>
      <c r="E13">
        <v>2.7</v>
      </c>
      <c r="F13">
        <f t="shared" si="0"/>
        <v>1</v>
      </c>
      <c r="G13">
        <f>SUM($F$5:F13)</f>
        <v>16</v>
      </c>
      <c r="H13" s="5">
        <f t="shared" si="1"/>
        <v>0.53333333333333333</v>
      </c>
      <c r="I13">
        <f t="shared" si="2"/>
        <v>-8.7705801930702154E-2</v>
      </c>
      <c r="J13">
        <f t="shared" si="3"/>
        <v>0.46505525406180304</v>
      </c>
      <c r="K13">
        <f t="shared" si="4"/>
        <v>6.827807927153029E-2</v>
      </c>
    </row>
    <row r="14" spans="2:14" x14ac:dyDescent="0.25">
      <c r="B14" s="6"/>
      <c r="C14" s="9">
        <v>2.4</v>
      </c>
      <c r="E14">
        <v>2.8</v>
      </c>
      <c r="F14">
        <f t="shared" si="0"/>
        <v>2</v>
      </c>
      <c r="G14">
        <f>SUM($F$5:F14)</f>
        <v>18</v>
      </c>
      <c r="H14" s="5">
        <f t="shared" si="1"/>
        <v>0.6</v>
      </c>
      <c r="I14">
        <f t="shared" si="2"/>
        <v>5.8470534620468542E-2</v>
      </c>
      <c r="J14">
        <f t="shared" si="3"/>
        <v>0.52331308385308284</v>
      </c>
      <c r="K14">
        <f t="shared" si="4"/>
        <v>7.6686916146917139E-2</v>
      </c>
    </row>
    <row r="15" spans="2:14" x14ac:dyDescent="0.25">
      <c r="B15" s="6" t="s">
        <v>23</v>
      </c>
      <c r="C15" s="9">
        <v>2.6</v>
      </c>
      <c r="E15">
        <v>2.9</v>
      </c>
      <c r="F15">
        <f t="shared" si="0"/>
        <v>1</v>
      </c>
      <c r="G15">
        <f>SUM($F$5:F15)</f>
        <v>19</v>
      </c>
      <c r="H15" s="5">
        <f t="shared" si="1"/>
        <v>0.6333333333333333</v>
      </c>
      <c r="I15">
        <f t="shared" si="2"/>
        <v>0.20464687117163988</v>
      </c>
      <c r="J15">
        <f t="shared" si="3"/>
        <v>0.5810759837924786</v>
      </c>
      <c r="K15">
        <f t="shared" si="4"/>
        <v>5.2257349540854703E-2</v>
      </c>
    </row>
    <row r="16" spans="2:14" x14ac:dyDescent="0.25">
      <c r="B16" s="6" t="s">
        <v>25</v>
      </c>
      <c r="C16" s="9">
        <v>2.6</v>
      </c>
      <c r="E16">
        <v>3</v>
      </c>
      <c r="F16">
        <f t="shared" si="0"/>
        <v>1</v>
      </c>
      <c r="G16">
        <f>SUM($F$5:F16)</f>
        <v>20</v>
      </c>
      <c r="H16" s="5">
        <f t="shared" si="1"/>
        <v>0.66666666666666663</v>
      </c>
      <c r="I16">
        <f t="shared" si="2"/>
        <v>0.35082320772281123</v>
      </c>
      <c r="J16">
        <f t="shared" si="3"/>
        <v>0.63713950739584402</v>
      </c>
      <c r="K16">
        <f t="shared" si="4"/>
        <v>2.9527159270822612E-2</v>
      </c>
    </row>
    <row r="17" spans="2:11" x14ac:dyDescent="0.25">
      <c r="B17" s="6" t="s">
        <v>34</v>
      </c>
      <c r="C17" s="9">
        <v>2.7</v>
      </c>
      <c r="E17">
        <v>3.2</v>
      </c>
      <c r="F17">
        <f t="shared" si="0"/>
        <v>2</v>
      </c>
      <c r="G17">
        <f>SUM($F$5:F17)</f>
        <v>22</v>
      </c>
      <c r="H17" s="5">
        <f t="shared" si="1"/>
        <v>0.73333333333333328</v>
      </c>
      <c r="I17">
        <f t="shared" si="2"/>
        <v>0.64317588082515398</v>
      </c>
      <c r="J17">
        <f t="shared" si="3"/>
        <v>0.73994500912856886</v>
      </c>
      <c r="K17">
        <f t="shared" si="4"/>
        <v>6.6116757952355831E-3</v>
      </c>
    </row>
    <row r="18" spans="2:11" x14ac:dyDescent="0.25">
      <c r="B18" s="6"/>
      <c r="C18" s="9">
        <v>2.8</v>
      </c>
      <c r="E18">
        <v>3.4</v>
      </c>
      <c r="F18">
        <f t="shared" si="0"/>
        <v>1</v>
      </c>
      <c r="G18">
        <f>SUM($F$5:F18)</f>
        <v>23</v>
      </c>
      <c r="H18" s="5">
        <f t="shared" si="1"/>
        <v>0.76666666666666672</v>
      </c>
      <c r="I18">
        <f t="shared" si="2"/>
        <v>0.93552855392749601</v>
      </c>
      <c r="J18">
        <f t="shared" si="3"/>
        <v>0.82524201246610651</v>
      </c>
      <c r="K18">
        <f t="shared" si="4"/>
        <v>5.8575345799439793E-2</v>
      </c>
    </row>
    <row r="19" spans="2:11" x14ac:dyDescent="0.25">
      <c r="B19" s="6" t="s">
        <v>24</v>
      </c>
      <c r="C19" s="9">
        <v>2.8</v>
      </c>
      <c r="E19">
        <v>3.5</v>
      </c>
      <c r="F19">
        <f t="shared" si="0"/>
        <v>3</v>
      </c>
      <c r="G19">
        <f>SUM($F$5:F19)</f>
        <v>26</v>
      </c>
      <c r="H19" s="5">
        <f t="shared" si="1"/>
        <v>0.8666666666666667</v>
      </c>
      <c r="I19">
        <f t="shared" si="2"/>
        <v>1.0817048904786672</v>
      </c>
      <c r="J19">
        <f t="shared" si="3"/>
        <v>0.86030816029693646</v>
      </c>
      <c r="K19">
        <f t="shared" si="4"/>
        <v>6.3585063697302324E-3</v>
      </c>
    </row>
    <row r="20" spans="2:11" x14ac:dyDescent="0.25">
      <c r="B20" s="6"/>
      <c r="C20" s="9">
        <v>2.9</v>
      </c>
      <c r="E20">
        <v>3.6</v>
      </c>
      <c r="F20">
        <f t="shared" si="0"/>
        <v>2</v>
      </c>
      <c r="G20">
        <f>SUM($F$5:F20)</f>
        <v>28</v>
      </c>
      <c r="H20" s="5">
        <f t="shared" si="1"/>
        <v>0.93333333333333335</v>
      </c>
      <c r="I20">
        <f t="shared" si="2"/>
        <v>1.2278812270298387</v>
      </c>
      <c r="J20">
        <f t="shared" si="3"/>
        <v>0.89025422114900565</v>
      </c>
      <c r="K20">
        <f t="shared" si="4"/>
        <v>4.3079112184327695E-2</v>
      </c>
    </row>
    <row r="21" spans="2:11" x14ac:dyDescent="0.25">
      <c r="B21" s="6" t="s">
        <v>33</v>
      </c>
      <c r="C21" s="9">
        <v>3</v>
      </c>
      <c r="E21">
        <v>3.9</v>
      </c>
      <c r="F21">
        <f t="shared" si="0"/>
        <v>1</v>
      </c>
      <c r="G21">
        <f>SUM($F$5:F21)</f>
        <v>29</v>
      </c>
      <c r="H21" s="5">
        <f t="shared" si="1"/>
        <v>0.96666666666666667</v>
      </c>
      <c r="I21">
        <f t="shared" si="2"/>
        <v>1.666410236683352</v>
      </c>
      <c r="J21">
        <f t="shared" si="3"/>
        <v>0.95218413335460395</v>
      </c>
      <c r="K21">
        <f t="shared" si="4"/>
        <v>1.4482533312062729E-2</v>
      </c>
    </row>
    <row r="22" spans="2:11" x14ac:dyDescent="0.25">
      <c r="B22" s="6" t="s">
        <v>21</v>
      </c>
      <c r="C22" s="9">
        <v>3.2</v>
      </c>
      <c r="E22">
        <v>4.2</v>
      </c>
      <c r="F22">
        <f t="shared" si="0"/>
        <v>1</v>
      </c>
      <c r="G22">
        <f>SUM($F$5:F22)</f>
        <v>30</v>
      </c>
      <c r="H22" s="5">
        <f t="shared" si="1"/>
        <v>1</v>
      </c>
      <c r="I22">
        <f t="shared" si="2"/>
        <v>2.1049392463368659</v>
      </c>
      <c r="J22">
        <f t="shared" si="3"/>
        <v>0.98235170157929586</v>
      </c>
      <c r="K22">
        <f t="shared" si="4"/>
        <v>1.7648298420704145E-2</v>
      </c>
    </row>
    <row r="23" spans="2:11" x14ac:dyDescent="0.25">
      <c r="B23" s="6" t="s">
        <v>29</v>
      </c>
      <c r="C23" s="9">
        <v>3.2</v>
      </c>
    </row>
    <row r="24" spans="2:11" x14ac:dyDescent="0.25">
      <c r="B24" s="6" t="s">
        <v>28</v>
      </c>
      <c r="C24" s="9">
        <v>3.4</v>
      </c>
    </row>
    <row r="25" spans="2:11" x14ac:dyDescent="0.25">
      <c r="B25" s="6" t="s">
        <v>17</v>
      </c>
      <c r="C25" s="9">
        <v>3.5</v>
      </c>
    </row>
    <row r="26" spans="2:11" x14ac:dyDescent="0.25">
      <c r="B26" s="6" t="s">
        <v>20</v>
      </c>
      <c r="C26" s="9">
        <v>3.5</v>
      </c>
    </row>
    <row r="27" spans="2:11" x14ac:dyDescent="0.25">
      <c r="B27" s="6" t="s">
        <v>32</v>
      </c>
      <c r="C27" s="9">
        <v>3.5</v>
      </c>
    </row>
    <row r="28" spans="2:11" x14ac:dyDescent="0.25">
      <c r="B28" s="6" t="s">
        <v>19</v>
      </c>
      <c r="C28" s="9">
        <v>3.6</v>
      </c>
    </row>
    <row r="29" spans="2:11" x14ac:dyDescent="0.25">
      <c r="B29" s="6" t="s">
        <v>31</v>
      </c>
      <c r="C29" s="9">
        <v>3.6</v>
      </c>
    </row>
    <row r="30" spans="2:11" x14ac:dyDescent="0.25">
      <c r="B30" s="6" t="s">
        <v>18</v>
      </c>
      <c r="C30" s="9">
        <v>3.9</v>
      </c>
    </row>
    <row r="31" spans="2:11" x14ac:dyDescent="0.25">
      <c r="B31" s="6" t="s">
        <v>30</v>
      </c>
      <c r="C31" s="9">
        <v>4.2</v>
      </c>
    </row>
    <row r="37" spans="2:14" x14ac:dyDescent="0.25">
      <c r="B37" s="24" t="s">
        <v>14</v>
      </c>
      <c r="C37" s="24" t="s">
        <v>15</v>
      </c>
      <c r="E37" s="23"/>
      <c r="F37" s="23" t="s">
        <v>48</v>
      </c>
      <c r="G37" s="26">
        <f>AVERAGE(C38:C67)</f>
        <v>10.76</v>
      </c>
      <c r="H37" s="27" t="s">
        <v>49</v>
      </c>
      <c r="I37" s="23">
        <f>COUNT(C38:C67)</f>
        <v>30</v>
      </c>
      <c r="J37" s="23"/>
      <c r="K37" s="23"/>
    </row>
    <row r="38" spans="2:14" x14ac:dyDescent="0.25">
      <c r="B38" s="29" t="s">
        <v>35</v>
      </c>
      <c r="C38" s="29">
        <v>6.5</v>
      </c>
      <c r="E38" s="23"/>
      <c r="F38" s="23" t="s">
        <v>47</v>
      </c>
      <c r="G38" s="26">
        <f>STDEV(C38:C67)</f>
        <v>3.1655037186999855</v>
      </c>
      <c r="H38" s="23"/>
      <c r="I38" s="23"/>
      <c r="J38" s="23"/>
      <c r="K38" s="23"/>
    </row>
    <row r="39" spans="2:14" x14ac:dyDescent="0.25">
      <c r="B39" s="29"/>
      <c r="C39" s="29">
        <v>6.9</v>
      </c>
    </row>
    <row r="40" spans="2:14" x14ac:dyDescent="0.25">
      <c r="B40" s="29"/>
      <c r="C40" s="29">
        <v>7.2</v>
      </c>
      <c r="E40" s="25" t="s">
        <v>16</v>
      </c>
      <c r="F40" s="25" t="s">
        <v>40</v>
      </c>
      <c r="G40" s="25" t="s">
        <v>41</v>
      </c>
      <c r="H40" s="25" t="s">
        <v>42</v>
      </c>
      <c r="I40" s="25" t="s">
        <v>43</v>
      </c>
      <c r="J40" s="25" t="s">
        <v>44</v>
      </c>
      <c r="K40" s="25" t="s">
        <v>51</v>
      </c>
      <c r="M40" s="23" t="s">
        <v>45</v>
      </c>
      <c r="N40" s="28">
        <f>MAX(K41:K65)</f>
        <v>0.19960146091316622</v>
      </c>
    </row>
    <row r="41" spans="2:14" x14ac:dyDescent="0.25">
      <c r="B41" s="29" t="s">
        <v>36</v>
      </c>
      <c r="C41" s="29">
        <v>7.3</v>
      </c>
      <c r="E41" s="29">
        <v>6.5</v>
      </c>
      <c r="F41">
        <f>COUNTIF($C$38:$C$67,E41)</f>
        <v>1</v>
      </c>
      <c r="G41">
        <f>SUM($F$41:F41)</f>
        <v>1</v>
      </c>
      <c r="H41" s="5">
        <f>G41/30</f>
        <v>3.3333333333333333E-2</v>
      </c>
      <c r="I41">
        <f>(E41-$G$37)/$G$38</f>
        <v>-1.3457573828880238</v>
      </c>
      <c r="J41">
        <f>NORMSDIST(I41)</f>
        <v>8.9190386797758814E-2</v>
      </c>
      <c r="K41">
        <f>ABS(H41-J41)</f>
        <v>5.5857053464425481E-2</v>
      </c>
      <c r="M41" s="23" t="s">
        <v>46</v>
      </c>
      <c r="N41" s="28">
        <f>1.3581/SQRT(30)</f>
        <v>0.24795400178258872</v>
      </c>
    </row>
    <row r="42" spans="2:14" x14ac:dyDescent="0.25">
      <c r="B42" s="29"/>
      <c r="C42" s="29">
        <v>7.8</v>
      </c>
      <c r="E42" s="29">
        <v>6.9</v>
      </c>
      <c r="F42">
        <f t="shared" ref="F42:F65" si="5">COUNTIF($C$38:$C$67,E42)</f>
        <v>1</v>
      </c>
      <c r="G42">
        <f>SUM($F$41:F42)</f>
        <v>2</v>
      </c>
      <c r="H42" s="5">
        <f t="shared" ref="H42:H65" si="6">G42/30</f>
        <v>6.6666666666666666E-2</v>
      </c>
      <c r="I42">
        <f t="shared" ref="I42:I65" si="7">(E42-$G$37)/$G$38</f>
        <v>-1.2193951873116835</v>
      </c>
      <c r="J42">
        <f t="shared" ref="J42:J65" si="8">NORMSDIST(I42)</f>
        <v>0.11134711785233832</v>
      </c>
      <c r="K42">
        <f t="shared" ref="K42:K65" si="9">ABS(H42-J42)</f>
        <v>4.4680451185671655E-2</v>
      </c>
      <c r="M42" s="23" t="s">
        <v>50</v>
      </c>
      <c r="N42" s="25" t="str">
        <f>IF(N40&lt;N41,"Normal","Not Normal")</f>
        <v>Normal</v>
      </c>
    </row>
    <row r="43" spans="2:14" x14ac:dyDescent="0.25">
      <c r="B43" s="29"/>
      <c r="C43" s="29">
        <v>7.8</v>
      </c>
      <c r="E43" s="29">
        <v>7.2</v>
      </c>
      <c r="F43">
        <f t="shared" si="5"/>
        <v>1</v>
      </c>
      <c r="G43">
        <f>SUM($F$41:F43)</f>
        <v>3</v>
      </c>
      <c r="H43" s="5">
        <f t="shared" si="6"/>
        <v>0.1</v>
      </c>
      <c r="I43">
        <f t="shared" si="7"/>
        <v>-1.1246235406294283</v>
      </c>
      <c r="J43">
        <f t="shared" si="8"/>
        <v>0.13037429697649056</v>
      </c>
      <c r="K43">
        <f t="shared" si="9"/>
        <v>3.037429697649055E-2</v>
      </c>
    </row>
    <row r="44" spans="2:14" x14ac:dyDescent="0.25">
      <c r="B44" s="29" t="s">
        <v>34</v>
      </c>
      <c r="C44" s="29">
        <v>7.9</v>
      </c>
      <c r="E44" s="29">
        <v>7.3</v>
      </c>
      <c r="F44">
        <f t="shared" si="5"/>
        <v>1</v>
      </c>
      <c r="G44">
        <f>SUM($F$41:F44)</f>
        <v>4</v>
      </c>
      <c r="H44" s="5">
        <f t="shared" si="6"/>
        <v>0.13333333333333333</v>
      </c>
      <c r="I44">
        <f t="shared" si="7"/>
        <v>-1.0930329917353434</v>
      </c>
      <c r="J44">
        <f t="shared" si="8"/>
        <v>0.13718965730477339</v>
      </c>
      <c r="K44">
        <f t="shared" si="9"/>
        <v>3.8563239714400621E-3</v>
      </c>
    </row>
    <row r="45" spans="2:14" x14ac:dyDescent="0.25">
      <c r="B45" s="29" t="s">
        <v>26</v>
      </c>
      <c r="C45" s="29">
        <v>8</v>
      </c>
      <c r="E45" s="29">
        <v>7.8</v>
      </c>
      <c r="F45">
        <f t="shared" si="5"/>
        <v>2</v>
      </c>
      <c r="G45">
        <f>SUM($F$41:F45)</f>
        <v>6</v>
      </c>
      <c r="H45" s="5">
        <f t="shared" si="6"/>
        <v>0.2</v>
      </c>
      <c r="I45">
        <f t="shared" si="7"/>
        <v>-0.93508024726491801</v>
      </c>
      <c r="J45">
        <f t="shared" si="8"/>
        <v>0.17487347266859365</v>
      </c>
      <c r="K45">
        <f t="shared" si="9"/>
        <v>2.5126527331406356E-2</v>
      </c>
    </row>
    <row r="46" spans="2:14" x14ac:dyDescent="0.25">
      <c r="B46" s="29" t="s">
        <v>37</v>
      </c>
      <c r="C46" s="29">
        <v>8.1999999999999993</v>
      </c>
      <c r="E46" s="29">
        <v>7.9</v>
      </c>
      <c r="F46">
        <f t="shared" si="5"/>
        <v>1</v>
      </c>
      <c r="G46">
        <f>SUM($F$41:F46)</f>
        <v>7</v>
      </c>
      <c r="H46" s="5">
        <f t="shared" si="6"/>
        <v>0.23333333333333334</v>
      </c>
      <c r="I46">
        <f t="shared" si="7"/>
        <v>-0.90348969837083282</v>
      </c>
      <c r="J46">
        <f t="shared" si="8"/>
        <v>0.18313302661167702</v>
      </c>
      <c r="K46">
        <f t="shared" si="9"/>
        <v>5.0200306721656318E-2</v>
      </c>
    </row>
    <row r="47" spans="2:14" x14ac:dyDescent="0.25">
      <c r="B47" s="29"/>
      <c r="C47" s="29">
        <v>8.1999999999999993</v>
      </c>
      <c r="E47" s="29">
        <v>8</v>
      </c>
      <c r="F47">
        <f t="shared" si="5"/>
        <v>1</v>
      </c>
      <c r="G47">
        <f>SUM($F$41:F47)</f>
        <v>8</v>
      </c>
      <c r="H47" s="5">
        <f t="shared" si="6"/>
        <v>0.26666666666666666</v>
      </c>
      <c r="I47">
        <f t="shared" si="7"/>
        <v>-0.87189914947674785</v>
      </c>
      <c r="J47">
        <f t="shared" si="8"/>
        <v>0.1916316988666453</v>
      </c>
      <c r="K47">
        <f t="shared" si="9"/>
        <v>7.5034967800021363E-2</v>
      </c>
    </row>
    <row r="48" spans="2:14" x14ac:dyDescent="0.25">
      <c r="B48" s="29" t="s">
        <v>38</v>
      </c>
      <c r="C48" s="29">
        <v>8.6</v>
      </c>
      <c r="E48" s="29">
        <v>8.1999999999999993</v>
      </c>
      <c r="F48">
        <f t="shared" si="5"/>
        <v>2</v>
      </c>
      <c r="G48">
        <f>SUM($F$41:F48)</f>
        <v>10</v>
      </c>
      <c r="H48" s="5">
        <f t="shared" si="6"/>
        <v>0.33333333333333331</v>
      </c>
      <c r="I48">
        <f t="shared" si="7"/>
        <v>-0.80871805168857791</v>
      </c>
      <c r="J48">
        <f t="shared" si="8"/>
        <v>0.20933867117423269</v>
      </c>
      <c r="K48">
        <f t="shared" si="9"/>
        <v>0.12399466215910063</v>
      </c>
    </row>
    <row r="49" spans="2:11" x14ac:dyDescent="0.25">
      <c r="B49" s="29" t="s">
        <v>22</v>
      </c>
      <c r="C49" s="29">
        <v>8.9</v>
      </c>
      <c r="E49" s="29">
        <v>8.6</v>
      </c>
      <c r="F49">
        <f t="shared" si="5"/>
        <v>1</v>
      </c>
      <c r="G49">
        <f>SUM($F$41:F49)</f>
        <v>11</v>
      </c>
      <c r="H49" s="5">
        <f t="shared" si="6"/>
        <v>0.36666666666666664</v>
      </c>
      <c r="I49">
        <f t="shared" si="7"/>
        <v>-0.68235585611223759</v>
      </c>
      <c r="J49">
        <f t="shared" si="8"/>
        <v>0.24750698090410866</v>
      </c>
      <c r="K49">
        <f t="shared" si="9"/>
        <v>0.11915968576255798</v>
      </c>
    </row>
    <row r="50" spans="2:11" x14ac:dyDescent="0.25">
      <c r="B50" s="29"/>
      <c r="C50" s="29">
        <v>9.1999999999999993</v>
      </c>
      <c r="E50" s="29">
        <v>8.9</v>
      </c>
      <c r="F50">
        <f t="shared" si="5"/>
        <v>1</v>
      </c>
      <c r="G50">
        <f>SUM($F$41:F50)</f>
        <v>12</v>
      </c>
      <c r="H50" s="5">
        <f t="shared" si="6"/>
        <v>0.4</v>
      </c>
      <c r="I50">
        <f t="shared" si="7"/>
        <v>-0.58758420942998213</v>
      </c>
      <c r="J50">
        <f t="shared" si="8"/>
        <v>0.27840570623960842</v>
      </c>
      <c r="K50">
        <f t="shared" si="9"/>
        <v>0.1215942937603916</v>
      </c>
    </row>
    <row r="51" spans="2:11" x14ac:dyDescent="0.25">
      <c r="B51" s="29"/>
      <c r="C51" s="29">
        <v>9.3000000000000007</v>
      </c>
      <c r="E51" s="29">
        <v>9.1999999999999993</v>
      </c>
      <c r="F51">
        <f t="shared" si="5"/>
        <v>1</v>
      </c>
      <c r="G51">
        <f>SUM($F$41:F51)</f>
        <v>13</v>
      </c>
      <c r="H51" s="5">
        <f t="shared" si="6"/>
        <v>0.43333333333333335</v>
      </c>
      <c r="I51">
        <f t="shared" si="7"/>
        <v>-0.49281256274772722</v>
      </c>
      <c r="J51">
        <f t="shared" si="8"/>
        <v>0.31107251663499513</v>
      </c>
      <c r="K51">
        <f t="shared" si="9"/>
        <v>0.12226081669833821</v>
      </c>
    </row>
    <row r="52" spans="2:11" x14ac:dyDescent="0.25">
      <c r="B52" s="29" t="s">
        <v>25</v>
      </c>
      <c r="C52" s="29">
        <v>9.3000000000000007</v>
      </c>
      <c r="E52" s="29">
        <v>9.3000000000000007</v>
      </c>
      <c r="F52">
        <f t="shared" si="5"/>
        <v>2</v>
      </c>
      <c r="G52">
        <f>SUM($F$41:F52)</f>
        <v>15</v>
      </c>
      <c r="H52" s="5">
        <f t="shared" si="6"/>
        <v>0.5</v>
      </c>
      <c r="I52">
        <f t="shared" si="7"/>
        <v>-0.4612220138536417</v>
      </c>
      <c r="J52">
        <f t="shared" si="8"/>
        <v>0.32231966469435586</v>
      </c>
      <c r="K52">
        <f t="shared" si="9"/>
        <v>0.17768033530564414</v>
      </c>
    </row>
    <row r="53" spans="2:11" x14ac:dyDescent="0.25">
      <c r="B53" s="29"/>
      <c r="C53" s="29">
        <v>9.4</v>
      </c>
      <c r="E53" s="29">
        <v>9.4</v>
      </c>
      <c r="F53">
        <f t="shared" si="5"/>
        <v>1</v>
      </c>
      <c r="G53">
        <f>SUM($F$41:F53)</f>
        <v>16</v>
      </c>
      <c r="H53" s="5">
        <f t="shared" si="6"/>
        <v>0.53333333333333333</v>
      </c>
      <c r="I53">
        <f t="shared" si="7"/>
        <v>-0.42963146495955679</v>
      </c>
      <c r="J53">
        <f t="shared" si="8"/>
        <v>0.33373187242016711</v>
      </c>
      <c r="K53">
        <f t="shared" si="9"/>
        <v>0.19960146091316622</v>
      </c>
    </row>
    <row r="54" spans="2:11" x14ac:dyDescent="0.25">
      <c r="B54" s="29" t="s">
        <v>24</v>
      </c>
      <c r="C54" s="29">
        <v>11.3</v>
      </c>
      <c r="E54" s="29">
        <v>11.3</v>
      </c>
      <c r="F54">
        <f t="shared" si="5"/>
        <v>1</v>
      </c>
      <c r="G54">
        <f>SUM($F$41:F54)</f>
        <v>17</v>
      </c>
      <c r="H54" s="5">
        <f t="shared" si="6"/>
        <v>0.56666666666666665</v>
      </c>
      <c r="I54">
        <f t="shared" si="7"/>
        <v>0.17058896402805968</v>
      </c>
      <c r="J54">
        <f t="shared" si="8"/>
        <v>0.56772651192286561</v>
      </c>
      <c r="K54">
        <f t="shared" si="9"/>
        <v>1.0598452561989546E-3</v>
      </c>
    </row>
    <row r="55" spans="2:11" x14ac:dyDescent="0.25">
      <c r="B55" s="29" t="s">
        <v>27</v>
      </c>
      <c r="C55" s="29">
        <v>11.5</v>
      </c>
      <c r="E55" s="29">
        <v>11.5</v>
      </c>
      <c r="F55">
        <f t="shared" si="5"/>
        <v>1</v>
      </c>
      <c r="G55">
        <f>SUM($F$41:F55)</f>
        <v>18</v>
      </c>
      <c r="H55" s="5">
        <f t="shared" si="6"/>
        <v>0.6</v>
      </c>
      <c r="I55">
        <f t="shared" si="7"/>
        <v>0.23377006181622959</v>
      </c>
      <c r="J55">
        <f t="shared" si="8"/>
        <v>0.59241825357751099</v>
      </c>
      <c r="K55">
        <f t="shared" si="9"/>
        <v>7.5817464224889886E-3</v>
      </c>
    </row>
    <row r="56" spans="2:11" x14ac:dyDescent="0.25">
      <c r="B56" s="29" t="s">
        <v>33</v>
      </c>
      <c r="C56" s="29">
        <v>11.7</v>
      </c>
      <c r="E56" s="29">
        <v>11.7</v>
      </c>
      <c r="F56">
        <f t="shared" si="5"/>
        <v>1</v>
      </c>
      <c r="G56">
        <f>SUM($F$41:F56)</f>
        <v>19</v>
      </c>
      <c r="H56" s="5">
        <f t="shared" si="6"/>
        <v>0.6333333333333333</v>
      </c>
      <c r="I56">
        <f t="shared" si="7"/>
        <v>0.29695115960439949</v>
      </c>
      <c r="J56">
        <f t="shared" si="8"/>
        <v>0.61674810147686021</v>
      </c>
      <c r="K56">
        <f t="shared" si="9"/>
        <v>1.6585231856473093E-2</v>
      </c>
    </row>
    <row r="57" spans="2:11" x14ac:dyDescent="0.25">
      <c r="B57" s="29" t="s">
        <v>21</v>
      </c>
      <c r="C57" s="29">
        <v>12.3</v>
      </c>
      <c r="E57" s="29">
        <v>12.3</v>
      </c>
      <c r="F57">
        <f t="shared" si="5"/>
        <v>1</v>
      </c>
      <c r="G57">
        <f>SUM($F$41:F57)</f>
        <v>20</v>
      </c>
      <c r="H57" s="5">
        <f t="shared" si="6"/>
        <v>0.66666666666666663</v>
      </c>
      <c r="I57">
        <f t="shared" si="7"/>
        <v>0.48649445296891036</v>
      </c>
      <c r="J57">
        <f t="shared" si="8"/>
        <v>0.68669168136313152</v>
      </c>
      <c r="K57">
        <f t="shared" si="9"/>
        <v>2.0025014696464893E-2</v>
      </c>
    </row>
    <row r="58" spans="2:11" x14ac:dyDescent="0.25">
      <c r="B58" s="29" t="s">
        <v>23</v>
      </c>
      <c r="C58" s="29">
        <v>12.7</v>
      </c>
      <c r="E58" s="29">
        <v>12.7</v>
      </c>
      <c r="F58">
        <f t="shared" si="5"/>
        <v>1</v>
      </c>
      <c r="G58">
        <f>SUM($F$41:F58)</f>
        <v>21</v>
      </c>
      <c r="H58" s="5">
        <f t="shared" si="6"/>
        <v>0.7</v>
      </c>
      <c r="I58">
        <f t="shared" si="7"/>
        <v>0.61285664854525024</v>
      </c>
      <c r="J58">
        <f t="shared" si="8"/>
        <v>0.73001443497314988</v>
      </c>
      <c r="K58">
        <f t="shared" si="9"/>
        <v>3.0014434973149928E-2</v>
      </c>
    </row>
    <row r="59" spans="2:11" x14ac:dyDescent="0.25">
      <c r="B59" s="29" t="s">
        <v>31</v>
      </c>
      <c r="C59" s="29">
        <v>12.9</v>
      </c>
      <c r="E59" s="29">
        <v>12.9</v>
      </c>
      <c r="F59">
        <f t="shared" si="5"/>
        <v>1</v>
      </c>
      <c r="G59">
        <f>SUM($F$41:F59)</f>
        <v>22</v>
      </c>
      <c r="H59" s="5">
        <f t="shared" si="6"/>
        <v>0.73333333333333328</v>
      </c>
      <c r="I59">
        <f t="shared" si="7"/>
        <v>0.67603774633342062</v>
      </c>
      <c r="J59">
        <f t="shared" si="8"/>
        <v>0.7504916599930247</v>
      </c>
      <c r="K59">
        <f t="shared" si="9"/>
        <v>1.7158326659691414E-2</v>
      </c>
    </row>
    <row r="60" spans="2:11" x14ac:dyDescent="0.25">
      <c r="B60" s="29" t="s">
        <v>32</v>
      </c>
      <c r="C60" s="29">
        <v>13.6</v>
      </c>
      <c r="E60" s="29">
        <v>13.6</v>
      </c>
      <c r="F60">
        <f t="shared" si="5"/>
        <v>1</v>
      </c>
      <c r="G60">
        <f>SUM($F$41:F60)</f>
        <v>23</v>
      </c>
      <c r="H60" s="5">
        <f t="shared" si="6"/>
        <v>0.76666666666666672</v>
      </c>
      <c r="I60">
        <f t="shared" si="7"/>
        <v>0.89717158859201596</v>
      </c>
      <c r="J60">
        <f t="shared" si="8"/>
        <v>0.8151863183927317</v>
      </c>
      <c r="K60">
        <f t="shared" si="9"/>
        <v>4.8519651726064983E-2</v>
      </c>
    </row>
    <row r="61" spans="2:11" x14ac:dyDescent="0.25">
      <c r="B61" s="29" t="s">
        <v>17</v>
      </c>
      <c r="C61" s="29">
        <v>13.8</v>
      </c>
      <c r="E61" s="29">
        <v>13.8</v>
      </c>
      <c r="F61">
        <f t="shared" si="5"/>
        <v>2</v>
      </c>
      <c r="G61">
        <f>SUM($F$41:F61)</f>
        <v>25</v>
      </c>
      <c r="H61" s="5">
        <f t="shared" si="6"/>
        <v>0.83333333333333337</v>
      </c>
      <c r="I61">
        <f t="shared" si="7"/>
        <v>0.96035268638018634</v>
      </c>
      <c r="J61">
        <f t="shared" si="8"/>
        <v>0.83156112904007551</v>
      </c>
      <c r="K61">
        <f t="shared" si="9"/>
        <v>1.7722042932578619E-3</v>
      </c>
    </row>
    <row r="62" spans="2:11" x14ac:dyDescent="0.25">
      <c r="B62" s="29" t="s">
        <v>30</v>
      </c>
      <c r="C62" s="29">
        <v>13.8</v>
      </c>
      <c r="E62" s="29">
        <v>14.2</v>
      </c>
      <c r="F62">
        <f t="shared" si="5"/>
        <v>1</v>
      </c>
      <c r="G62">
        <f>SUM($F$41:F62)</f>
        <v>26</v>
      </c>
      <c r="H62" s="5">
        <f t="shared" si="6"/>
        <v>0.8666666666666667</v>
      </c>
      <c r="I62">
        <f t="shared" si="7"/>
        <v>1.0867148819565262</v>
      </c>
      <c r="J62">
        <f t="shared" si="8"/>
        <v>0.86141858252177339</v>
      </c>
      <c r="K62">
        <f t="shared" si="9"/>
        <v>5.2480841448933058E-3</v>
      </c>
    </row>
    <row r="63" spans="2:11" x14ac:dyDescent="0.25">
      <c r="B63" s="29" t="s">
        <v>29</v>
      </c>
      <c r="C63" s="29">
        <v>14.2</v>
      </c>
      <c r="E63" s="29">
        <v>15.3</v>
      </c>
      <c r="F63">
        <f t="shared" si="5"/>
        <v>2</v>
      </c>
      <c r="G63">
        <f>SUM($F$41:F63)</f>
        <v>28</v>
      </c>
      <c r="H63" s="5">
        <f t="shared" si="6"/>
        <v>0.93333333333333335</v>
      </c>
      <c r="I63">
        <f t="shared" si="7"/>
        <v>1.4342109197914625</v>
      </c>
      <c r="J63">
        <f t="shared" si="8"/>
        <v>0.92424395909452095</v>
      </c>
      <c r="K63">
        <f t="shared" si="9"/>
        <v>9.0893742388123977E-3</v>
      </c>
    </row>
    <row r="64" spans="2:11" x14ac:dyDescent="0.25">
      <c r="B64" s="29" t="s">
        <v>20</v>
      </c>
      <c r="C64" s="29">
        <v>15.3</v>
      </c>
      <c r="E64" s="29">
        <v>16.2</v>
      </c>
      <c r="F64">
        <f t="shared" si="5"/>
        <v>1</v>
      </c>
      <c r="G64">
        <f>SUM($F$41:F64)</f>
        <v>29</v>
      </c>
      <c r="H64" s="5">
        <f>G64/30</f>
        <v>0.96666666666666667</v>
      </c>
      <c r="I64">
        <f t="shared" si="7"/>
        <v>1.7185258598382276</v>
      </c>
      <c r="J64">
        <f t="shared" si="8"/>
        <v>0.95714962911294865</v>
      </c>
      <c r="K64">
        <f t="shared" si="9"/>
        <v>9.5170375537180218E-3</v>
      </c>
    </row>
    <row r="65" spans="2:11" x14ac:dyDescent="0.25">
      <c r="B65" s="29" t="s">
        <v>28</v>
      </c>
      <c r="C65" s="29">
        <v>15.3</v>
      </c>
      <c r="E65" s="29">
        <v>17.7</v>
      </c>
      <c r="F65">
        <f t="shared" si="5"/>
        <v>1</v>
      </c>
      <c r="G65">
        <f>SUM($F$41:F65)</f>
        <v>30</v>
      </c>
      <c r="H65" s="5">
        <f t="shared" si="6"/>
        <v>1</v>
      </c>
      <c r="I65">
        <f t="shared" si="7"/>
        <v>2.1923840932495038</v>
      </c>
      <c r="J65">
        <f t="shared" si="8"/>
        <v>0.98582410788769848</v>
      </c>
      <c r="K65">
        <f t="shared" si="9"/>
        <v>1.4175892112301525E-2</v>
      </c>
    </row>
    <row r="66" spans="2:11" x14ac:dyDescent="0.25">
      <c r="B66" s="29" t="s">
        <v>18</v>
      </c>
      <c r="C66" s="29">
        <v>16.2</v>
      </c>
    </row>
    <row r="67" spans="2:11" x14ac:dyDescent="0.25">
      <c r="B67" s="29" t="s">
        <v>19</v>
      </c>
      <c r="C67" s="29">
        <v>17.7</v>
      </c>
    </row>
  </sheetData>
  <sortState xmlns:xlrd2="http://schemas.microsoft.com/office/spreadsheetml/2017/richdata2" ref="B38:C67">
    <sortCondition ref="C38:C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4"/>
  <sheetViews>
    <sheetView topLeftCell="A45" zoomScale="80" zoomScaleNormal="80" workbookViewId="0">
      <selection activeCell="F73" sqref="F73"/>
    </sheetView>
  </sheetViews>
  <sheetFormatPr defaultRowHeight="15" x14ac:dyDescent="0.25"/>
  <cols>
    <col min="1" max="1" width="18.28515625" customWidth="1"/>
    <col min="2" max="4" width="15.85546875" customWidth="1"/>
    <col min="5" max="7" width="9.5703125" bestFit="1" customWidth="1"/>
    <col min="10" max="10" width="2.7109375" customWidth="1"/>
    <col min="11" max="11" width="13.85546875" bestFit="1" customWidth="1"/>
    <col min="12" max="12" width="12.140625" bestFit="1" customWidth="1"/>
    <col min="13" max="14" width="13.7109375" bestFit="1" customWidth="1"/>
    <col min="15" max="15" width="12.140625" bestFit="1" customWidth="1"/>
    <col min="16" max="17" width="13.7109375" bestFit="1" customWidth="1"/>
    <col min="24" max="29" width="8.28515625" customWidth="1"/>
  </cols>
  <sheetData>
    <row r="1" spans="1:9" x14ac:dyDescent="0.25">
      <c r="A1" s="22" t="s">
        <v>96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0" t="s">
        <v>56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10" t="s">
        <v>54</v>
      </c>
      <c r="B3" s="10" t="s">
        <v>0</v>
      </c>
      <c r="C3" s="10" t="s">
        <v>2</v>
      </c>
      <c r="D3" s="10" t="s">
        <v>3</v>
      </c>
      <c r="E3" s="10" t="s">
        <v>4</v>
      </c>
      <c r="F3" s="10" t="s">
        <v>6</v>
      </c>
      <c r="G3" s="10" t="s">
        <v>5</v>
      </c>
      <c r="H3" s="10" t="s">
        <v>55</v>
      </c>
      <c r="I3" s="15"/>
    </row>
    <row r="4" spans="1:9" x14ac:dyDescent="0.25">
      <c r="A4" s="7" t="s">
        <v>52</v>
      </c>
      <c r="B4" s="6" t="s">
        <v>12</v>
      </c>
      <c r="C4" s="11">
        <v>3.5</v>
      </c>
      <c r="D4" s="11">
        <v>3.9</v>
      </c>
      <c r="E4" s="11">
        <v>3.6</v>
      </c>
      <c r="F4" s="11">
        <v>3.5</v>
      </c>
      <c r="G4" s="11">
        <v>3.2</v>
      </c>
      <c r="H4" s="13">
        <f>AVERAGE(C4:G4)</f>
        <v>3.54</v>
      </c>
      <c r="I4" s="21"/>
    </row>
    <row r="5" spans="1:9" x14ac:dyDescent="0.25">
      <c r="A5" s="7"/>
      <c r="B5" s="6" t="s">
        <v>9</v>
      </c>
      <c r="C5" s="11">
        <v>2.4</v>
      </c>
      <c r="D5" s="11">
        <v>2.8</v>
      </c>
      <c r="E5" s="11">
        <v>2.6</v>
      </c>
      <c r="F5" s="11">
        <v>2.4</v>
      </c>
      <c r="G5" s="11">
        <v>2.8</v>
      </c>
      <c r="H5" s="13">
        <f t="shared" ref="H5:H9" si="0">AVERAGE(C5:G5)</f>
        <v>2.6</v>
      </c>
      <c r="I5" s="21"/>
    </row>
    <row r="6" spans="1:9" x14ac:dyDescent="0.25">
      <c r="A6" s="7"/>
      <c r="B6" s="6" t="s">
        <v>11</v>
      </c>
      <c r="C6" s="11">
        <v>2.6</v>
      </c>
      <c r="D6" s="11">
        <v>1.8</v>
      </c>
      <c r="E6" s="11">
        <v>2.2999999999999998</v>
      </c>
      <c r="F6" s="11">
        <v>2.2000000000000002</v>
      </c>
      <c r="G6" s="11">
        <v>2.4</v>
      </c>
      <c r="H6" s="13">
        <f t="shared" si="0"/>
        <v>2.2600000000000002</v>
      </c>
      <c r="I6" s="21"/>
    </row>
    <row r="7" spans="1:9" x14ac:dyDescent="0.25">
      <c r="A7" s="7" t="s">
        <v>53</v>
      </c>
      <c r="B7" s="6" t="s">
        <v>12</v>
      </c>
      <c r="C7" s="11">
        <v>3.4</v>
      </c>
      <c r="D7" s="11">
        <v>3.2</v>
      </c>
      <c r="E7" s="11">
        <v>4.2</v>
      </c>
      <c r="F7" s="11">
        <v>3.6</v>
      </c>
      <c r="G7" s="11">
        <v>3.5</v>
      </c>
      <c r="H7" s="13">
        <f t="shared" si="0"/>
        <v>3.5799999999999996</v>
      </c>
      <c r="I7" s="21"/>
    </row>
    <row r="8" spans="1:9" x14ac:dyDescent="0.25">
      <c r="A8" s="7"/>
      <c r="B8" s="6" t="s">
        <v>9</v>
      </c>
      <c r="C8" s="11">
        <v>3</v>
      </c>
      <c r="D8" s="11">
        <v>2.9</v>
      </c>
      <c r="E8" s="11">
        <v>2.7</v>
      </c>
      <c r="F8" s="11">
        <v>2.4</v>
      </c>
      <c r="G8" s="12">
        <v>2.2999999999999998</v>
      </c>
      <c r="H8" s="13">
        <f t="shared" si="0"/>
        <v>2.66</v>
      </c>
      <c r="I8" s="21"/>
    </row>
    <row r="9" spans="1:9" x14ac:dyDescent="0.25">
      <c r="A9" s="7"/>
      <c r="B9" s="6" t="s">
        <v>11</v>
      </c>
      <c r="C9" s="11">
        <v>2.2999999999999998</v>
      </c>
      <c r="D9" s="11">
        <v>2.2000000000000002</v>
      </c>
      <c r="E9" s="11">
        <v>1.6</v>
      </c>
      <c r="F9" s="11">
        <v>2</v>
      </c>
      <c r="G9" s="11">
        <v>1.5</v>
      </c>
      <c r="H9" s="13">
        <f t="shared" si="0"/>
        <v>1.92</v>
      </c>
      <c r="I9" s="21"/>
    </row>
    <row r="11" spans="1:9" x14ac:dyDescent="0.25">
      <c r="A11" s="7" t="s">
        <v>52</v>
      </c>
      <c r="B11" s="6" t="s">
        <v>12</v>
      </c>
      <c r="C11">
        <f>ABS(C4-$H4)</f>
        <v>4.0000000000000036E-2</v>
      </c>
      <c r="D11">
        <f t="shared" ref="D11:G11" si="1">ABS(D4-$H4)</f>
        <v>0.35999999999999988</v>
      </c>
      <c r="E11">
        <f t="shared" si="1"/>
        <v>6.0000000000000053E-2</v>
      </c>
      <c r="F11">
        <f t="shared" si="1"/>
        <v>4.0000000000000036E-2</v>
      </c>
      <c r="G11">
        <f t="shared" si="1"/>
        <v>0.33999999999999986</v>
      </c>
      <c r="H11" s="21">
        <f>SUM(C11:G11)</f>
        <v>0.83999999999999986</v>
      </c>
    </row>
    <row r="12" spans="1:9" x14ac:dyDescent="0.25">
      <c r="A12" s="7"/>
      <c r="B12" s="6" t="s">
        <v>9</v>
      </c>
      <c r="C12">
        <f t="shared" ref="C12:G12" si="2">ABS(C5-$H5)</f>
        <v>0.20000000000000018</v>
      </c>
      <c r="D12">
        <f t="shared" si="2"/>
        <v>0.19999999999999973</v>
      </c>
      <c r="E12">
        <f t="shared" si="2"/>
        <v>0</v>
      </c>
      <c r="F12">
        <f t="shared" si="2"/>
        <v>0.20000000000000018</v>
      </c>
      <c r="G12">
        <f t="shared" si="2"/>
        <v>0.19999999999999973</v>
      </c>
      <c r="H12" s="21">
        <f t="shared" ref="H12:H16" si="3">SUM(C12:G12)</f>
        <v>0.79999999999999982</v>
      </c>
    </row>
    <row r="13" spans="1:9" x14ac:dyDescent="0.25">
      <c r="A13" s="7"/>
      <c r="B13" s="6" t="s">
        <v>11</v>
      </c>
      <c r="C13">
        <f t="shared" ref="C13:G13" si="4">ABS(C6-$H6)</f>
        <v>0.33999999999999986</v>
      </c>
      <c r="D13">
        <f t="shared" si="4"/>
        <v>0.46000000000000019</v>
      </c>
      <c r="E13">
        <f t="shared" si="4"/>
        <v>3.9999999999999591E-2</v>
      </c>
      <c r="F13">
        <f t="shared" si="4"/>
        <v>6.0000000000000053E-2</v>
      </c>
      <c r="G13">
        <f t="shared" si="4"/>
        <v>0.13999999999999968</v>
      </c>
      <c r="H13" s="21">
        <f t="shared" si="3"/>
        <v>1.0399999999999994</v>
      </c>
    </row>
    <row r="14" spans="1:9" x14ac:dyDescent="0.25">
      <c r="A14" s="7" t="s">
        <v>53</v>
      </c>
      <c r="B14" s="6" t="s">
        <v>12</v>
      </c>
      <c r="C14">
        <f t="shared" ref="C14:G14" si="5">ABS(C7-$H7)</f>
        <v>0.17999999999999972</v>
      </c>
      <c r="D14">
        <f t="shared" si="5"/>
        <v>0.37999999999999945</v>
      </c>
      <c r="E14">
        <f t="shared" si="5"/>
        <v>0.62000000000000055</v>
      </c>
      <c r="F14">
        <f t="shared" si="5"/>
        <v>2.0000000000000462E-2</v>
      </c>
      <c r="G14">
        <f t="shared" si="5"/>
        <v>7.9999999999999627E-2</v>
      </c>
      <c r="H14" s="21">
        <f t="shared" si="3"/>
        <v>1.2799999999999998</v>
      </c>
    </row>
    <row r="15" spans="1:9" x14ac:dyDescent="0.25">
      <c r="A15" s="7"/>
      <c r="B15" s="6" t="s">
        <v>9</v>
      </c>
      <c r="C15">
        <f t="shared" ref="C15:G15" si="6">ABS(C8-$H8)</f>
        <v>0.33999999999999986</v>
      </c>
      <c r="D15">
        <f t="shared" si="6"/>
        <v>0.23999999999999977</v>
      </c>
      <c r="E15">
        <f t="shared" si="6"/>
        <v>4.0000000000000036E-2</v>
      </c>
      <c r="F15">
        <f t="shared" si="6"/>
        <v>0.26000000000000023</v>
      </c>
      <c r="G15">
        <f t="shared" si="6"/>
        <v>0.36000000000000032</v>
      </c>
      <c r="H15" s="21">
        <f t="shared" si="3"/>
        <v>1.2400000000000002</v>
      </c>
    </row>
    <row r="16" spans="1:9" x14ac:dyDescent="0.25">
      <c r="A16" s="7"/>
      <c r="B16" s="6" t="s">
        <v>11</v>
      </c>
      <c r="C16">
        <f t="shared" ref="C16:G16" si="7">ABS(C9-$H9)</f>
        <v>0.37999999999999989</v>
      </c>
      <c r="D16">
        <f t="shared" si="7"/>
        <v>0.28000000000000025</v>
      </c>
      <c r="E16">
        <f t="shared" si="7"/>
        <v>0.31999999999999984</v>
      </c>
      <c r="F16">
        <f t="shared" si="7"/>
        <v>8.0000000000000071E-2</v>
      </c>
      <c r="G16">
        <f t="shared" si="7"/>
        <v>0.41999999999999993</v>
      </c>
      <c r="H16" s="21">
        <f t="shared" si="3"/>
        <v>1.48</v>
      </c>
    </row>
    <row r="18" spans="1:23" x14ac:dyDescent="0.25">
      <c r="A18" t="s">
        <v>57</v>
      </c>
      <c r="B18" s="5">
        <f>(SUM(C11:G16)^2)/COUNT(C11:G16)</f>
        <v>1.4874133333333333</v>
      </c>
    </row>
    <row r="19" spans="1:23" x14ac:dyDescent="0.25">
      <c r="B19" s="14" t="s">
        <v>60</v>
      </c>
      <c r="C19" s="14" t="s">
        <v>67</v>
      </c>
      <c r="D19" s="14" t="s">
        <v>71</v>
      </c>
      <c r="E19" s="14" t="s">
        <v>72</v>
      </c>
      <c r="F19" s="14" t="s">
        <v>97</v>
      </c>
    </row>
    <row r="20" spans="1:23" x14ac:dyDescent="0.25">
      <c r="A20" t="s">
        <v>61</v>
      </c>
      <c r="B20" s="5">
        <f>SUMSQ(C11:G16)-B18</f>
        <v>0.72458666666666693</v>
      </c>
      <c r="C20">
        <f>COUNT(C11:G16)-1</f>
        <v>29</v>
      </c>
      <c r="D20" s="5">
        <f>B20/C20</f>
        <v>2.4985747126436791E-2</v>
      </c>
    </row>
    <row r="21" spans="1:23" x14ac:dyDescent="0.25">
      <c r="A21" t="s">
        <v>62</v>
      </c>
      <c r="B21" s="5">
        <f>SUMSQ(H11:H16)/5-B18</f>
        <v>7.1306666666666407E-2</v>
      </c>
      <c r="C21">
        <f>COUNTA(B11:B16)-1</f>
        <v>5</v>
      </c>
      <c r="D21" s="5">
        <f t="shared" ref="D21:D22" si="8">B21/C21</f>
        <v>1.4261333333333282E-2</v>
      </c>
      <c r="E21" s="5">
        <f>D21/D22</f>
        <v>0.52392848395787184</v>
      </c>
      <c r="F21" s="5">
        <f>FINV(0.05,5,24)</f>
        <v>2.6206541478628855</v>
      </c>
    </row>
    <row r="22" spans="1:23" x14ac:dyDescent="0.25">
      <c r="A22" t="s">
        <v>66</v>
      </c>
      <c r="B22" s="5">
        <f>B20-B21</f>
        <v>0.65328000000000053</v>
      </c>
      <c r="C22">
        <f>C20-C21</f>
        <v>24</v>
      </c>
      <c r="D22" s="5">
        <f t="shared" si="8"/>
        <v>2.7220000000000022E-2</v>
      </c>
    </row>
    <row r="24" spans="1:23" x14ac:dyDescent="0.25">
      <c r="R24" s="5"/>
      <c r="S24" s="5"/>
      <c r="T24" s="5"/>
      <c r="U24" s="5"/>
      <c r="V24" s="5"/>
      <c r="W24" s="5"/>
    </row>
    <row r="25" spans="1:23" x14ac:dyDescent="0.25">
      <c r="R25" s="5"/>
      <c r="S25" s="5"/>
      <c r="T25" s="5"/>
      <c r="U25" s="5"/>
      <c r="V25" s="5"/>
      <c r="W25" s="5"/>
    </row>
    <row r="26" spans="1:23" x14ac:dyDescent="0.25">
      <c r="R26" s="5"/>
      <c r="S26" s="5"/>
      <c r="T26" s="5"/>
      <c r="U26" s="5"/>
      <c r="V26" s="5"/>
      <c r="W26" s="5"/>
    </row>
    <row r="27" spans="1:23" x14ac:dyDescent="0.25">
      <c r="R27" s="5"/>
      <c r="S27" s="5"/>
      <c r="T27" s="5"/>
      <c r="U27" s="5"/>
      <c r="V27" s="5"/>
      <c r="W27" s="5"/>
    </row>
    <row r="28" spans="1:23" x14ac:dyDescent="0.25">
      <c r="A28" t="s">
        <v>98</v>
      </c>
    </row>
    <row r="29" spans="1:23" x14ac:dyDescent="0.25">
      <c r="A29" s="20" t="s">
        <v>82</v>
      </c>
      <c r="B29" s="20"/>
      <c r="C29" s="20"/>
      <c r="D29" s="20"/>
      <c r="E29" s="20"/>
      <c r="F29" s="20"/>
      <c r="G29" s="20"/>
      <c r="H29" s="20"/>
      <c r="I29" s="16"/>
    </row>
    <row r="30" spans="1:23" x14ac:dyDescent="0.25">
      <c r="A30" s="10" t="s">
        <v>54</v>
      </c>
      <c r="B30" s="10" t="s">
        <v>0</v>
      </c>
      <c r="C30" s="10" t="s">
        <v>2</v>
      </c>
      <c r="D30" s="10" t="s">
        <v>3</v>
      </c>
      <c r="E30" s="10" t="s">
        <v>4</v>
      </c>
      <c r="F30" s="10" t="s">
        <v>6</v>
      </c>
      <c r="G30" s="10" t="s">
        <v>5</v>
      </c>
      <c r="H30" s="10" t="s">
        <v>83</v>
      </c>
      <c r="I30" s="15"/>
    </row>
    <row r="31" spans="1:23" x14ac:dyDescent="0.25">
      <c r="A31" s="7" t="s">
        <v>52</v>
      </c>
      <c r="B31" s="6" t="s">
        <v>12</v>
      </c>
      <c r="C31" s="11">
        <v>3.5</v>
      </c>
      <c r="D31" s="11">
        <v>3.9</v>
      </c>
      <c r="E31" s="11">
        <v>3.6</v>
      </c>
      <c r="F31" s="11">
        <v>3.5</v>
      </c>
      <c r="G31" s="11">
        <v>3.2</v>
      </c>
      <c r="H31" s="13">
        <f>MEDIAN(C31:G31)</f>
        <v>3.5</v>
      </c>
      <c r="I31" s="21"/>
    </row>
    <row r="32" spans="1:23" x14ac:dyDescent="0.25">
      <c r="A32" s="7"/>
      <c r="B32" s="6" t="s">
        <v>9</v>
      </c>
      <c r="C32" s="11">
        <v>2.4</v>
      </c>
      <c r="D32" s="11">
        <v>2.8</v>
      </c>
      <c r="E32" s="11">
        <v>2.6</v>
      </c>
      <c r="F32" s="11">
        <v>2.4</v>
      </c>
      <c r="G32" s="11">
        <v>2.8</v>
      </c>
      <c r="H32" s="13">
        <f t="shared" ref="H32:H36" si="9">MEDIAN(C32:G32)</f>
        <v>2.6</v>
      </c>
      <c r="I32" s="21"/>
    </row>
    <row r="33" spans="1:9" x14ac:dyDescent="0.25">
      <c r="A33" s="7"/>
      <c r="B33" s="6" t="s">
        <v>11</v>
      </c>
      <c r="C33" s="11">
        <v>2.6</v>
      </c>
      <c r="D33" s="11">
        <v>1.8</v>
      </c>
      <c r="E33" s="11">
        <v>2.2999999999999998</v>
      </c>
      <c r="F33" s="11">
        <v>2.2000000000000002</v>
      </c>
      <c r="G33" s="11">
        <v>2.4</v>
      </c>
      <c r="H33" s="13">
        <f t="shared" si="9"/>
        <v>2.2999999999999998</v>
      </c>
      <c r="I33" s="21"/>
    </row>
    <row r="34" spans="1:9" x14ac:dyDescent="0.25">
      <c r="A34" s="7" t="s">
        <v>53</v>
      </c>
      <c r="B34" s="6" t="s">
        <v>12</v>
      </c>
      <c r="C34" s="11">
        <v>3.4</v>
      </c>
      <c r="D34" s="11">
        <v>3.2</v>
      </c>
      <c r="E34" s="11">
        <v>4.2</v>
      </c>
      <c r="F34" s="11">
        <v>3.6</v>
      </c>
      <c r="G34" s="11">
        <v>3.5</v>
      </c>
      <c r="H34" s="13">
        <f t="shared" si="9"/>
        <v>3.5</v>
      </c>
      <c r="I34" s="21"/>
    </row>
    <row r="35" spans="1:9" x14ac:dyDescent="0.25">
      <c r="A35" s="7"/>
      <c r="B35" s="6" t="s">
        <v>9</v>
      </c>
      <c r="C35" s="11">
        <v>3</v>
      </c>
      <c r="D35" s="11">
        <v>2.9</v>
      </c>
      <c r="E35" s="11">
        <v>2.7</v>
      </c>
      <c r="F35" s="11">
        <v>2.4</v>
      </c>
      <c r="G35" s="12">
        <v>2.2999999999999998</v>
      </c>
      <c r="H35" s="13">
        <f t="shared" si="9"/>
        <v>2.7</v>
      </c>
      <c r="I35" s="21"/>
    </row>
    <row r="36" spans="1:9" x14ac:dyDescent="0.25">
      <c r="A36" s="7"/>
      <c r="B36" s="6" t="s">
        <v>11</v>
      </c>
      <c r="C36" s="11">
        <v>2.2999999999999998</v>
      </c>
      <c r="D36" s="11">
        <v>2.2000000000000002</v>
      </c>
      <c r="E36" s="11">
        <v>1.6</v>
      </c>
      <c r="F36" s="11">
        <v>2</v>
      </c>
      <c r="G36" s="11">
        <v>1.5</v>
      </c>
      <c r="H36" s="13">
        <f t="shared" si="9"/>
        <v>2</v>
      </c>
      <c r="I36" s="21"/>
    </row>
    <row r="38" spans="1:9" x14ac:dyDescent="0.25">
      <c r="A38" s="7" t="s">
        <v>52</v>
      </c>
      <c r="B38" s="6" t="s">
        <v>12</v>
      </c>
      <c r="C38">
        <f>ABS(C31-$H31)</f>
        <v>0</v>
      </c>
      <c r="D38">
        <f t="shared" ref="D38:G38" si="10">ABS(D31-$H31)</f>
        <v>0.39999999999999991</v>
      </c>
      <c r="E38">
        <f t="shared" si="10"/>
        <v>0.10000000000000009</v>
      </c>
      <c r="F38">
        <f t="shared" si="10"/>
        <v>0</v>
      </c>
      <c r="G38">
        <f t="shared" si="10"/>
        <v>0.29999999999999982</v>
      </c>
      <c r="H38" s="21">
        <f>SUM(C38:G38)</f>
        <v>0.79999999999999982</v>
      </c>
    </row>
    <row r="39" spans="1:9" x14ac:dyDescent="0.25">
      <c r="A39" s="7"/>
      <c r="B39" s="6" t="s">
        <v>9</v>
      </c>
      <c r="C39">
        <f t="shared" ref="C39:G39" si="11">ABS(C32-$H32)</f>
        <v>0.20000000000000018</v>
      </c>
      <c r="D39">
        <f t="shared" si="11"/>
        <v>0.19999999999999973</v>
      </c>
      <c r="E39">
        <f t="shared" si="11"/>
        <v>0</v>
      </c>
      <c r="F39">
        <f t="shared" si="11"/>
        <v>0.20000000000000018</v>
      </c>
      <c r="G39">
        <f t="shared" si="11"/>
        <v>0.19999999999999973</v>
      </c>
      <c r="H39" s="21">
        <f t="shared" ref="H39:H43" si="12">SUM(C39:G39)</f>
        <v>0.79999999999999982</v>
      </c>
    </row>
    <row r="40" spans="1:9" x14ac:dyDescent="0.25">
      <c r="A40" s="7"/>
      <c r="B40" s="6" t="s">
        <v>11</v>
      </c>
      <c r="C40">
        <f t="shared" ref="C40:G40" si="13">ABS(C33-$H33)</f>
        <v>0.30000000000000027</v>
      </c>
      <c r="D40">
        <f t="shared" si="13"/>
        <v>0.49999999999999978</v>
      </c>
      <c r="E40">
        <f t="shared" si="13"/>
        <v>0</v>
      </c>
      <c r="F40">
        <f t="shared" si="13"/>
        <v>9.9999999999999645E-2</v>
      </c>
      <c r="G40">
        <f t="shared" si="13"/>
        <v>0.10000000000000009</v>
      </c>
      <c r="H40" s="21">
        <f t="shared" si="12"/>
        <v>0.99999999999999978</v>
      </c>
    </row>
    <row r="41" spans="1:9" x14ac:dyDescent="0.25">
      <c r="A41" s="7" t="s">
        <v>53</v>
      </c>
      <c r="B41" s="6" t="s">
        <v>12</v>
      </c>
      <c r="C41">
        <f t="shared" ref="C41:G41" si="14">ABS(C34-$H34)</f>
        <v>0.10000000000000009</v>
      </c>
      <c r="D41">
        <f t="shared" si="14"/>
        <v>0.29999999999999982</v>
      </c>
      <c r="E41">
        <f t="shared" si="14"/>
        <v>0.70000000000000018</v>
      </c>
      <c r="F41">
        <f t="shared" si="14"/>
        <v>0.10000000000000009</v>
      </c>
      <c r="G41">
        <f t="shared" si="14"/>
        <v>0</v>
      </c>
      <c r="H41" s="21">
        <f t="shared" si="12"/>
        <v>1.2000000000000002</v>
      </c>
    </row>
    <row r="42" spans="1:9" x14ac:dyDescent="0.25">
      <c r="A42" s="7"/>
      <c r="B42" s="6" t="s">
        <v>9</v>
      </c>
      <c r="C42">
        <f t="shared" ref="C42:G42" si="15">ABS(C35-$H35)</f>
        <v>0.29999999999999982</v>
      </c>
      <c r="D42">
        <f t="shared" si="15"/>
        <v>0.19999999999999973</v>
      </c>
      <c r="E42">
        <f t="shared" si="15"/>
        <v>0</v>
      </c>
      <c r="F42">
        <f t="shared" si="15"/>
        <v>0.30000000000000027</v>
      </c>
      <c r="G42">
        <f t="shared" si="15"/>
        <v>0.40000000000000036</v>
      </c>
      <c r="H42" s="21">
        <f t="shared" si="12"/>
        <v>1.2000000000000002</v>
      </c>
    </row>
    <row r="43" spans="1:9" x14ac:dyDescent="0.25">
      <c r="A43" s="7"/>
      <c r="B43" s="6" t="s">
        <v>11</v>
      </c>
      <c r="C43">
        <f t="shared" ref="C43:G43" si="16">ABS(C36-$H36)</f>
        <v>0.29999999999999982</v>
      </c>
      <c r="D43">
        <f t="shared" si="16"/>
        <v>0.20000000000000018</v>
      </c>
      <c r="E43">
        <f t="shared" si="16"/>
        <v>0.39999999999999991</v>
      </c>
      <c r="F43">
        <f t="shared" si="16"/>
        <v>0</v>
      </c>
      <c r="G43">
        <f t="shared" si="16"/>
        <v>0.5</v>
      </c>
      <c r="H43" s="21">
        <f t="shared" si="12"/>
        <v>1.4</v>
      </c>
    </row>
    <row r="45" spans="1:9" x14ac:dyDescent="0.25">
      <c r="A45" t="s">
        <v>57</v>
      </c>
      <c r="B45" s="5">
        <f>(SUM(C38:G43)^2)/COUNT(C38:G43)</f>
        <v>1.3653333333333335</v>
      </c>
    </row>
    <row r="46" spans="1:9" x14ac:dyDescent="0.25">
      <c r="B46" s="4" t="s">
        <v>60</v>
      </c>
      <c r="C46" s="4" t="s">
        <v>67</v>
      </c>
      <c r="D46" s="4" t="s">
        <v>71</v>
      </c>
      <c r="E46" s="4" t="s">
        <v>72</v>
      </c>
      <c r="F46" s="14" t="s">
        <v>97</v>
      </c>
    </row>
    <row r="47" spans="1:9" x14ac:dyDescent="0.25">
      <c r="A47" t="s">
        <v>61</v>
      </c>
      <c r="B47" s="5">
        <f>SUMSQ(C38:G43)-B45</f>
        <v>0.93466666666666631</v>
      </c>
      <c r="C47">
        <f>COUNT(C38:G43)-1</f>
        <v>29</v>
      </c>
      <c r="D47" s="5">
        <f>B47/C47</f>
        <v>3.222988505747125E-2</v>
      </c>
    </row>
    <row r="48" spans="1:9" x14ac:dyDescent="0.25">
      <c r="A48" t="s">
        <v>62</v>
      </c>
      <c r="B48" s="5">
        <f>SUMSQ(H38:H43)/5-B45</f>
        <v>5.8666666666666423E-2</v>
      </c>
      <c r="C48">
        <f>COUNTA(B38:B43)-1</f>
        <v>5</v>
      </c>
      <c r="D48" s="5">
        <f t="shared" ref="D48:D49" si="17">B48/C48</f>
        <v>1.1733333333333285E-2</v>
      </c>
      <c r="E48" s="5">
        <f>D48/D49</f>
        <v>0.32146118721461059</v>
      </c>
      <c r="F48" s="5">
        <f>FINV(0.05,5,24)</f>
        <v>2.6206541478628855</v>
      </c>
    </row>
    <row r="49" spans="1:8" x14ac:dyDescent="0.25">
      <c r="A49" t="s">
        <v>66</v>
      </c>
      <c r="B49" s="5">
        <f>B47-B48</f>
        <v>0.87599999999999989</v>
      </c>
      <c r="C49">
        <f>C47-C48</f>
        <v>24</v>
      </c>
      <c r="D49" s="5">
        <f t="shared" si="17"/>
        <v>3.6499999999999998E-2</v>
      </c>
    </row>
    <row r="53" spans="1:8" x14ac:dyDescent="0.25">
      <c r="A53" t="s">
        <v>99</v>
      </c>
    </row>
    <row r="54" spans="1:8" x14ac:dyDescent="0.25">
      <c r="A54" s="20" t="s">
        <v>82</v>
      </c>
      <c r="B54" s="20"/>
      <c r="C54" s="20"/>
      <c r="D54" s="20"/>
      <c r="E54" s="20"/>
      <c r="F54" s="20"/>
      <c r="G54" s="20"/>
      <c r="H54" s="20"/>
    </row>
    <row r="55" spans="1:8" x14ac:dyDescent="0.25">
      <c r="A55" s="10" t="s">
        <v>54</v>
      </c>
      <c r="B55" s="10" t="s">
        <v>0</v>
      </c>
      <c r="C55" s="10" t="s">
        <v>2</v>
      </c>
      <c r="D55" s="10" t="s">
        <v>3</v>
      </c>
      <c r="E55" s="10" t="s">
        <v>4</v>
      </c>
      <c r="F55" s="10" t="s">
        <v>6</v>
      </c>
      <c r="G55" s="10" t="s">
        <v>5</v>
      </c>
      <c r="H55" s="10" t="s">
        <v>83</v>
      </c>
    </row>
    <row r="56" spans="1:8" x14ac:dyDescent="0.25">
      <c r="A56" s="7" t="s">
        <v>52</v>
      </c>
      <c r="B56" s="6" t="s">
        <v>12</v>
      </c>
      <c r="C56" s="11">
        <v>13.8</v>
      </c>
      <c r="D56" s="11">
        <v>16.2</v>
      </c>
      <c r="E56" s="11">
        <v>17.7</v>
      </c>
      <c r="F56" s="11">
        <v>15.3</v>
      </c>
      <c r="G56" s="11">
        <v>12.3</v>
      </c>
      <c r="H56" s="13">
        <f>MEDIAN(C56:G56)</f>
        <v>15.3</v>
      </c>
    </row>
    <row r="57" spans="1:8" x14ac:dyDescent="0.25">
      <c r="A57" s="7"/>
      <c r="B57" s="6" t="s">
        <v>9</v>
      </c>
      <c r="C57" s="11">
        <v>8.9</v>
      </c>
      <c r="D57" s="11">
        <v>9.3000000000000007</v>
      </c>
      <c r="E57" s="11">
        <v>12.7</v>
      </c>
      <c r="F57" s="11">
        <v>9.4</v>
      </c>
      <c r="G57" s="11">
        <v>11.3</v>
      </c>
      <c r="H57" s="13">
        <f t="shared" ref="H57:H61" si="18">MEDIAN(C57:G57)</f>
        <v>9.4</v>
      </c>
    </row>
    <row r="58" spans="1:8" x14ac:dyDescent="0.25">
      <c r="A58" s="7"/>
      <c r="B58" s="6" t="s">
        <v>11</v>
      </c>
      <c r="C58" s="11">
        <v>9.3000000000000007</v>
      </c>
      <c r="D58" s="11">
        <v>7.8</v>
      </c>
      <c r="E58" s="11">
        <v>8</v>
      </c>
      <c r="F58" s="11">
        <v>7.8</v>
      </c>
      <c r="G58" s="11">
        <v>11.5</v>
      </c>
      <c r="H58" s="13">
        <f t="shared" si="18"/>
        <v>8</v>
      </c>
    </row>
    <row r="59" spans="1:8" x14ac:dyDescent="0.25">
      <c r="A59" s="7" t="s">
        <v>53</v>
      </c>
      <c r="B59" s="6" t="s">
        <v>12</v>
      </c>
      <c r="C59" s="11">
        <v>15.3</v>
      </c>
      <c r="D59" s="11">
        <v>14.2</v>
      </c>
      <c r="E59" s="11">
        <v>13.8</v>
      </c>
      <c r="F59" s="11">
        <v>12.9</v>
      </c>
      <c r="G59" s="11">
        <v>13.6</v>
      </c>
      <c r="H59" s="13">
        <f t="shared" si="18"/>
        <v>13.8</v>
      </c>
    </row>
    <row r="60" spans="1:8" x14ac:dyDescent="0.25">
      <c r="A60" s="7"/>
      <c r="B60" s="6" t="s">
        <v>9</v>
      </c>
      <c r="C60" s="11">
        <v>11.7</v>
      </c>
      <c r="D60" s="11">
        <v>9.1999999999999993</v>
      </c>
      <c r="E60" s="11">
        <v>7.9</v>
      </c>
      <c r="F60" s="11">
        <v>7.1</v>
      </c>
      <c r="G60" s="12">
        <v>6.5</v>
      </c>
      <c r="H60" s="13">
        <f t="shared" si="18"/>
        <v>7.9</v>
      </c>
    </row>
    <row r="61" spans="1:8" x14ac:dyDescent="0.25">
      <c r="A61" s="7"/>
      <c r="B61" s="6" t="s">
        <v>11</v>
      </c>
      <c r="C61" s="11">
        <v>7.3</v>
      </c>
      <c r="D61" s="11">
        <v>6.9</v>
      </c>
      <c r="E61" s="11">
        <v>8.1999999999999993</v>
      </c>
      <c r="F61" s="11">
        <v>8.6</v>
      </c>
      <c r="G61" s="11">
        <v>8.1999999999999993</v>
      </c>
      <c r="H61" s="13">
        <f t="shared" si="18"/>
        <v>8.1999999999999993</v>
      </c>
    </row>
    <row r="63" spans="1:8" x14ac:dyDescent="0.25">
      <c r="A63" s="7" t="s">
        <v>52</v>
      </c>
      <c r="B63" s="6" t="s">
        <v>12</v>
      </c>
      <c r="C63">
        <f>ABS(C56-$H56)</f>
        <v>1.5</v>
      </c>
      <c r="D63">
        <f t="shared" ref="D63:G63" si="19">ABS(D56-$H56)</f>
        <v>0.89999999999999858</v>
      </c>
      <c r="E63">
        <f t="shared" si="19"/>
        <v>2.3999999999999986</v>
      </c>
      <c r="F63">
        <f t="shared" si="19"/>
        <v>0</v>
      </c>
      <c r="G63">
        <f t="shared" si="19"/>
        <v>3</v>
      </c>
      <c r="H63" s="21">
        <f>SUM(C63:G63)</f>
        <v>7.7999999999999972</v>
      </c>
    </row>
    <row r="64" spans="1:8" x14ac:dyDescent="0.25">
      <c r="A64" s="7"/>
      <c r="B64" s="6" t="s">
        <v>9</v>
      </c>
      <c r="C64">
        <f t="shared" ref="C64:G64" si="20">ABS(C57-$H57)</f>
        <v>0.5</v>
      </c>
      <c r="D64">
        <f t="shared" si="20"/>
        <v>9.9999999999999645E-2</v>
      </c>
      <c r="E64">
        <f t="shared" si="20"/>
        <v>3.2999999999999989</v>
      </c>
      <c r="F64">
        <f t="shared" si="20"/>
        <v>0</v>
      </c>
      <c r="G64">
        <f t="shared" si="20"/>
        <v>1.9000000000000004</v>
      </c>
      <c r="H64" s="21">
        <f t="shared" ref="H64:H68" si="21">SUM(C64:G64)</f>
        <v>5.7999999999999989</v>
      </c>
    </row>
    <row r="65" spans="1:8" x14ac:dyDescent="0.25">
      <c r="A65" s="7"/>
      <c r="B65" s="6" t="s">
        <v>11</v>
      </c>
      <c r="C65">
        <f t="shared" ref="C65:G65" si="22">ABS(C58-$H58)</f>
        <v>1.3000000000000007</v>
      </c>
      <c r="D65">
        <f t="shared" si="22"/>
        <v>0.20000000000000018</v>
      </c>
      <c r="E65">
        <f t="shared" si="22"/>
        <v>0</v>
      </c>
      <c r="F65">
        <f t="shared" si="22"/>
        <v>0.20000000000000018</v>
      </c>
      <c r="G65">
        <f t="shared" si="22"/>
        <v>3.5</v>
      </c>
      <c r="H65" s="21">
        <f t="shared" si="21"/>
        <v>5.2000000000000011</v>
      </c>
    </row>
    <row r="66" spans="1:8" x14ac:dyDescent="0.25">
      <c r="A66" s="7" t="s">
        <v>53</v>
      </c>
      <c r="B66" s="6" t="s">
        <v>12</v>
      </c>
      <c r="C66">
        <f t="shared" ref="C66:G66" si="23">ABS(C59-$H59)</f>
        <v>1.5</v>
      </c>
      <c r="D66">
        <f t="shared" si="23"/>
        <v>0.39999999999999858</v>
      </c>
      <c r="E66">
        <f t="shared" si="23"/>
        <v>0</v>
      </c>
      <c r="F66">
        <f t="shared" si="23"/>
        <v>0.90000000000000036</v>
      </c>
      <c r="G66">
        <f t="shared" si="23"/>
        <v>0.20000000000000107</v>
      </c>
      <c r="H66" s="21">
        <f t="shared" si="21"/>
        <v>3</v>
      </c>
    </row>
    <row r="67" spans="1:8" x14ac:dyDescent="0.25">
      <c r="A67" s="7"/>
      <c r="B67" s="6" t="s">
        <v>9</v>
      </c>
      <c r="C67">
        <f t="shared" ref="C67:G67" si="24">ABS(C60-$H60)</f>
        <v>3.7999999999999989</v>
      </c>
      <c r="D67">
        <f t="shared" si="24"/>
        <v>1.2999999999999989</v>
      </c>
      <c r="E67">
        <f t="shared" si="24"/>
        <v>0</v>
      </c>
      <c r="F67">
        <f t="shared" si="24"/>
        <v>0.80000000000000071</v>
      </c>
      <c r="G67">
        <f t="shared" si="24"/>
        <v>1.4000000000000004</v>
      </c>
      <c r="H67" s="21">
        <f t="shared" si="21"/>
        <v>7.2999999999999989</v>
      </c>
    </row>
    <row r="68" spans="1:8" x14ac:dyDescent="0.25">
      <c r="A68" s="7"/>
      <c r="B68" s="6" t="s">
        <v>11</v>
      </c>
      <c r="C68">
        <f t="shared" ref="C68:G68" si="25">ABS(C61-$H61)</f>
        <v>0.89999999999999947</v>
      </c>
      <c r="D68">
        <f t="shared" si="25"/>
        <v>1.2999999999999989</v>
      </c>
      <c r="E68">
        <f t="shared" si="25"/>
        <v>0</v>
      </c>
      <c r="F68">
        <f t="shared" si="25"/>
        <v>0.40000000000000036</v>
      </c>
      <c r="G68">
        <f t="shared" si="25"/>
        <v>0</v>
      </c>
      <c r="H68" s="21">
        <f t="shared" si="21"/>
        <v>2.5999999999999988</v>
      </c>
    </row>
    <row r="70" spans="1:8" x14ac:dyDescent="0.25">
      <c r="A70" t="s">
        <v>57</v>
      </c>
      <c r="B70" s="5">
        <f>(SUM(C63:G68)^2)/COUNT(C63:G68)</f>
        <v>33.496333333333311</v>
      </c>
    </row>
    <row r="71" spans="1:8" x14ac:dyDescent="0.25">
      <c r="B71" s="14" t="s">
        <v>60</v>
      </c>
      <c r="C71" s="14" t="s">
        <v>67</v>
      </c>
      <c r="D71" s="14" t="s">
        <v>71</v>
      </c>
      <c r="E71" s="14" t="s">
        <v>72</v>
      </c>
      <c r="F71" s="14" t="s">
        <v>97</v>
      </c>
    </row>
    <row r="72" spans="1:8" x14ac:dyDescent="0.25">
      <c r="A72" t="s">
        <v>61</v>
      </c>
      <c r="B72" s="5">
        <f>SUMSQ(C63:G68)-B70</f>
        <v>37.753666666666675</v>
      </c>
      <c r="C72">
        <f>COUNT(C63:G68)-1</f>
        <v>29</v>
      </c>
      <c r="D72" s="5">
        <f>B72/C72</f>
        <v>1.3018505747126439</v>
      </c>
    </row>
    <row r="73" spans="1:8" x14ac:dyDescent="0.25">
      <c r="A73" t="s">
        <v>62</v>
      </c>
      <c r="B73" s="5">
        <f>SUMSQ(H63:H68)/5-B70</f>
        <v>4.6176666666666719</v>
      </c>
      <c r="C73">
        <f>COUNTA(B63:B68)-1</f>
        <v>5</v>
      </c>
      <c r="D73" s="5">
        <f t="shared" ref="D73:D74" si="26">B73/C73</f>
        <v>0.92353333333333443</v>
      </c>
      <c r="E73" s="5">
        <f>D73/D74</f>
        <v>0.66890391115403269</v>
      </c>
      <c r="F73" s="5">
        <f>FINV(0.05,5,24)</f>
        <v>2.6206541478628855</v>
      </c>
    </row>
    <row r="74" spans="1:8" x14ac:dyDescent="0.25">
      <c r="A74" t="s">
        <v>66</v>
      </c>
      <c r="B74" s="5">
        <f>B72-B73</f>
        <v>33.136000000000003</v>
      </c>
      <c r="C74">
        <f>C72-C73</f>
        <v>24</v>
      </c>
      <c r="D74" s="5">
        <f t="shared" si="26"/>
        <v>1.3806666666666667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"/>
  <sheetViews>
    <sheetView tabSelected="1" topLeftCell="A10" zoomScale="80" zoomScaleNormal="80" workbookViewId="0">
      <selection activeCell="D54" sqref="D54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1" bestFit="1" customWidth="1"/>
    <col min="4" max="4" width="9.5703125" bestFit="1" customWidth="1"/>
    <col min="5" max="5" width="13.7109375" bestFit="1" customWidth="1"/>
    <col min="6" max="6" width="13.85546875" bestFit="1" customWidth="1"/>
    <col min="7" max="7" width="9.5703125" bestFit="1" customWidth="1"/>
    <col min="8" max="8" width="8.140625" bestFit="1" customWidth="1"/>
    <col min="9" max="9" width="12.85546875" customWidth="1"/>
    <col min="10" max="10" width="2.7109375" customWidth="1"/>
    <col min="11" max="11" width="21.7109375" style="16" customWidth="1"/>
    <col min="12" max="12" width="16.42578125" style="16" bestFit="1" customWidth="1"/>
    <col min="13" max="13" width="15.140625" bestFit="1" customWidth="1"/>
    <col min="14" max="14" width="16.5703125" bestFit="1" customWidth="1"/>
    <col min="15" max="15" width="7.28515625" customWidth="1"/>
    <col min="16" max="16" width="12.7109375" bestFit="1" customWidth="1"/>
    <col min="17" max="17" width="13.7109375" bestFit="1" customWidth="1"/>
    <col min="18" max="18" width="13" bestFit="1" customWidth="1"/>
  </cols>
  <sheetData>
    <row r="1" spans="1:18" x14ac:dyDescent="0.25">
      <c r="A1" s="22" t="s">
        <v>96</v>
      </c>
      <c r="B1" s="23"/>
      <c r="C1" s="23"/>
      <c r="D1" s="23"/>
      <c r="E1" s="23"/>
      <c r="F1" s="23"/>
      <c r="G1" s="23"/>
      <c r="H1" s="23"/>
      <c r="I1" s="23"/>
      <c r="J1" s="23"/>
    </row>
    <row r="2" spans="1:18" x14ac:dyDescent="0.25">
      <c r="K2" s="17" t="s">
        <v>57</v>
      </c>
      <c r="L2" s="19">
        <f>((SUM(C7:G12))^2)/(2*3*5)</f>
        <v>228.52799999999996</v>
      </c>
    </row>
    <row r="3" spans="1:18" x14ac:dyDescent="0.25">
      <c r="K3" s="16" t="s">
        <v>59</v>
      </c>
      <c r="L3" s="19">
        <f>L8/L7</f>
        <v>0.83701738874152609</v>
      </c>
    </row>
    <row r="4" spans="1:18" x14ac:dyDescent="0.25">
      <c r="K4" s="16" t="s">
        <v>81</v>
      </c>
      <c r="L4" s="19">
        <f>1-(N12/N7)</f>
        <v>0.80306267806267739</v>
      </c>
    </row>
    <row r="5" spans="1:18" x14ac:dyDescent="0.25">
      <c r="L5" s="19"/>
    </row>
    <row r="6" spans="1:18" x14ac:dyDescent="0.25">
      <c r="A6" s="10" t="s">
        <v>68</v>
      </c>
      <c r="B6" s="10" t="s">
        <v>69</v>
      </c>
      <c r="C6" s="10" t="s">
        <v>2</v>
      </c>
      <c r="D6" s="10" t="s">
        <v>3</v>
      </c>
      <c r="E6" s="10" t="s">
        <v>4</v>
      </c>
      <c r="F6" s="10" t="s">
        <v>6</v>
      </c>
      <c r="G6" s="10" t="s">
        <v>5</v>
      </c>
      <c r="H6" s="10" t="s">
        <v>58</v>
      </c>
      <c r="I6" s="10" t="s">
        <v>80</v>
      </c>
      <c r="K6" s="8" t="s">
        <v>70</v>
      </c>
      <c r="L6" s="10" t="s">
        <v>60</v>
      </c>
      <c r="M6" s="10" t="s">
        <v>67</v>
      </c>
      <c r="N6" s="10" t="s">
        <v>71</v>
      </c>
      <c r="O6" s="10" t="s">
        <v>72</v>
      </c>
      <c r="P6" s="10" t="s">
        <v>73</v>
      </c>
      <c r="Q6" s="10" t="s">
        <v>74</v>
      </c>
      <c r="R6" s="10" t="s">
        <v>107</v>
      </c>
    </row>
    <row r="7" spans="1:18" x14ac:dyDescent="0.25">
      <c r="A7" s="7" t="s">
        <v>52</v>
      </c>
      <c r="B7" s="6" t="s">
        <v>12</v>
      </c>
      <c r="C7" s="11">
        <v>3.5</v>
      </c>
      <c r="D7" s="11">
        <v>3.9</v>
      </c>
      <c r="E7" s="11">
        <v>3.6</v>
      </c>
      <c r="F7" s="11">
        <v>3.5</v>
      </c>
      <c r="G7" s="11">
        <v>3.2</v>
      </c>
      <c r="H7">
        <f>SUM(C7:G7)</f>
        <v>17.7</v>
      </c>
      <c r="I7">
        <f>AVERAGE(C7:G7)</f>
        <v>3.54</v>
      </c>
      <c r="K7" s="17" t="s">
        <v>61</v>
      </c>
      <c r="L7" s="16">
        <f>SUMSQ(C7:G12)-L2</f>
        <v>13.57200000000006</v>
      </c>
      <c r="M7">
        <f>2*3*5-1</f>
        <v>29</v>
      </c>
      <c r="N7" s="5">
        <f t="shared" ref="N7:N12" si="0">L7/M7</f>
        <v>0.46800000000000208</v>
      </c>
    </row>
    <row r="8" spans="1:18" x14ac:dyDescent="0.25">
      <c r="A8" s="7"/>
      <c r="B8" s="6" t="s">
        <v>9</v>
      </c>
      <c r="C8" s="11">
        <v>2.4</v>
      </c>
      <c r="D8" s="11">
        <v>2.8</v>
      </c>
      <c r="E8" s="11">
        <v>2.6</v>
      </c>
      <c r="F8" s="11">
        <v>2.4</v>
      </c>
      <c r="G8" s="11">
        <v>2.8</v>
      </c>
      <c r="H8">
        <f t="shared" ref="H8:H12" si="1">SUM(C8:G8)</f>
        <v>13</v>
      </c>
      <c r="I8">
        <f t="shared" ref="I8:I12" si="2">AVERAGE(C8:G8)</f>
        <v>2.6</v>
      </c>
      <c r="K8" s="16" t="s">
        <v>62</v>
      </c>
      <c r="L8" s="16">
        <f>SUMSQ(H7:H12)/5-L2</f>
        <v>11.360000000000042</v>
      </c>
      <c r="M8">
        <f>2*3-1</f>
        <v>5</v>
      </c>
      <c r="N8" s="5">
        <f t="shared" si="0"/>
        <v>2.2720000000000082</v>
      </c>
      <c r="O8" s="5"/>
    </row>
    <row r="9" spans="1:18" x14ac:dyDescent="0.25">
      <c r="A9" s="7"/>
      <c r="B9" s="6" t="s">
        <v>11</v>
      </c>
      <c r="C9" s="11">
        <v>2.6</v>
      </c>
      <c r="D9" s="11">
        <v>1.8</v>
      </c>
      <c r="E9" s="11">
        <v>2.2999999999999998</v>
      </c>
      <c r="F9" s="11">
        <v>2.2000000000000002</v>
      </c>
      <c r="G9" s="11">
        <v>2.4</v>
      </c>
      <c r="H9">
        <f t="shared" si="1"/>
        <v>11.3</v>
      </c>
      <c r="I9">
        <f t="shared" si="2"/>
        <v>2.2600000000000002</v>
      </c>
      <c r="K9" s="16" t="s">
        <v>63</v>
      </c>
      <c r="L9" s="16">
        <f>SUMSQ(B15:B16)/(3*5)-L2</f>
        <v>4.8000000000001819E-2</v>
      </c>
      <c r="M9">
        <f>2-1</f>
        <v>1</v>
      </c>
      <c r="N9" s="5">
        <f t="shared" si="0"/>
        <v>4.8000000000001819E-2</v>
      </c>
      <c r="O9" s="5">
        <f>N9/N12</f>
        <v>0.52079566003618194</v>
      </c>
      <c r="P9" s="5">
        <f>FINV(0.05,M9,M12)</f>
        <v>4.2596772726902348</v>
      </c>
      <c r="Q9" s="5">
        <f>FINV(0.01,M9,M12)</f>
        <v>7.8228705933679761</v>
      </c>
      <c r="R9" s="5">
        <f>FDIST(O9,M9,M12)</f>
        <v>0.47747499668046212</v>
      </c>
    </row>
    <row r="10" spans="1:18" x14ac:dyDescent="0.25">
      <c r="A10" s="7" t="s">
        <v>53</v>
      </c>
      <c r="B10" s="6" t="s">
        <v>12</v>
      </c>
      <c r="C10" s="11">
        <v>3.4</v>
      </c>
      <c r="D10" s="11">
        <v>3.2</v>
      </c>
      <c r="E10" s="11">
        <v>4.2</v>
      </c>
      <c r="F10" s="11">
        <v>3.6</v>
      </c>
      <c r="G10" s="11">
        <v>3.5</v>
      </c>
      <c r="H10">
        <f t="shared" si="1"/>
        <v>17.899999999999999</v>
      </c>
      <c r="I10">
        <f t="shared" si="2"/>
        <v>3.5799999999999996</v>
      </c>
      <c r="K10" s="16" t="s">
        <v>64</v>
      </c>
      <c r="L10" s="16">
        <f>SUMSQ(B17:B19)/(2*5)-L2</f>
        <v>11.057999999999993</v>
      </c>
      <c r="M10">
        <f>3-1</f>
        <v>2</v>
      </c>
      <c r="N10" s="5">
        <f t="shared" si="0"/>
        <v>5.5289999999999964</v>
      </c>
      <c r="O10" s="5">
        <f>N10/N12</f>
        <v>59.9891500904154</v>
      </c>
      <c r="P10" s="5">
        <f>FINV(0.05,M10,M12)</f>
        <v>3.4028261053501945</v>
      </c>
      <c r="Q10" s="5">
        <f>FINV(0.01,M10,M12)</f>
        <v>5.6135912114648372</v>
      </c>
      <c r="R10" s="5">
        <f>FDIST(O10,M10,M12)</f>
        <v>4.6022520221723787E-10</v>
      </c>
    </row>
    <row r="11" spans="1:18" x14ac:dyDescent="0.25">
      <c r="A11" s="7"/>
      <c r="B11" s="6" t="s">
        <v>9</v>
      </c>
      <c r="C11" s="11">
        <v>3</v>
      </c>
      <c r="D11" s="11">
        <v>2.9</v>
      </c>
      <c r="E11" s="11">
        <v>2.7</v>
      </c>
      <c r="F11" s="11">
        <v>2.4</v>
      </c>
      <c r="G11" s="12">
        <v>2.2999999999999998</v>
      </c>
      <c r="H11">
        <f t="shared" si="1"/>
        <v>13.3</v>
      </c>
      <c r="I11">
        <f t="shared" si="2"/>
        <v>2.66</v>
      </c>
      <c r="K11" s="16" t="s">
        <v>65</v>
      </c>
      <c r="L11" s="16">
        <f>L8-L9-L10</f>
        <v>0.25400000000004752</v>
      </c>
      <c r="M11">
        <f>(2-1)*(3-1)</f>
        <v>2</v>
      </c>
      <c r="N11" s="5">
        <f t="shared" si="0"/>
        <v>0.12700000000002376</v>
      </c>
      <c r="O11" s="5">
        <f>N11/N12</f>
        <v>1.3779385171792704</v>
      </c>
      <c r="P11" s="5">
        <f>FINV(0.05,M11,M12)</f>
        <v>3.4028261053501945</v>
      </c>
      <c r="Q11" s="5">
        <f>FINV(0.01,M11,M12)</f>
        <v>5.6135912114648372</v>
      </c>
      <c r="R11" s="5">
        <f>FDIST(O11,M11,M12)</f>
        <v>0.27133424193867117</v>
      </c>
    </row>
    <row r="12" spans="1:18" x14ac:dyDescent="0.25">
      <c r="A12" s="7"/>
      <c r="B12" s="6" t="s">
        <v>11</v>
      </c>
      <c r="C12" s="11">
        <v>2.2999999999999998</v>
      </c>
      <c r="D12" s="11">
        <v>2.2000000000000002</v>
      </c>
      <c r="E12" s="11">
        <v>1.6</v>
      </c>
      <c r="F12" s="11">
        <v>2</v>
      </c>
      <c r="G12" s="11">
        <v>1.5</v>
      </c>
      <c r="H12">
        <f t="shared" si="1"/>
        <v>9.6</v>
      </c>
      <c r="I12">
        <f t="shared" si="2"/>
        <v>1.92</v>
      </c>
      <c r="K12" s="16" t="s">
        <v>66</v>
      </c>
      <c r="L12" s="16">
        <f>L7-L8</f>
        <v>2.2120000000000175</v>
      </c>
      <c r="M12">
        <f>2*3*(5-1)</f>
        <v>24</v>
      </c>
      <c r="N12" s="5">
        <f t="shared" si="0"/>
        <v>9.2166666666667396E-2</v>
      </c>
    </row>
    <row r="13" spans="1:18" x14ac:dyDescent="0.25">
      <c r="C13" s="4"/>
      <c r="D13" s="4"/>
      <c r="E13" s="4"/>
      <c r="F13" s="4"/>
      <c r="G13" s="4"/>
    </row>
    <row r="14" spans="1:18" x14ac:dyDescent="0.25">
      <c r="B14" t="s">
        <v>58</v>
      </c>
      <c r="C14" t="s">
        <v>80</v>
      </c>
      <c r="D14" t="s">
        <v>85</v>
      </c>
      <c r="E14" t="s">
        <v>86</v>
      </c>
      <c r="F14" t="s">
        <v>87</v>
      </c>
    </row>
    <row r="15" spans="1:18" x14ac:dyDescent="0.25">
      <c r="A15" t="s">
        <v>75</v>
      </c>
      <c r="B15" s="18">
        <f>SUM(C7:G9)</f>
        <v>41.999999999999993</v>
      </c>
      <c r="C15" s="5">
        <f>B15/(3*5)</f>
        <v>2.7999999999999994</v>
      </c>
      <c r="D15" s="5">
        <f>SQRT((2*N12)/(30))</f>
        <v>7.8386506775365961E-2</v>
      </c>
      <c r="E15" s="5">
        <f>C15-TINV(0.05,24)*D15</f>
        <v>2.6382182014152762</v>
      </c>
      <c r="F15" s="5">
        <f>C15+TINV(0.05,24)*D15</f>
        <v>2.9617817985847226</v>
      </c>
    </row>
    <row r="16" spans="1:18" x14ac:dyDescent="0.25">
      <c r="A16" t="s">
        <v>76</v>
      </c>
      <c r="B16" s="18">
        <f>SUM(C10:G12)</f>
        <v>40.799999999999997</v>
      </c>
      <c r="C16" s="5">
        <f>B16/(3*5)</f>
        <v>2.7199999999999998</v>
      </c>
      <c r="D16" s="5">
        <f>SQRT((2*N12)/(30))</f>
        <v>7.8386506775365961E-2</v>
      </c>
      <c r="E16" s="5">
        <f>C16-TINV(0.05,24)*D16</f>
        <v>2.5582182014152766</v>
      </c>
      <c r="F16" s="5">
        <f>C16+TINV(0.05,24)*D16</f>
        <v>2.8817817985847229</v>
      </c>
    </row>
    <row r="17" spans="1:12" x14ac:dyDescent="0.25">
      <c r="A17" t="s">
        <v>77</v>
      </c>
      <c r="B17" s="18">
        <f>SUM(C7:G7,C10:G10)</f>
        <v>35.599999999999994</v>
      </c>
      <c r="C17" s="5">
        <f>B17/(2*5)</f>
        <v>3.5599999999999996</v>
      </c>
      <c r="D17" s="5">
        <f>SQRT((3*N12)/(30))</f>
        <v>9.6003472159431502E-2</v>
      </c>
      <c r="E17" s="5">
        <f>C17-TINV(0.05,24)*D17</f>
        <v>3.361858571898853</v>
      </c>
      <c r="F17" s="5">
        <f>C17+TINV(0.05,24)*D17</f>
        <v>3.7581414281011463</v>
      </c>
    </row>
    <row r="18" spans="1:12" x14ac:dyDescent="0.25">
      <c r="A18" t="s">
        <v>78</v>
      </c>
      <c r="B18" s="18">
        <f>SUM(C8:G8,C11:G11)</f>
        <v>26.299999999999997</v>
      </c>
      <c r="C18" s="5">
        <f t="shared" ref="C18:C19" si="3">B18/(2*5)</f>
        <v>2.63</v>
      </c>
      <c r="D18" s="5">
        <f>SQRT((3*N12)/(30))</f>
        <v>9.6003472159431502E-2</v>
      </c>
      <c r="E18" s="5">
        <f>C18-TINV(0.05,24)*D18</f>
        <v>2.4318585718988532</v>
      </c>
      <c r="F18" s="5">
        <f>C18+TINV(0.05,24)*D18</f>
        <v>2.8281414281011465</v>
      </c>
    </row>
    <row r="19" spans="1:12" x14ac:dyDescent="0.25">
      <c r="A19" t="s">
        <v>79</v>
      </c>
      <c r="B19" s="18">
        <f>SUM(C9:G9,C12:G12)</f>
        <v>20.900000000000002</v>
      </c>
      <c r="C19" s="5">
        <f t="shared" si="3"/>
        <v>2.0900000000000003</v>
      </c>
      <c r="D19" s="5">
        <f>SQRT((3*N12)/(30))</f>
        <v>9.6003472159431502E-2</v>
      </c>
      <c r="E19" s="5">
        <f>C19-TINV(0.05,24)*D19</f>
        <v>1.8918585718988534</v>
      </c>
      <c r="F19" s="5">
        <f>C19+TINV(0.05,24)*D19</f>
        <v>2.288141428101147</v>
      </c>
    </row>
    <row r="20" spans="1:12" x14ac:dyDescent="0.25">
      <c r="A20" t="s">
        <v>108</v>
      </c>
      <c r="B20">
        <f>SUM(C7:G7)</f>
        <v>17.7</v>
      </c>
      <c r="C20" s="5">
        <f>B20/5</f>
        <v>3.54</v>
      </c>
      <c r="D20" s="5">
        <f>SQRT((6*N12)/(30))</f>
        <v>0.13576941236277587</v>
      </c>
      <c r="E20" s="5">
        <f t="shared" ref="E20:E25" si="4">C20-TINV(0.05,24)*D20</f>
        <v>3.2597857051113848</v>
      </c>
      <c r="F20" s="5">
        <f t="shared" ref="F20:F25" si="5">C20+TINV(0.05,24)*D20</f>
        <v>3.8202142948886153</v>
      </c>
    </row>
    <row r="21" spans="1:12" x14ac:dyDescent="0.25">
      <c r="A21" t="s">
        <v>109</v>
      </c>
      <c r="B21">
        <f t="shared" ref="B21:B25" si="6">SUM(C8:G8)</f>
        <v>13</v>
      </c>
      <c r="C21" s="5">
        <f t="shared" ref="C21:C25" si="7">B21/5</f>
        <v>2.6</v>
      </c>
      <c r="D21" s="5">
        <f>SQRT((6*N12)/(30))</f>
        <v>0.13576941236277587</v>
      </c>
      <c r="E21" s="5">
        <f t="shared" si="4"/>
        <v>2.3197857051113848</v>
      </c>
      <c r="F21" s="5">
        <f t="shared" si="5"/>
        <v>2.8802142948886154</v>
      </c>
    </row>
    <row r="22" spans="1:12" x14ac:dyDescent="0.25">
      <c r="A22" t="s">
        <v>110</v>
      </c>
      <c r="B22">
        <f t="shared" si="6"/>
        <v>11.3</v>
      </c>
      <c r="C22" s="5">
        <f t="shared" si="7"/>
        <v>2.2600000000000002</v>
      </c>
      <c r="D22" s="5">
        <f>SQRT((6*N12)/(30))</f>
        <v>0.13576941236277587</v>
      </c>
      <c r="E22" s="5">
        <f t="shared" si="4"/>
        <v>1.979785705111385</v>
      </c>
      <c r="F22" s="5">
        <f t="shared" si="5"/>
        <v>2.5402142948886155</v>
      </c>
    </row>
    <row r="23" spans="1:12" x14ac:dyDescent="0.25">
      <c r="A23" t="s">
        <v>111</v>
      </c>
      <c r="B23">
        <f t="shared" si="6"/>
        <v>17.899999999999999</v>
      </c>
      <c r="C23" s="5">
        <f t="shared" si="7"/>
        <v>3.5799999999999996</v>
      </c>
      <c r="D23" s="5">
        <f>SQRT((6*N12)/(30))</f>
        <v>0.13576941236277587</v>
      </c>
      <c r="E23" s="5">
        <f t="shared" si="4"/>
        <v>3.2997857051113844</v>
      </c>
      <c r="F23" s="5">
        <f t="shared" si="5"/>
        <v>3.8602142948886149</v>
      </c>
    </row>
    <row r="24" spans="1:12" x14ac:dyDescent="0.25">
      <c r="A24" t="s">
        <v>112</v>
      </c>
      <c r="B24">
        <f t="shared" si="6"/>
        <v>13.3</v>
      </c>
      <c r="C24" s="5">
        <f t="shared" si="7"/>
        <v>2.66</v>
      </c>
      <c r="D24" s="5">
        <f>SQRT((6*N12)/(30))</f>
        <v>0.13576941236277587</v>
      </c>
      <c r="E24" s="5">
        <f t="shared" si="4"/>
        <v>2.3797857051113849</v>
      </c>
      <c r="F24" s="5">
        <f t="shared" si="5"/>
        <v>2.9402142948886154</v>
      </c>
    </row>
    <row r="25" spans="1:12" x14ac:dyDescent="0.25">
      <c r="A25" t="s">
        <v>113</v>
      </c>
      <c r="B25">
        <f t="shared" si="6"/>
        <v>9.6</v>
      </c>
      <c r="C25" s="5">
        <f t="shared" si="7"/>
        <v>1.92</v>
      </c>
      <c r="D25" s="5">
        <f>SQRT((6*N12)/(30))</f>
        <v>0.13576941236277587</v>
      </c>
      <c r="E25" s="5">
        <f t="shared" si="4"/>
        <v>1.6397857051113847</v>
      </c>
      <c r="F25" s="5">
        <f t="shared" si="5"/>
        <v>2.2002142948886152</v>
      </c>
    </row>
    <row r="30" spans="1:12" x14ac:dyDescent="0.25">
      <c r="A30" s="22" t="s">
        <v>100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2" x14ac:dyDescent="0.25">
      <c r="K31" s="17" t="s">
        <v>57</v>
      </c>
      <c r="L31" s="19">
        <f>((SUM(C36:G41))^2)/(2*3*5)</f>
        <v>3471.1763333333342</v>
      </c>
    </row>
    <row r="32" spans="1:12" x14ac:dyDescent="0.25">
      <c r="K32" s="16" t="s">
        <v>59</v>
      </c>
      <c r="L32" s="19">
        <f>L37/L36</f>
        <v>0.79266334912768566</v>
      </c>
    </row>
    <row r="33" spans="1:18" x14ac:dyDescent="0.25">
      <c r="K33" s="16" t="s">
        <v>81</v>
      </c>
      <c r="L33" s="19">
        <f>1-(N41/N36)</f>
        <v>0.74946821352928683</v>
      </c>
    </row>
    <row r="34" spans="1:18" x14ac:dyDescent="0.25">
      <c r="L34" s="19"/>
    </row>
    <row r="35" spans="1:18" x14ac:dyDescent="0.25">
      <c r="A35" s="10" t="s">
        <v>68</v>
      </c>
      <c r="B35" s="10" t="s">
        <v>69</v>
      </c>
      <c r="C35" s="10" t="s">
        <v>2</v>
      </c>
      <c r="D35" s="10" t="s">
        <v>3</v>
      </c>
      <c r="E35" s="10" t="s">
        <v>4</v>
      </c>
      <c r="F35" s="10" t="s">
        <v>6</v>
      </c>
      <c r="G35" s="10" t="s">
        <v>5</v>
      </c>
      <c r="H35" s="10" t="s">
        <v>58</v>
      </c>
      <c r="I35" s="10" t="s">
        <v>80</v>
      </c>
      <c r="K35" s="8" t="s">
        <v>70</v>
      </c>
      <c r="L35" s="10" t="s">
        <v>60</v>
      </c>
      <c r="M35" s="10" t="s">
        <v>67</v>
      </c>
      <c r="N35" s="10" t="s">
        <v>71</v>
      </c>
      <c r="O35" s="10" t="s">
        <v>72</v>
      </c>
      <c r="P35" s="10" t="s">
        <v>73</v>
      </c>
      <c r="Q35" s="10" t="s">
        <v>74</v>
      </c>
      <c r="R35" s="10" t="s">
        <v>107</v>
      </c>
    </row>
    <row r="36" spans="1:18" x14ac:dyDescent="0.25">
      <c r="A36" s="7" t="s">
        <v>52</v>
      </c>
      <c r="B36" s="6" t="s">
        <v>12</v>
      </c>
      <c r="C36" s="11">
        <v>13.8</v>
      </c>
      <c r="D36" s="11">
        <v>16.2</v>
      </c>
      <c r="E36" s="11">
        <v>17.7</v>
      </c>
      <c r="F36" s="11">
        <v>15.3</v>
      </c>
      <c r="G36" s="11">
        <v>12.3</v>
      </c>
      <c r="H36">
        <f>SUM(C36:G36)</f>
        <v>75.3</v>
      </c>
      <c r="I36">
        <f>AVERAGE(C36:G36)</f>
        <v>15.059999999999999</v>
      </c>
      <c r="K36" s="17" t="s">
        <v>61</v>
      </c>
      <c r="L36" s="19">
        <f>SUMSQ(C36:G41)-L31</f>
        <v>291.31366666666509</v>
      </c>
      <c r="M36">
        <f>2*3*5-1</f>
        <v>29</v>
      </c>
      <c r="N36" s="5">
        <f t="shared" ref="N36:N41" si="8">L36/M36</f>
        <v>10.045298850574659</v>
      </c>
    </row>
    <row r="37" spans="1:18" x14ac:dyDescent="0.25">
      <c r="A37" s="7"/>
      <c r="B37" s="6" t="s">
        <v>9</v>
      </c>
      <c r="C37" s="11">
        <v>8.9</v>
      </c>
      <c r="D37" s="11">
        <v>9.3000000000000007</v>
      </c>
      <c r="E37" s="11">
        <v>12.7</v>
      </c>
      <c r="F37" s="11">
        <v>9.4</v>
      </c>
      <c r="G37" s="11">
        <v>11.3</v>
      </c>
      <c r="H37">
        <f t="shared" ref="H37:H41" si="9">SUM(C37:G37)</f>
        <v>51.600000000000009</v>
      </c>
      <c r="I37">
        <f t="shared" ref="I37:I41" si="10">AVERAGE(C37:G37)</f>
        <v>10.320000000000002</v>
      </c>
      <c r="K37" s="16" t="s">
        <v>62</v>
      </c>
      <c r="L37" s="16">
        <f>SUMSQ(H36:H41)/5-L31</f>
        <v>230.91366666666499</v>
      </c>
      <c r="M37">
        <f>2*3-1</f>
        <v>5</v>
      </c>
      <c r="N37" s="5">
        <f t="shared" si="8"/>
        <v>46.182733333332997</v>
      </c>
      <c r="O37" s="5"/>
    </row>
    <row r="38" spans="1:18" x14ac:dyDescent="0.25">
      <c r="A38" s="7"/>
      <c r="B38" s="6" t="s">
        <v>11</v>
      </c>
      <c r="C38" s="11">
        <v>9.3000000000000007</v>
      </c>
      <c r="D38" s="11">
        <v>7.8</v>
      </c>
      <c r="E38" s="11">
        <v>8</v>
      </c>
      <c r="F38" s="11">
        <v>7.8</v>
      </c>
      <c r="G38" s="11">
        <v>11.5</v>
      </c>
      <c r="H38">
        <f t="shared" si="9"/>
        <v>44.4</v>
      </c>
      <c r="I38">
        <f t="shared" si="10"/>
        <v>8.879999999999999</v>
      </c>
      <c r="K38" s="16" t="s">
        <v>63</v>
      </c>
      <c r="L38" s="16">
        <f>SUMSQ(B44:B45)/(3*5)-L31</f>
        <v>13.200333333333219</v>
      </c>
      <c r="M38">
        <f>2-1</f>
        <v>1</v>
      </c>
      <c r="N38" s="5">
        <f>L38/M38</f>
        <v>13.200333333333219</v>
      </c>
      <c r="O38" s="5">
        <f>N38/N41</f>
        <v>5.2451655629138534</v>
      </c>
      <c r="P38" s="5">
        <f>FINV(0.05,M38,M41)</f>
        <v>4.2596772726902348</v>
      </c>
      <c r="Q38" s="5">
        <f>FINV(0.01,M38,M41)</f>
        <v>7.8228705933679761</v>
      </c>
      <c r="R38" s="5">
        <f>FDIST(O38,M38,M41)</f>
        <v>3.1095253645659945E-2</v>
      </c>
    </row>
    <row r="39" spans="1:18" x14ac:dyDescent="0.25">
      <c r="A39" s="7" t="s">
        <v>53</v>
      </c>
      <c r="B39" s="6" t="s">
        <v>12</v>
      </c>
      <c r="C39" s="11">
        <v>15.3</v>
      </c>
      <c r="D39" s="11">
        <v>14.2</v>
      </c>
      <c r="E39" s="11">
        <v>13.8</v>
      </c>
      <c r="F39" s="11">
        <v>12.9</v>
      </c>
      <c r="G39" s="11">
        <v>13.6</v>
      </c>
      <c r="H39">
        <f t="shared" si="9"/>
        <v>69.8</v>
      </c>
      <c r="I39">
        <f t="shared" si="10"/>
        <v>13.959999999999999</v>
      </c>
      <c r="K39" s="16" t="s">
        <v>64</v>
      </c>
      <c r="L39" s="16">
        <f>SUMSQ(B46:B48)/(2*5)-L31</f>
        <v>216.72066666666569</v>
      </c>
      <c r="M39">
        <f>3-1</f>
        <v>2</v>
      </c>
      <c r="N39" s="5">
        <f t="shared" si="8"/>
        <v>108.36033333333285</v>
      </c>
      <c r="O39" s="5">
        <f>N39/N41</f>
        <v>43.057086092714968</v>
      </c>
      <c r="P39" s="5">
        <f>FINV(0.05,M39,M41)</f>
        <v>3.4028261053501945</v>
      </c>
      <c r="Q39" s="5">
        <f>FINV(0.01,M39,M41)</f>
        <v>5.6135912114648372</v>
      </c>
      <c r="R39" s="5">
        <f>FDIST(O39,M39,M41)</f>
        <v>1.1492546828850118E-8</v>
      </c>
    </row>
    <row r="40" spans="1:18" x14ac:dyDescent="0.25">
      <c r="A40" s="7"/>
      <c r="B40" s="6" t="s">
        <v>9</v>
      </c>
      <c r="C40" s="11">
        <v>11.7</v>
      </c>
      <c r="D40" s="11">
        <v>9.1999999999999993</v>
      </c>
      <c r="E40" s="11">
        <v>7.9</v>
      </c>
      <c r="F40" s="11">
        <v>7.1</v>
      </c>
      <c r="G40" s="12">
        <v>6.5</v>
      </c>
      <c r="H40">
        <f t="shared" si="9"/>
        <v>42.4</v>
      </c>
      <c r="I40">
        <f t="shared" si="10"/>
        <v>8.48</v>
      </c>
      <c r="K40" s="16" t="s">
        <v>65</v>
      </c>
      <c r="L40" s="16">
        <f>L37-L38-L39</f>
        <v>0.99266666666608216</v>
      </c>
      <c r="M40">
        <f>(2-1)*(3-1)</f>
        <v>2</v>
      </c>
      <c r="N40" s="5">
        <f t="shared" si="8"/>
        <v>0.49633333333304108</v>
      </c>
      <c r="O40" s="5">
        <f>N40/N41</f>
        <v>0.19721854304624117</v>
      </c>
      <c r="P40" s="5">
        <f>FINV(0.05,M40,M41)</f>
        <v>3.4028261053501945</v>
      </c>
      <c r="Q40" s="5">
        <f>FINV(0.01,M40,M41)</f>
        <v>5.6135912114648372</v>
      </c>
      <c r="R40" s="5">
        <f>FDIST(O40,M40,M41)</f>
        <v>0.82232839846369932</v>
      </c>
    </row>
    <row r="41" spans="1:18" x14ac:dyDescent="0.25">
      <c r="A41" s="7"/>
      <c r="B41" s="6" t="s">
        <v>11</v>
      </c>
      <c r="C41" s="11">
        <v>7.3</v>
      </c>
      <c r="D41" s="11">
        <v>6.9</v>
      </c>
      <c r="E41" s="11">
        <v>8.1999999999999993</v>
      </c>
      <c r="F41" s="11">
        <v>8.6</v>
      </c>
      <c r="G41" s="11">
        <v>8.1999999999999993</v>
      </c>
      <c r="H41">
        <f t="shared" si="9"/>
        <v>39.200000000000003</v>
      </c>
      <c r="I41">
        <f t="shared" si="10"/>
        <v>7.8400000000000007</v>
      </c>
      <c r="K41" s="16" t="s">
        <v>66</v>
      </c>
      <c r="L41" s="19">
        <f>L36-L37</f>
        <v>60.400000000000091</v>
      </c>
      <c r="M41">
        <f>2*3*(5-1)</f>
        <v>24</v>
      </c>
      <c r="N41" s="5">
        <f t="shared" si="8"/>
        <v>2.5166666666666706</v>
      </c>
    </row>
    <row r="42" spans="1:18" x14ac:dyDescent="0.25">
      <c r="C42" s="14"/>
      <c r="D42" s="14"/>
      <c r="E42" s="14"/>
      <c r="F42" s="14"/>
      <c r="G42" s="14"/>
    </row>
    <row r="43" spans="1:18" x14ac:dyDescent="0.25">
      <c r="B43" t="s">
        <v>58</v>
      </c>
      <c r="C43" t="s">
        <v>80</v>
      </c>
      <c r="D43" t="s">
        <v>85</v>
      </c>
      <c r="E43" t="s">
        <v>86</v>
      </c>
      <c r="F43" t="s">
        <v>87</v>
      </c>
    </row>
    <row r="44" spans="1:18" x14ac:dyDescent="0.25">
      <c r="A44" t="s">
        <v>75</v>
      </c>
      <c r="B44" s="18">
        <f>SUM(C36:G38)</f>
        <v>171.30000000000004</v>
      </c>
      <c r="C44" s="5">
        <f>B44/(3*5)</f>
        <v>11.420000000000003</v>
      </c>
      <c r="D44" s="5">
        <f>SQRT((2*N41)/(30))</f>
        <v>0.40960685758148391</v>
      </c>
      <c r="E44" s="5">
        <f>C44-TINV(0.05,24)*D44</f>
        <v>10.574612995804603</v>
      </c>
      <c r="F44" s="5">
        <f>C44+TINV(0.05,24)*D44</f>
        <v>12.265387004195404</v>
      </c>
    </row>
    <row r="45" spans="1:18" x14ac:dyDescent="0.25">
      <c r="A45" t="s">
        <v>76</v>
      </c>
      <c r="B45" s="18">
        <f>SUM(C39:G41)</f>
        <v>151.39999999999998</v>
      </c>
      <c r="C45" s="5">
        <f>B45/(3*5)</f>
        <v>10.093333333333332</v>
      </c>
      <c r="D45" s="5">
        <f>SQRT((2*N41)/(30))</f>
        <v>0.40960685758148391</v>
      </c>
      <c r="E45" s="5">
        <f>C45-TINV(0.05,24)*D45</f>
        <v>9.2479463291379318</v>
      </c>
      <c r="F45" s="5">
        <f>C45+TINV(0.05,24)*D45</f>
        <v>10.938720337528732</v>
      </c>
    </row>
    <row r="46" spans="1:18" x14ac:dyDescent="0.25">
      <c r="A46" t="s">
        <v>77</v>
      </c>
      <c r="B46" s="18">
        <f>SUM(C36:G36,C39:G39)</f>
        <v>145.1</v>
      </c>
      <c r="C46" s="5">
        <f>B46/(2*5)</f>
        <v>14.51</v>
      </c>
      <c r="D46" s="5">
        <f>SQRT((3*N41)/(30))</f>
        <v>0.50166389810974743</v>
      </c>
      <c r="E46" s="5">
        <f>C46-TINV(0.05,24)*D46</f>
        <v>13.474616602270583</v>
      </c>
      <c r="F46" s="5">
        <f>C46+TINV(0.05,24)*D46</f>
        <v>15.545383397729417</v>
      </c>
    </row>
    <row r="47" spans="1:18" x14ac:dyDescent="0.25">
      <c r="A47" t="s">
        <v>78</v>
      </c>
      <c r="B47" s="18">
        <f>SUM(C37:G37,C40:G40)</f>
        <v>94.000000000000014</v>
      </c>
      <c r="C47" s="5">
        <f t="shared" ref="C47:C48" si="11">B47/(2*5)</f>
        <v>9.4000000000000021</v>
      </c>
      <c r="D47" s="5">
        <f>SQRT((3*N41)/(30))</f>
        <v>0.50166389810974743</v>
      </c>
      <c r="E47" s="5">
        <f>C47-TINV(0.05,24)*D47</f>
        <v>8.364616602270587</v>
      </c>
      <c r="F47" s="5">
        <f>C47+TINV(0.05,24)*D47</f>
        <v>10.435383397729417</v>
      </c>
    </row>
    <row r="48" spans="1:18" x14ac:dyDescent="0.25">
      <c r="A48" t="s">
        <v>79</v>
      </c>
      <c r="B48" s="18">
        <f>SUM(C38:G38,C41:G41)</f>
        <v>83.6</v>
      </c>
      <c r="C48" s="5">
        <f t="shared" si="11"/>
        <v>8.36</v>
      </c>
      <c r="D48" s="5">
        <f>SQRT((3*N41)/(30))</f>
        <v>0.50166389810974743</v>
      </c>
      <c r="E48" s="5">
        <f>C48-TINV(0.05,24)*D48</f>
        <v>7.3246166022705834</v>
      </c>
      <c r="F48" s="5">
        <f>C48+TINV(0.05,24)*D48</f>
        <v>9.3953833977294146</v>
      </c>
    </row>
    <row r="49" spans="1:6" x14ac:dyDescent="0.25">
      <c r="A49" t="s">
        <v>108</v>
      </c>
      <c r="B49">
        <f>SUM(C36:G36)</f>
        <v>75.3</v>
      </c>
      <c r="C49" s="5">
        <f>B49/5</f>
        <v>15.059999999999999</v>
      </c>
      <c r="D49" s="5">
        <f>SQRT((6*N41)/(30))</f>
        <v>0.70945988845975927</v>
      </c>
      <c r="E49" s="5">
        <f t="shared" ref="E49:E54" si="12">C49-TINV(0.05,24)*D49</f>
        <v>13.595746756675123</v>
      </c>
      <c r="F49" s="5">
        <f t="shared" ref="F49:F54" si="13">C49+TINV(0.05,24)*D49</f>
        <v>16.524253243324875</v>
      </c>
    </row>
    <row r="50" spans="1:6" x14ac:dyDescent="0.25">
      <c r="A50" t="s">
        <v>109</v>
      </c>
      <c r="B50">
        <f t="shared" ref="B50:B54" si="14">SUM(C37:G37)</f>
        <v>51.600000000000009</v>
      </c>
      <c r="C50" s="5">
        <f t="shared" ref="C50:C54" si="15">B50/5</f>
        <v>10.320000000000002</v>
      </c>
      <c r="D50" s="5">
        <f>SQRT((6*N41)/(30))</f>
        <v>0.70945988845975927</v>
      </c>
      <c r="E50" s="5">
        <f t="shared" si="12"/>
        <v>8.855746756675126</v>
      </c>
      <c r="F50" s="5">
        <f t="shared" si="13"/>
        <v>11.784253243324878</v>
      </c>
    </row>
    <row r="51" spans="1:6" x14ac:dyDescent="0.25">
      <c r="A51" t="s">
        <v>110</v>
      </c>
      <c r="B51">
        <f t="shared" si="14"/>
        <v>44.4</v>
      </c>
      <c r="C51" s="5">
        <f t="shared" si="15"/>
        <v>8.879999999999999</v>
      </c>
      <c r="D51" s="5">
        <f>SQRT((6*N41)/(30))</f>
        <v>0.70945988845975927</v>
      </c>
      <c r="E51" s="5">
        <f t="shared" si="12"/>
        <v>7.415746756675123</v>
      </c>
      <c r="F51" s="5">
        <f t="shared" si="13"/>
        <v>10.344253243324875</v>
      </c>
    </row>
    <row r="52" spans="1:6" x14ac:dyDescent="0.25">
      <c r="A52" t="s">
        <v>111</v>
      </c>
      <c r="B52">
        <f t="shared" si="14"/>
        <v>69.8</v>
      </c>
      <c r="C52" s="5">
        <f t="shared" si="15"/>
        <v>13.959999999999999</v>
      </c>
      <c r="D52" s="5">
        <f>SQRT((6*N41)/(30))</f>
        <v>0.70945988845975927</v>
      </c>
      <c r="E52" s="5">
        <f t="shared" si="12"/>
        <v>12.495746756675123</v>
      </c>
      <c r="F52" s="5">
        <f t="shared" si="13"/>
        <v>15.424253243324875</v>
      </c>
    </row>
    <row r="53" spans="1:6" x14ac:dyDescent="0.25">
      <c r="A53" t="s">
        <v>112</v>
      </c>
      <c r="B53">
        <f t="shared" si="14"/>
        <v>42.4</v>
      </c>
      <c r="C53" s="5">
        <f t="shared" si="15"/>
        <v>8.48</v>
      </c>
      <c r="D53" s="5">
        <f>SQRT((6*N41)/(30))</f>
        <v>0.70945988845975927</v>
      </c>
      <c r="E53" s="5">
        <f t="shared" si="12"/>
        <v>7.0157467566751244</v>
      </c>
      <c r="F53" s="5">
        <f t="shared" si="13"/>
        <v>9.9442532433248765</v>
      </c>
    </row>
    <row r="54" spans="1:6" x14ac:dyDescent="0.25">
      <c r="A54" t="s">
        <v>113</v>
      </c>
      <c r="B54">
        <f t="shared" si="14"/>
        <v>39.200000000000003</v>
      </c>
      <c r="C54" s="5">
        <f t="shared" si="15"/>
        <v>7.8400000000000007</v>
      </c>
      <c r="D54" s="5">
        <f>SQRT((6*N41)/(30))</f>
        <v>0.70945988845975927</v>
      </c>
      <c r="E54" s="5">
        <f t="shared" si="12"/>
        <v>6.3757467566751238</v>
      </c>
      <c r="F54" s="5">
        <f t="shared" si="13"/>
        <v>9.3042532433248777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topLeftCell="A22" workbookViewId="0">
      <selection activeCell="D41" sqref="D41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7" width="9.5703125" bestFit="1" customWidth="1"/>
    <col min="8" max="8" width="12" customWidth="1"/>
    <col min="17" max="17" width="8.42578125" customWidth="1"/>
  </cols>
  <sheetData>
    <row r="1" spans="1:13" x14ac:dyDescent="0.25">
      <c r="A1" s="30"/>
      <c r="B1" s="16"/>
      <c r="C1" s="16"/>
      <c r="D1" s="16"/>
      <c r="E1" s="16"/>
      <c r="F1" s="16"/>
      <c r="G1" s="16"/>
    </row>
    <row r="2" spans="1:13" x14ac:dyDescent="0.25">
      <c r="A2" s="15"/>
      <c r="B2" s="15"/>
      <c r="C2" s="15"/>
      <c r="D2" s="15"/>
      <c r="E2" s="15"/>
      <c r="F2" s="15"/>
      <c r="G2" s="15"/>
    </row>
    <row r="3" spans="1:13" x14ac:dyDescent="0.25">
      <c r="A3" s="22" t="s">
        <v>96</v>
      </c>
      <c r="B3" s="23"/>
      <c r="C3" s="23"/>
      <c r="D3" s="23"/>
      <c r="E3" s="23"/>
      <c r="F3" s="23"/>
      <c r="G3" s="23"/>
    </row>
    <row r="4" spans="1:13" x14ac:dyDescent="0.25">
      <c r="A4" s="10" t="s">
        <v>68</v>
      </c>
      <c r="B4" s="10" t="s">
        <v>69</v>
      </c>
      <c r="C4" s="10" t="s">
        <v>2</v>
      </c>
      <c r="D4" s="10" t="s">
        <v>3</v>
      </c>
      <c r="E4" s="10" t="s">
        <v>4</v>
      </c>
      <c r="F4" s="10" t="s">
        <v>6</v>
      </c>
      <c r="G4" s="10" t="s">
        <v>5</v>
      </c>
    </row>
    <row r="5" spans="1:13" x14ac:dyDescent="0.25">
      <c r="A5" s="7" t="s">
        <v>52</v>
      </c>
      <c r="B5" s="6" t="s">
        <v>12</v>
      </c>
      <c r="C5" s="11">
        <v>3.5</v>
      </c>
      <c r="D5" s="11">
        <v>3.9</v>
      </c>
      <c r="E5" s="11">
        <v>3.6</v>
      </c>
      <c r="F5" s="11">
        <v>3.5</v>
      </c>
      <c r="G5" s="11">
        <v>3.2</v>
      </c>
    </row>
    <row r="6" spans="1:13" x14ac:dyDescent="0.25">
      <c r="A6" s="7"/>
      <c r="B6" s="6" t="s">
        <v>9</v>
      </c>
      <c r="C6" s="11">
        <v>2.4</v>
      </c>
      <c r="D6" s="11">
        <v>2.8</v>
      </c>
      <c r="E6" s="11">
        <v>2.6</v>
      </c>
      <c r="F6" s="11">
        <v>2.4</v>
      </c>
      <c r="G6" s="11">
        <v>2.8</v>
      </c>
    </row>
    <row r="7" spans="1:13" x14ac:dyDescent="0.25">
      <c r="A7" s="7"/>
      <c r="B7" s="6" t="s">
        <v>11</v>
      </c>
      <c r="C7" s="11">
        <v>2.6</v>
      </c>
      <c r="D7" s="11">
        <v>1.8</v>
      </c>
      <c r="E7" s="11">
        <v>2.2999999999999998</v>
      </c>
      <c r="F7" s="11">
        <v>2.2000000000000002</v>
      </c>
      <c r="G7" s="11">
        <v>2.4</v>
      </c>
    </row>
    <row r="8" spans="1:13" x14ac:dyDescent="0.25">
      <c r="A8" s="7" t="s">
        <v>53</v>
      </c>
      <c r="B8" s="6" t="s">
        <v>12</v>
      </c>
      <c r="C8" s="11">
        <v>3.4</v>
      </c>
      <c r="D8" s="11">
        <v>3.2</v>
      </c>
      <c r="E8" s="11">
        <v>4.2</v>
      </c>
      <c r="F8" s="11">
        <v>3.6</v>
      </c>
      <c r="G8" s="11">
        <v>3.5</v>
      </c>
    </row>
    <row r="9" spans="1:13" x14ac:dyDescent="0.25">
      <c r="A9" s="7"/>
      <c r="B9" s="6" t="s">
        <v>9</v>
      </c>
      <c r="C9" s="11">
        <v>3</v>
      </c>
      <c r="D9" s="11">
        <v>2.9</v>
      </c>
      <c r="E9" s="11">
        <v>2.7</v>
      </c>
      <c r="F9" s="11">
        <v>2.4</v>
      </c>
      <c r="G9" s="12">
        <v>2.2999999999999998</v>
      </c>
    </row>
    <row r="10" spans="1:13" x14ac:dyDescent="0.25">
      <c r="A10" s="7"/>
      <c r="B10" s="6" t="s">
        <v>11</v>
      </c>
      <c r="C10" s="11">
        <v>2.2999999999999998</v>
      </c>
      <c r="D10" s="11">
        <v>2.2000000000000002</v>
      </c>
      <c r="E10" s="11">
        <v>1.6</v>
      </c>
      <c r="F10" s="11">
        <v>2</v>
      </c>
      <c r="G10" s="11">
        <v>1.5</v>
      </c>
    </row>
    <row r="12" spans="1:13" x14ac:dyDescent="0.25">
      <c r="A12" t="s">
        <v>95</v>
      </c>
      <c r="B12" s="5">
        <v>9.2166666666667396E-2</v>
      </c>
    </row>
    <row r="13" spans="1:13" x14ac:dyDescent="0.25">
      <c r="A13" t="s">
        <v>94</v>
      </c>
      <c r="B13" s="5">
        <f>SQRT(B12/5)</f>
        <v>0.13576941236277587</v>
      </c>
    </row>
    <row r="14" spans="1:13" x14ac:dyDescent="0.25">
      <c r="A14" t="s">
        <v>88</v>
      </c>
      <c r="B14">
        <v>2</v>
      </c>
      <c r="C14" s="32" t="s">
        <v>104</v>
      </c>
    </row>
    <row r="15" spans="1:13" x14ac:dyDescent="0.25">
      <c r="A15" t="s">
        <v>89</v>
      </c>
      <c r="B15">
        <v>2.92</v>
      </c>
      <c r="C15" s="32" t="s">
        <v>105</v>
      </c>
    </row>
    <row r="16" spans="1:13" x14ac:dyDescent="0.25">
      <c r="A16" t="s">
        <v>93</v>
      </c>
      <c r="B16" s="5">
        <f>B13*B15</f>
        <v>0.39644668409930556</v>
      </c>
      <c r="C16" s="5"/>
      <c r="D16" s="5"/>
      <c r="E16" s="5"/>
      <c r="F16" s="5"/>
      <c r="H16" s="16"/>
      <c r="I16" s="30"/>
      <c r="J16" s="30"/>
      <c r="K16" s="30"/>
      <c r="L16" s="30"/>
      <c r="M16" s="30"/>
    </row>
    <row r="17" spans="1:13" x14ac:dyDescent="0.25">
      <c r="H17" s="16"/>
      <c r="I17" s="31"/>
      <c r="J17" s="31"/>
      <c r="K17" s="31"/>
      <c r="L17" s="31"/>
      <c r="M17" s="31"/>
    </row>
    <row r="18" spans="1:13" x14ac:dyDescent="0.25">
      <c r="A18" t="s">
        <v>84</v>
      </c>
      <c r="B18" t="s">
        <v>80</v>
      </c>
      <c r="C18" t="s">
        <v>101</v>
      </c>
      <c r="D18" t="s">
        <v>102</v>
      </c>
      <c r="H18" s="16"/>
      <c r="I18" s="16"/>
      <c r="J18" s="16"/>
      <c r="K18" s="16"/>
      <c r="L18" s="16"/>
      <c r="M18" s="16"/>
    </row>
    <row r="19" spans="1:13" x14ac:dyDescent="0.25">
      <c r="A19" t="s">
        <v>12</v>
      </c>
      <c r="B19" s="18">
        <f>AVERAGE(C8:G8,C5:G5)</f>
        <v>3.56</v>
      </c>
      <c r="C19" s="18"/>
      <c r="D19" t="s">
        <v>90</v>
      </c>
      <c r="H19" s="16"/>
      <c r="I19" s="16"/>
      <c r="J19" s="16"/>
      <c r="K19" s="16"/>
      <c r="L19" s="16"/>
      <c r="M19" s="16"/>
    </row>
    <row r="20" spans="1:13" x14ac:dyDescent="0.25">
      <c r="A20" s="6" t="s">
        <v>9</v>
      </c>
      <c r="B20" s="18">
        <f t="shared" ref="B20:B21" si="0">AVERAGE(C9:G9,C6:G6)</f>
        <v>2.63</v>
      </c>
      <c r="C20" s="18">
        <f>ABS(B20-B19)</f>
        <v>0.93000000000000016</v>
      </c>
      <c r="D20" t="s">
        <v>91</v>
      </c>
      <c r="H20" s="16"/>
      <c r="I20" s="16"/>
      <c r="J20" s="16"/>
      <c r="K20" s="16"/>
      <c r="L20" s="16"/>
      <c r="M20" s="16"/>
    </row>
    <row r="21" spans="1:13" x14ac:dyDescent="0.25">
      <c r="A21" s="6" t="s">
        <v>11</v>
      </c>
      <c r="B21" s="18">
        <f t="shared" si="0"/>
        <v>2.09</v>
      </c>
      <c r="C21" s="18">
        <f>ABS(B21-B20)</f>
        <v>0.54</v>
      </c>
      <c r="D21" s="18" t="s">
        <v>92</v>
      </c>
    </row>
    <row r="24" spans="1:13" x14ac:dyDescent="0.25">
      <c r="A24" s="22" t="s">
        <v>103</v>
      </c>
      <c r="B24" s="23"/>
      <c r="C24" s="23"/>
      <c r="D24" s="23"/>
      <c r="E24" s="23"/>
      <c r="F24" s="23"/>
      <c r="G24" s="23"/>
    </row>
    <row r="25" spans="1:13" x14ac:dyDescent="0.25">
      <c r="A25" s="10" t="s">
        <v>68</v>
      </c>
      <c r="B25" s="10" t="s">
        <v>69</v>
      </c>
      <c r="C25" s="10" t="s">
        <v>2</v>
      </c>
      <c r="D25" s="10" t="s">
        <v>3</v>
      </c>
      <c r="E25" s="10" t="s">
        <v>4</v>
      </c>
      <c r="F25" s="10" t="s">
        <v>6</v>
      </c>
      <c r="G25" s="10" t="s">
        <v>5</v>
      </c>
    </row>
    <row r="26" spans="1:13" x14ac:dyDescent="0.25">
      <c r="A26" s="7" t="s">
        <v>52</v>
      </c>
      <c r="B26" s="6" t="s">
        <v>12</v>
      </c>
      <c r="C26" s="11">
        <v>13.8</v>
      </c>
      <c r="D26" s="11">
        <v>16.2</v>
      </c>
      <c r="E26" s="11">
        <v>17.7</v>
      </c>
      <c r="F26" s="11">
        <v>15.3</v>
      </c>
      <c r="G26" s="11">
        <v>12.3</v>
      </c>
    </row>
    <row r="27" spans="1:13" x14ac:dyDescent="0.25">
      <c r="A27" s="7"/>
      <c r="B27" s="6" t="s">
        <v>9</v>
      </c>
      <c r="C27" s="11">
        <v>8.9</v>
      </c>
      <c r="D27" s="11">
        <v>9.3000000000000007</v>
      </c>
      <c r="E27" s="11">
        <v>12.7</v>
      </c>
      <c r="F27" s="11">
        <v>9.4</v>
      </c>
      <c r="G27" s="11">
        <v>11.3</v>
      </c>
    </row>
    <row r="28" spans="1:13" x14ac:dyDescent="0.25">
      <c r="A28" s="7"/>
      <c r="B28" s="6" t="s">
        <v>11</v>
      </c>
      <c r="C28" s="11">
        <v>9.3000000000000007</v>
      </c>
      <c r="D28" s="11">
        <v>7.8</v>
      </c>
      <c r="E28" s="11">
        <v>8</v>
      </c>
      <c r="F28" s="11">
        <v>7.8</v>
      </c>
      <c r="G28" s="11">
        <v>11.5</v>
      </c>
    </row>
    <row r="29" spans="1:13" x14ac:dyDescent="0.25">
      <c r="A29" s="7" t="s">
        <v>53</v>
      </c>
      <c r="B29" s="6" t="s">
        <v>12</v>
      </c>
      <c r="C29" s="11">
        <v>15.3</v>
      </c>
      <c r="D29" s="11">
        <v>14.2</v>
      </c>
      <c r="E29" s="11">
        <v>13.8</v>
      </c>
      <c r="F29" s="11">
        <v>12.9</v>
      </c>
      <c r="G29" s="11">
        <v>13.6</v>
      </c>
    </row>
    <row r="30" spans="1:13" x14ac:dyDescent="0.25">
      <c r="A30" s="7"/>
      <c r="B30" s="6" t="s">
        <v>9</v>
      </c>
      <c r="C30" s="11">
        <v>11.7</v>
      </c>
      <c r="D30" s="11">
        <v>9.1999999999999993</v>
      </c>
      <c r="E30" s="11">
        <v>7.9</v>
      </c>
      <c r="F30" s="11">
        <v>7.1</v>
      </c>
      <c r="G30" s="12">
        <v>6.5</v>
      </c>
    </row>
    <row r="31" spans="1:13" x14ac:dyDescent="0.25">
      <c r="A31" s="7"/>
      <c r="B31" s="6" t="s">
        <v>11</v>
      </c>
      <c r="C31" s="11">
        <v>7.3</v>
      </c>
      <c r="D31" s="11">
        <v>6.9</v>
      </c>
      <c r="E31" s="11">
        <v>8.1999999999999993</v>
      </c>
      <c r="F31" s="11">
        <v>8.6</v>
      </c>
      <c r="G31" s="11">
        <v>8.1999999999999993</v>
      </c>
    </row>
    <row r="33" spans="1:6" x14ac:dyDescent="0.25">
      <c r="A33" t="s">
        <v>95</v>
      </c>
      <c r="B33" s="5">
        <v>2.5166666666666706</v>
      </c>
    </row>
    <row r="34" spans="1:6" x14ac:dyDescent="0.25">
      <c r="A34" t="s">
        <v>94</v>
      </c>
      <c r="B34" s="5">
        <f>SQRT(B33/5)</f>
        <v>0.70945988845975927</v>
      </c>
    </row>
    <row r="35" spans="1:6" x14ac:dyDescent="0.25">
      <c r="A35" t="s">
        <v>88</v>
      </c>
      <c r="B35">
        <v>2</v>
      </c>
      <c r="C35" s="32" t="s">
        <v>104</v>
      </c>
    </row>
    <row r="36" spans="1:6" x14ac:dyDescent="0.25">
      <c r="A36" t="s">
        <v>89</v>
      </c>
      <c r="B36">
        <v>2.92</v>
      </c>
      <c r="C36" s="32" t="s">
        <v>105</v>
      </c>
    </row>
    <row r="37" spans="1:6" x14ac:dyDescent="0.25">
      <c r="A37" t="s">
        <v>93</v>
      </c>
      <c r="B37" s="5">
        <f>B34*B36</f>
        <v>2.0716228743024971</v>
      </c>
      <c r="C37" s="33" t="s">
        <v>106</v>
      </c>
      <c r="D37" s="5"/>
      <c r="E37" s="5"/>
      <c r="F37" s="5"/>
    </row>
    <row r="39" spans="1:6" x14ac:dyDescent="0.25">
      <c r="A39" t="s">
        <v>84</v>
      </c>
      <c r="B39" t="s">
        <v>80</v>
      </c>
      <c r="C39" t="s">
        <v>101</v>
      </c>
      <c r="D39" t="s">
        <v>102</v>
      </c>
    </row>
    <row r="40" spans="1:6" x14ac:dyDescent="0.25">
      <c r="A40" t="s">
        <v>12</v>
      </c>
      <c r="B40" s="18">
        <f>AVERAGE(C29:G29,C26:G26)</f>
        <v>14.510000000000002</v>
      </c>
      <c r="C40" s="18"/>
      <c r="D40" t="s">
        <v>90</v>
      </c>
    </row>
    <row r="41" spans="1:6" x14ac:dyDescent="0.25">
      <c r="A41" s="6" t="s">
        <v>9</v>
      </c>
      <c r="B41" s="18">
        <f t="shared" ref="B41:B42" si="1">AVERAGE(C30:G30,C27:G27)</f>
        <v>9.4</v>
      </c>
      <c r="C41" s="18">
        <f>ABS(B41-B40)</f>
        <v>5.1100000000000012</v>
      </c>
      <c r="D41" t="s">
        <v>91</v>
      </c>
    </row>
    <row r="42" spans="1:6" x14ac:dyDescent="0.25">
      <c r="A42" s="6" t="s">
        <v>11</v>
      </c>
      <c r="B42" s="18">
        <f t="shared" si="1"/>
        <v>8.36</v>
      </c>
      <c r="C42" s="18">
        <f>ABS(B42-B41)</f>
        <v>1.0400000000000009</v>
      </c>
      <c r="D42" s="18" t="s">
        <v>91</v>
      </c>
    </row>
  </sheetData>
  <sortState xmlns:xlrd2="http://schemas.microsoft.com/office/spreadsheetml/2017/richdata2" ref="A19:B23">
    <sortCondition ref="A19:A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Data</vt:lpstr>
      <vt:lpstr>Normality K-S</vt:lpstr>
      <vt:lpstr>Levene</vt:lpstr>
      <vt:lpstr>Factorial Design</vt:lpstr>
      <vt:lpstr>Duncan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Prayoga Layung Izati</dc:creator>
  <cp:lastModifiedBy>Admin</cp:lastModifiedBy>
  <dcterms:created xsi:type="dcterms:W3CDTF">2021-10-16T06:49:16Z</dcterms:created>
  <dcterms:modified xsi:type="dcterms:W3CDTF">2021-12-31T01:52:38Z</dcterms:modified>
</cp:coreProperties>
</file>