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li.Melad\Dropbox\Ali Work\Kyle\California VAT\policy_engile_cali_v2\outputs\"/>
    </mc:Choice>
  </mc:AlternateContent>
  <xr:revisionPtr revIDLastSave="0" documentId="13_ncr:1_{B4CD9E8E-4DA8-448D-AC4E-074CA8CF96CD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Flat Per Capita" sheetId="1" r:id="rId1"/>
    <sheet name="Poverty Times Vat" sheetId="2" r:id="rId2"/>
    <sheet name="Old Outpu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113" i="3" l="1"/>
  <c r="H113" i="3"/>
  <c r="G113" i="3"/>
  <c r="F113" i="3"/>
  <c r="E113" i="3"/>
  <c r="I112" i="3"/>
  <c r="H112" i="3"/>
  <c r="G112" i="3"/>
  <c r="F112" i="3"/>
  <c r="E112" i="3"/>
  <c r="I111" i="3"/>
  <c r="H111" i="3"/>
  <c r="G111" i="3"/>
  <c r="F111" i="3"/>
  <c r="E111" i="3"/>
  <c r="I110" i="3"/>
  <c r="H110" i="3"/>
  <c r="G110" i="3"/>
  <c r="F110" i="3"/>
  <c r="E110" i="3"/>
  <c r="I109" i="3"/>
  <c r="H109" i="3"/>
  <c r="G109" i="3"/>
  <c r="F109" i="3"/>
  <c r="E109" i="3"/>
  <c r="I108" i="3"/>
  <c r="H108" i="3"/>
  <c r="G108" i="3"/>
  <c r="F108" i="3"/>
  <c r="E108" i="3"/>
  <c r="I107" i="3"/>
  <c r="H107" i="3"/>
  <c r="G107" i="3"/>
  <c r="F107" i="3"/>
  <c r="E107" i="3"/>
  <c r="I106" i="3"/>
  <c r="H106" i="3"/>
  <c r="G106" i="3"/>
  <c r="F106" i="3"/>
  <c r="E106" i="3"/>
  <c r="I105" i="3"/>
  <c r="H105" i="3"/>
  <c r="G105" i="3"/>
  <c r="F105" i="3"/>
  <c r="E105" i="3"/>
  <c r="I104" i="3"/>
  <c r="H104" i="3"/>
  <c r="G104" i="3"/>
  <c r="F104" i="3"/>
  <c r="E104" i="3"/>
  <c r="I103" i="3"/>
  <c r="H103" i="3"/>
  <c r="G103" i="3"/>
  <c r="F103" i="3"/>
  <c r="E103" i="3"/>
  <c r="I102" i="3"/>
  <c r="H102" i="3"/>
  <c r="G102" i="3"/>
  <c r="F102" i="3"/>
  <c r="E102" i="3"/>
  <c r="I101" i="3"/>
  <c r="H101" i="3"/>
  <c r="G101" i="3"/>
  <c r="F101" i="3"/>
  <c r="E101" i="3"/>
  <c r="G26" i="3"/>
  <c r="F26" i="3"/>
  <c r="F21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5" i="3"/>
  <c r="F5" i="3"/>
  <c r="G4" i="3"/>
  <c r="F4" i="3"/>
  <c r="D22" i="2"/>
  <c r="D21" i="2"/>
  <c r="D20" i="2"/>
  <c r="D19" i="2"/>
  <c r="D18" i="2"/>
  <c r="D17" i="2"/>
  <c r="D16" i="2"/>
  <c r="D8" i="2"/>
  <c r="D7" i="2"/>
  <c r="D6" i="2"/>
  <c r="D5" i="2"/>
  <c r="D4" i="2"/>
  <c r="D3" i="2"/>
  <c r="E28" i="1"/>
  <c r="E27" i="1"/>
  <c r="E23" i="1"/>
  <c r="E22" i="1"/>
  <c r="E21" i="1"/>
  <c r="E20" i="1"/>
  <c r="E19" i="1"/>
  <c r="E18" i="1"/>
  <c r="E17" i="1"/>
  <c r="E5" i="1"/>
  <c r="E11" i="1"/>
  <c r="E10" i="1"/>
  <c r="E9" i="1"/>
  <c r="E8" i="1"/>
  <c r="E7" i="1"/>
  <c r="E6" i="1"/>
  <c r="E4" i="1"/>
</calcChain>
</file>

<file path=xl/sharedStrings.xml><?xml version="1.0" encoding="utf-8"?>
<sst xmlns="http://schemas.openxmlformats.org/spreadsheetml/2006/main" count="106" uniqueCount="64">
  <si>
    <t xml:space="preserve">Flat per Capita cost </t>
  </si>
  <si>
    <t>Total With Phase-Out ($ Billions)</t>
  </si>
  <si>
    <t>Decile</t>
  </si>
  <si>
    <t>Household Size Table</t>
  </si>
  <si>
    <t>Household Size (capped at 7)</t>
  </si>
  <si>
    <t>MFJ</t>
  </si>
  <si>
    <t>Single/Other</t>
  </si>
  <si>
    <t>Rebate Cost by Filing Status</t>
  </si>
  <si>
    <t>Filing Status</t>
  </si>
  <si>
    <t>Rebate Totals</t>
  </si>
  <si>
    <t>Year</t>
  </si>
  <si>
    <t>Total Without Phase-Out ($ Billions)</t>
  </si>
  <si>
    <t>Reduction ($ Billions)</t>
  </si>
  <si>
    <t xml:space="preserve">Poverty * VAT cost </t>
  </si>
  <si>
    <t>Total Cost ($ Billions)</t>
  </si>
  <si>
    <t>Rebate Cost By Filing Status</t>
  </si>
  <si>
    <t>No Phaseout Cost ($ Billions)</t>
  </si>
  <si>
    <t>Pasheout Cost ($ Billions)</t>
  </si>
  <si>
    <t>Married Filing Jointly</t>
  </si>
  <si>
    <t>single</t>
  </si>
  <si>
    <t>Rebate Cost by Decile</t>
  </si>
  <si>
    <t>Total Households</t>
  </si>
  <si>
    <t xml:space="preserve">Rebate Cost </t>
  </si>
  <si>
    <t>No Phase out ($ Billions)</t>
  </si>
  <si>
    <t>Phaseout ($Billions)</t>
  </si>
  <si>
    <t>MTR Summary</t>
  </si>
  <si>
    <t>Policy</t>
  </si>
  <si>
    <t>year</t>
  </si>
  <si>
    <t>Population weighted MTR</t>
  </si>
  <si>
    <t>Earnings weighted MTR</t>
  </si>
  <si>
    <t xml:space="preserve">Rebate with an extra $1 in wages </t>
  </si>
  <si>
    <t>MTR Breakdown by Decile</t>
  </si>
  <si>
    <t>Household size (capped at 7)</t>
  </si>
  <si>
    <t>% of households in band</t>
  </si>
  <si>
    <t>% of wages in band</t>
  </si>
  <si>
    <t>Avg clawback rate (households)</t>
  </si>
  <si>
    <t>Avg clawback rate (wages)</t>
  </si>
  <si>
    <t>mfj</t>
  </si>
  <si>
    <t>Avg. tax per household (baseline)</t>
  </si>
  <si>
    <t>Avg. tax per household (reform)</t>
  </si>
  <si>
    <t>Avg . change per household</t>
  </si>
  <si>
    <t>Total change (all households)</t>
  </si>
  <si>
    <t>% of population in group</t>
  </si>
  <si>
    <t>% of total tax change from group</t>
  </si>
  <si>
    <t>Top 5%</t>
  </si>
  <si>
    <t>Top 1%</t>
  </si>
  <si>
    <t>After-Tax Income by Decile</t>
  </si>
  <si>
    <t>Baseline After-Tax Income ($)</t>
  </si>
  <si>
    <t>Reform After-Tax Income ($)</t>
  </si>
  <si>
    <t>Percent Change</t>
  </si>
  <si>
    <t>All</t>
  </si>
  <si>
    <t>Baseline vs. Rebate-Only Marginal Tax Rates by AGI Decile</t>
  </si>
  <si>
    <t>Baseline MTR (income tax only)</t>
  </si>
  <si>
    <t xml:space="preserve">Rebate-only MTR </t>
  </si>
  <si>
    <t>Net MTR (baseline + rebate)</t>
  </si>
  <si>
    <t>VAT Distribution by Factor Income (Totals; $ Billions)</t>
  </si>
  <si>
    <t>Total Wage Income</t>
  </si>
  <si>
    <t>Total Non-Wage Income ($B)</t>
  </si>
  <si>
    <t>Positive Non-Wage Income ($B)</t>
  </si>
  <si>
    <t>Non-Wage Income Losses ($B)</t>
  </si>
  <si>
    <t>Total Tax Change</t>
  </si>
  <si>
    <t>% of Total Change (signed)</t>
  </si>
  <si>
    <t>% of Relief</t>
  </si>
  <si>
    <t>Distribution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</si>
</sst>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0" xfId="0" quotePrefix="1" applyNumberFormat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165" fontId="0" fillId="0" borderId="6" xfId="0" quotePrefix="1" applyNumberFormat="1" applyBorder="1"/>
    <xf numFmtId="165" fontId="0" fillId="0" borderId="3" xfId="0" quotePrefix="1" applyNumberFormat="1" applyBorder="1"/>
    <xf numFmtId="0" fontId="0" fillId="0" borderId="7" xfId="0" applyBorder="1"/>
    <xf numFmtId="165" fontId="0" fillId="0" borderId="7" xfId="0" quotePrefix="1" applyNumberFormat="1" applyBorder="1"/>
    <xf numFmtId="165" fontId="0" fillId="0" borderId="2" xfId="0" quotePrefix="1" applyNumberForma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0" xfId="0" quotePrefix="1" applyNumberFormat="1"/>
    <xf numFmtId="1" fontId="0" fillId="0" borderId="3" xfId="0" quotePrefix="1" applyNumberFormat="1" applyBorder="1"/>
    <xf numFmtId="0" fontId="1" fillId="0" borderId="12" xfId="0" applyFont="1" applyBorder="1"/>
    <xf numFmtId="165" fontId="0" fillId="0" borderId="0" xfId="0" applyNumberFormat="1"/>
    <xf numFmtId="0" fontId="1" fillId="0" borderId="13" xfId="0" applyFont="1" applyBorder="1"/>
    <xf numFmtId="165" fontId="0" fillId="0" borderId="1" xfId="0" quotePrefix="1" applyNumberFormat="1" applyBorder="1"/>
    <xf numFmtId="165" fontId="0" fillId="0" borderId="1" xfId="0" applyNumberFormat="1" applyBorder="1"/>
    <xf numFmtId="1" fontId="0" fillId="0" borderId="2" xfId="0" quotePrefix="1" applyNumberFormat="1" applyBorder="1"/>
    <xf numFmtId="0" fontId="1" fillId="0" borderId="14" xfId="0" applyFont="1" applyBorder="1"/>
    <xf numFmtId="0" fontId="0" fillId="0" borderId="15" xfId="0" applyBorder="1"/>
    <xf numFmtId="164" fontId="0" fillId="0" borderId="1" xfId="0" quotePrefix="1" applyNumberFormat="1" applyBorder="1"/>
    <xf numFmtId="164" fontId="0" fillId="0" borderId="2" xfId="0" quotePrefix="1" applyNumberFormat="1" applyBorder="1"/>
    <xf numFmtId="0" fontId="1" fillId="0" borderId="15" xfId="0" applyFont="1" applyBorder="1"/>
    <xf numFmtId="0" fontId="0" fillId="0" borderId="14" xfId="0" applyBorder="1"/>
    <xf numFmtId="9" fontId="0" fillId="0" borderId="14" xfId="1" applyFont="1" applyBorder="1"/>
    <xf numFmtId="10" fontId="0" fillId="0" borderId="5" xfId="0" quotePrefix="1" applyNumberFormat="1" applyBorder="1"/>
    <xf numFmtId="0" fontId="1" fillId="0" borderId="0" xfId="0" applyFont="1"/>
    <xf numFmtId="0" fontId="0" fillId="0" borderId="12" xfId="0" applyBorder="1"/>
    <xf numFmtId="9" fontId="0" fillId="0" borderId="0" xfId="1" applyFont="1" applyBorder="1"/>
    <xf numFmtId="9" fontId="0" fillId="0" borderId="0" xfId="1" quotePrefix="1" applyFont="1" applyBorder="1"/>
    <xf numFmtId="9" fontId="0" fillId="0" borderId="3" xfId="1" applyFont="1" applyBorder="1"/>
    <xf numFmtId="9" fontId="0" fillId="0" borderId="3" xfId="1" quotePrefix="1" applyFont="1" applyBorder="1"/>
    <xf numFmtId="0" fontId="0" fillId="0" borderId="13" xfId="0" applyBorder="1"/>
    <xf numFmtId="0" fontId="0" fillId="0" borderId="1" xfId="0" applyBorder="1"/>
    <xf numFmtId="9" fontId="0" fillId="0" borderId="1" xfId="1" applyFont="1" applyBorder="1"/>
    <xf numFmtId="9" fontId="0" fillId="0" borderId="1" xfId="1" quotePrefix="1" applyFont="1" applyBorder="1"/>
    <xf numFmtId="9" fontId="0" fillId="0" borderId="2" xfId="1" applyFont="1" applyBorder="1"/>
    <xf numFmtId="49" fontId="1" fillId="0" borderId="12" xfId="0" applyNumberFormat="1" applyFont="1" applyBorder="1"/>
    <xf numFmtId="1" fontId="0" fillId="0" borderId="0" xfId="0" applyNumberFormat="1"/>
    <xf numFmtId="164" fontId="0" fillId="0" borderId="3" xfId="0" quotePrefix="1" applyNumberFormat="1" applyBorder="1"/>
    <xf numFmtId="1" fontId="0" fillId="0" borderId="0" xfId="0" quotePrefix="1" applyNumberFormat="1"/>
    <xf numFmtId="1" fontId="0" fillId="0" borderId="1" xfId="0" quotePrefix="1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5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10" fontId="0" fillId="0" borderId="3" xfId="0" applyNumberFormat="1" applyBorder="1" applyAlignment="1">
      <alignment horizontal="right" vertical="center" wrapText="1"/>
    </xf>
    <xf numFmtId="0" fontId="0" fillId="0" borderId="13" xfId="0" applyBorder="1" applyAlignment="1">
      <alignment horizontal="right" vertical="center" wrapText="1"/>
    </xf>
    <xf numFmtId="10" fontId="0" fillId="0" borderId="1" xfId="0" applyNumberFormat="1" applyBorder="1" applyAlignment="1">
      <alignment horizontal="right" vertical="center" wrapText="1"/>
    </xf>
    <xf numFmtId="10" fontId="0" fillId="0" borderId="2" xfId="0" applyNumberFormat="1" applyBorder="1" applyAlignment="1">
      <alignment horizontal="right" vertical="center" wrapText="1"/>
    </xf>
    <xf numFmtId="164" fontId="0" fillId="0" borderId="3" xfId="0" applyNumberFormat="1" applyBorder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114</xdr:row>
      <xdr:rowOff>23812</xdr:rowOff>
    </xdr:from>
    <xdr:to>
      <xdr:col>10</xdr:col>
      <xdr:colOff>285750</xdr:colOff>
      <xdr:row>117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D63E12-5A8D-449D-8292-6CABBF08A315}"/>
            </a:ext>
          </a:extLst>
        </xdr:cNvPr>
        <xdr:cNvSpPr txBox="1"/>
      </xdr:nvSpPr>
      <xdr:spPr>
        <a:xfrm>
          <a:off x="2552700" y="21750337"/>
          <a:ext cx="15973425" cy="6619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41"/>
  <sheetViews>
    <sheetView workbookViewId="0">
      <selection activeCell="H15" sqref="H15"/>
    </sheetView>
  </sheetViews>
  <sheetFormatPr defaultRowHeight="15" x14ac:dyDescent="0.25"/>
  <cols>
    <col min="4" max="4" width="27" bestFit="1" customWidth="1"/>
    <col min="5" max="5" width="33.5703125" bestFit="1" customWidth="1"/>
    <col min="6" max="6" width="30.5703125" bestFit="1" customWidth="1"/>
    <col min="7" max="7" width="20.140625" bestFit="1" customWidth="1"/>
    <col min="8" max="8" width="18.5703125" customWidth="1"/>
    <col min="13" max="13" width="19" customWidth="1"/>
  </cols>
  <sheetData>
    <row r="2" spans="4:5" x14ac:dyDescent="0.25">
      <c r="D2" s="67" t="s">
        <v>0</v>
      </c>
      <c r="E2" s="67"/>
    </row>
    <row r="3" spans="4:5" x14ac:dyDescent="0.25">
      <c r="D3" s="4" t="s">
        <v>2</v>
      </c>
      <c r="E3" s="3" t="s">
        <v>1</v>
      </c>
    </row>
    <row r="4" spans="4:5" x14ac:dyDescent="0.25">
      <c r="D4" s="5">
        <v>1</v>
      </c>
      <c r="E4" s="1">
        <f>SUM(8150900785.08756/1000000000)</f>
        <v>8.1509007850875594</v>
      </c>
    </row>
    <row r="5" spans="4:5" x14ac:dyDescent="0.25">
      <c r="D5" s="5">
        <v>2</v>
      </c>
      <c r="E5" s="1">
        <f>SUM(7490937150.63406/1000000000)</f>
        <v>7.4909371506340596</v>
      </c>
    </row>
    <row r="6" spans="4:5" x14ac:dyDescent="0.25">
      <c r="D6" s="5">
        <v>3</v>
      </c>
      <c r="E6" s="1">
        <f>SUM(5021481604.3923/1000000000)</f>
        <v>5.0214816043922994</v>
      </c>
    </row>
    <row r="7" spans="4:5" x14ac:dyDescent="0.25">
      <c r="D7" s="5">
        <v>4</v>
      </c>
      <c r="E7" s="1">
        <f>SUM(7068057473.75553/1000000000)</f>
        <v>7.0680574737555304</v>
      </c>
    </row>
    <row r="8" spans="4:5" x14ac:dyDescent="0.25">
      <c r="D8" s="5">
        <v>5</v>
      </c>
      <c r="E8" s="1">
        <f>SUM(5839538989.49078/1000000000)</f>
        <v>5.8395389894907801</v>
      </c>
    </row>
    <row r="9" spans="4:5" x14ac:dyDescent="0.25">
      <c r="D9" s="5">
        <v>6</v>
      </c>
      <c r="E9" s="1">
        <f>SUM(4728998365.73856/1000000000)</f>
        <v>4.7289983657385601</v>
      </c>
    </row>
    <row r="10" spans="4:5" x14ac:dyDescent="0.25">
      <c r="D10" s="5">
        <v>7</v>
      </c>
      <c r="E10" s="1">
        <f>SUM(4180389671.9684/1000000000)</f>
        <v>4.1803896719683999</v>
      </c>
    </row>
    <row r="11" spans="4:5" x14ac:dyDescent="0.25">
      <c r="D11" s="5">
        <v>8</v>
      </c>
      <c r="E11" s="1">
        <f>SUM(1741867710.49674/1000000000)</f>
        <v>1.7418677104967402</v>
      </c>
    </row>
    <row r="12" spans="4:5" x14ac:dyDescent="0.25">
      <c r="D12" s="5">
        <v>9</v>
      </c>
      <c r="E12" s="2">
        <v>0</v>
      </c>
    </row>
    <row r="13" spans="4:5" x14ac:dyDescent="0.25">
      <c r="D13" s="6">
        <v>10</v>
      </c>
      <c r="E13" s="2">
        <v>0</v>
      </c>
    </row>
    <row r="15" spans="4:5" x14ac:dyDescent="0.25">
      <c r="D15" s="67" t="s">
        <v>3</v>
      </c>
      <c r="E15" s="67"/>
    </row>
    <row r="16" spans="4:5" x14ac:dyDescent="0.25">
      <c r="D16" s="4" t="s">
        <v>4</v>
      </c>
      <c r="E16" s="3" t="s">
        <v>1</v>
      </c>
    </row>
    <row r="17" spans="4:8" x14ac:dyDescent="0.25">
      <c r="D17" s="5">
        <v>1</v>
      </c>
      <c r="E17" s="2">
        <f>SUM(3708113692/1000000000)</f>
        <v>3.708113692</v>
      </c>
    </row>
    <row r="18" spans="4:8" x14ac:dyDescent="0.25">
      <c r="D18" s="5">
        <v>2</v>
      </c>
      <c r="E18" s="2">
        <f>SUM(12099420774/1000000000)</f>
        <v>12.099420774</v>
      </c>
    </row>
    <row r="19" spans="4:8" x14ac:dyDescent="0.25">
      <c r="D19" s="5">
        <v>3</v>
      </c>
      <c r="E19" s="2">
        <f>SUM(12278625362/1000000000)</f>
        <v>12.278625362</v>
      </c>
    </row>
    <row r="20" spans="4:8" x14ac:dyDescent="0.25">
      <c r="D20" s="5">
        <v>4</v>
      </c>
      <c r="E20" s="2">
        <f>SUM(7452264288/1000000000)</f>
        <v>7.4522642880000003</v>
      </c>
    </row>
    <row r="21" spans="4:8" x14ac:dyDescent="0.25">
      <c r="D21" s="5">
        <v>5</v>
      </c>
      <c r="E21" s="2">
        <f>SUM(6386660278/1000000000)</f>
        <v>6.3866602779999999</v>
      </c>
    </row>
    <row r="22" spans="4:8" x14ac:dyDescent="0.25">
      <c r="D22" s="5">
        <v>6</v>
      </c>
      <c r="E22" s="2">
        <f>SUM(1797672857/1000000000)</f>
        <v>1.797672857</v>
      </c>
    </row>
    <row r="23" spans="4:8" x14ac:dyDescent="0.25">
      <c r="D23" s="5">
        <v>7</v>
      </c>
      <c r="E23" s="2">
        <f>SUM(499414500.5/1000000000)</f>
        <v>0.49941450050000002</v>
      </c>
    </row>
    <row r="25" spans="4:8" x14ac:dyDescent="0.25">
      <c r="D25" s="67" t="s">
        <v>7</v>
      </c>
      <c r="E25" s="67"/>
    </row>
    <row r="26" spans="4:8" x14ac:dyDescent="0.25">
      <c r="D26" s="4" t="s">
        <v>8</v>
      </c>
      <c r="E26" s="3" t="s">
        <v>1</v>
      </c>
    </row>
    <row r="27" spans="4:8" x14ac:dyDescent="0.25">
      <c r="D27" s="5" t="s">
        <v>5</v>
      </c>
      <c r="E27">
        <f>SUM(30885011713.2662/1000000000)</f>
        <v>30.885011713266202</v>
      </c>
    </row>
    <row r="28" spans="4:8" x14ac:dyDescent="0.25">
      <c r="D28" s="5" t="s">
        <v>6</v>
      </c>
      <c r="E28">
        <f>SUM(13337160038.2976/1000000000)</f>
        <v>13.337160038297601</v>
      </c>
    </row>
    <row r="30" spans="4:8" x14ac:dyDescent="0.25">
      <c r="D30" s="67" t="s">
        <v>9</v>
      </c>
      <c r="E30" s="67"/>
      <c r="F30" s="67"/>
      <c r="G30" s="67"/>
      <c r="H30" s="67"/>
    </row>
    <row r="31" spans="4:8" x14ac:dyDescent="0.25">
      <c r="D31" s="4" t="s">
        <v>10</v>
      </c>
      <c r="E31" s="3" t="s">
        <v>11</v>
      </c>
      <c r="F31" s="3" t="s">
        <v>1</v>
      </c>
      <c r="G31" s="3" t="s">
        <v>12</v>
      </c>
      <c r="H31" s="3"/>
    </row>
    <row r="32" spans="4:8" x14ac:dyDescent="0.25">
      <c r="D32" s="5">
        <v>2024</v>
      </c>
      <c r="E32">
        <v>59.23</v>
      </c>
      <c r="F32">
        <v>44.22</v>
      </c>
      <c r="G32">
        <v>15.01</v>
      </c>
    </row>
    <row r="40" spans="4:10" x14ac:dyDescent="0.25">
      <c r="I40" s="7"/>
      <c r="J40" s="7"/>
    </row>
    <row r="41" spans="4:10" x14ac:dyDescent="0.25">
      <c r="D41" s="5"/>
    </row>
  </sheetData>
  <mergeCells count="4">
    <mergeCell ref="D2:E2"/>
    <mergeCell ref="D15:E15"/>
    <mergeCell ref="D25:E25"/>
    <mergeCell ref="D30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CAEA-04FC-4C8F-A9AF-942A4F2E7DF3}">
  <dimension ref="C1:G26"/>
  <sheetViews>
    <sheetView workbookViewId="0">
      <selection activeCell="D37" sqref="D37"/>
    </sheetView>
  </sheetViews>
  <sheetFormatPr defaultRowHeight="15" x14ac:dyDescent="0.25"/>
  <cols>
    <col min="4" max="4" width="18.5703125" customWidth="1"/>
    <col min="10" max="10" width="11" bestFit="1" customWidth="1"/>
  </cols>
  <sheetData>
    <row r="1" spans="3:4" x14ac:dyDescent="0.25">
      <c r="C1" s="67" t="s">
        <v>13</v>
      </c>
      <c r="D1" s="67"/>
    </row>
    <row r="2" spans="3:4" x14ac:dyDescent="0.25">
      <c r="C2" s="4" t="s">
        <v>2</v>
      </c>
      <c r="D2" s="3" t="s">
        <v>1</v>
      </c>
    </row>
    <row r="3" spans="3:4" x14ac:dyDescent="0.25">
      <c r="C3" s="5">
        <v>1</v>
      </c>
      <c r="D3" s="2">
        <f>SUM(4341722644.57907/1000000000)</f>
        <v>4.34172264457907</v>
      </c>
    </row>
    <row r="4" spans="3:4" x14ac:dyDescent="0.25">
      <c r="C4" s="5">
        <v>2</v>
      </c>
      <c r="D4" s="1">
        <f>SUM(3837464865.29265/1000000000)</f>
        <v>3.8374648652926502</v>
      </c>
    </row>
    <row r="5" spans="3:4" x14ac:dyDescent="0.25">
      <c r="C5" s="5">
        <v>3</v>
      </c>
      <c r="D5" s="1">
        <f>SUM(2913229772.98876/1000000000)</f>
        <v>2.91322977298876</v>
      </c>
    </row>
    <row r="6" spans="3:4" x14ac:dyDescent="0.25">
      <c r="C6" s="5">
        <v>4</v>
      </c>
      <c r="D6" s="1">
        <f>SUM(866405136.916144/1000000000)</f>
        <v>0.86640513691614396</v>
      </c>
    </row>
    <row r="7" spans="3:4" x14ac:dyDescent="0.25">
      <c r="C7" s="5">
        <v>5</v>
      </c>
      <c r="D7" s="1">
        <f>SUM(538078290.262314/1000000000)</f>
        <v>0.53807829026231391</v>
      </c>
    </row>
    <row r="8" spans="3:4" x14ac:dyDescent="0.25">
      <c r="C8" s="5">
        <v>6</v>
      </c>
      <c r="D8" s="1">
        <f>SUM(11875134.7375617/1000000000)</f>
        <v>1.1875134737561702E-2</v>
      </c>
    </row>
    <row r="9" spans="3:4" x14ac:dyDescent="0.25">
      <c r="C9" s="5">
        <v>7</v>
      </c>
      <c r="D9">
        <v>0</v>
      </c>
    </row>
    <row r="10" spans="3:4" x14ac:dyDescent="0.25">
      <c r="C10" s="5">
        <v>8</v>
      </c>
      <c r="D10">
        <v>0</v>
      </c>
    </row>
    <row r="11" spans="3:4" x14ac:dyDescent="0.25">
      <c r="C11" s="5">
        <v>9</v>
      </c>
      <c r="D11">
        <v>0</v>
      </c>
    </row>
    <row r="12" spans="3:4" x14ac:dyDescent="0.25">
      <c r="C12" s="6">
        <v>10</v>
      </c>
      <c r="D12">
        <v>0</v>
      </c>
    </row>
    <row r="14" spans="3:4" x14ac:dyDescent="0.25">
      <c r="C14" s="67" t="s">
        <v>3</v>
      </c>
      <c r="D14" s="67"/>
    </row>
    <row r="15" spans="3:4" x14ac:dyDescent="0.25">
      <c r="C15" s="4" t="s">
        <v>4</v>
      </c>
      <c r="D15" s="3" t="s">
        <v>14</v>
      </c>
    </row>
    <row r="16" spans="3:4" x14ac:dyDescent="0.25">
      <c r="C16" s="5">
        <v>1</v>
      </c>
      <c r="D16" s="2">
        <f>SUM(1888824396.75744/1000000000)</f>
        <v>1.8888243967574401</v>
      </c>
    </row>
    <row r="17" spans="3:7" x14ac:dyDescent="0.25">
      <c r="C17" s="5">
        <v>2</v>
      </c>
      <c r="D17" s="2">
        <f>SUM(2935559381.47424/1000000000)</f>
        <v>2.9355593814742398</v>
      </c>
    </row>
    <row r="18" spans="3:7" x14ac:dyDescent="0.25">
      <c r="C18" s="5">
        <v>3</v>
      </c>
      <c r="D18" s="2">
        <f>SUM(3676097491.38518/1000000000)</f>
        <v>3.67609749138518</v>
      </c>
    </row>
    <row r="19" spans="3:7" x14ac:dyDescent="0.25">
      <c r="C19" s="5">
        <v>4</v>
      </c>
      <c r="D19" s="2">
        <f>SUM(1812294972.64558/1000000000)</f>
        <v>1.8122949726455801</v>
      </c>
    </row>
    <row r="20" spans="3:7" x14ac:dyDescent="0.25">
      <c r="C20" s="5">
        <v>5</v>
      </c>
      <c r="D20" s="2">
        <f>SUM(1556945075.74504/1000000000)</f>
        <v>1.55694507574504</v>
      </c>
    </row>
    <row r="21" spans="3:7" x14ac:dyDescent="0.25">
      <c r="C21" s="5">
        <v>6</v>
      </c>
      <c r="D21" s="2">
        <f>SUM(588309320.627829/1000000000)</f>
        <v>0.58830932062782892</v>
      </c>
    </row>
    <row r="22" spans="3:7" x14ac:dyDescent="0.25">
      <c r="C22" s="5">
        <v>7</v>
      </c>
      <c r="D22" s="2">
        <f>SUM(50745206.1411705/1000000000)</f>
        <v>5.07452061411705E-2</v>
      </c>
    </row>
    <row r="24" spans="3:7" x14ac:dyDescent="0.25">
      <c r="C24" s="68" t="s">
        <v>9</v>
      </c>
      <c r="D24" s="68"/>
      <c r="E24" s="68"/>
      <c r="F24" s="68"/>
    </row>
    <row r="25" spans="3:7" x14ac:dyDescent="0.25">
      <c r="C25" s="4" t="s">
        <v>10</v>
      </c>
      <c r="D25" s="3" t="s">
        <v>11</v>
      </c>
      <c r="E25" s="3" t="s">
        <v>1</v>
      </c>
      <c r="F25" s="3" t="s">
        <v>12</v>
      </c>
      <c r="G25" s="3"/>
    </row>
    <row r="26" spans="3:7" x14ac:dyDescent="0.25">
      <c r="C26" s="5">
        <v>2024</v>
      </c>
      <c r="D26">
        <v>33.729999999999997</v>
      </c>
      <c r="E26">
        <v>12.51</v>
      </c>
      <c r="F26">
        <v>21.22</v>
      </c>
    </row>
  </sheetData>
  <mergeCells count="3">
    <mergeCell ref="C1:D1"/>
    <mergeCell ref="C14:D14"/>
    <mergeCell ref="C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2F09-1007-4144-AE94-4720CF3BA96B}">
  <dimension ref="B2:K126"/>
  <sheetViews>
    <sheetView tabSelected="1" topLeftCell="A48" workbookViewId="0">
      <selection activeCell="A52" sqref="A52:H82"/>
    </sheetView>
  </sheetViews>
  <sheetFormatPr defaultRowHeight="15" x14ac:dyDescent="0.25"/>
  <cols>
    <col min="2" max="2" width="7.28515625" bestFit="1" customWidth="1"/>
    <col min="3" max="3" width="31.42578125" bestFit="1" customWidth="1"/>
    <col min="4" max="4" width="30" bestFit="1" customWidth="1"/>
    <col min="5" max="5" width="31" bestFit="1" customWidth="1"/>
    <col min="6" max="6" width="27.42578125" bestFit="1" customWidth="1"/>
    <col min="7" max="7" width="29.85546875" bestFit="1" customWidth="1"/>
    <col min="8" max="8" width="30.28515625" bestFit="1" customWidth="1"/>
    <col min="9" max="9" width="24.5703125" bestFit="1" customWidth="1"/>
    <col min="10" max="10" width="24.85546875" bestFit="1" customWidth="1"/>
    <col min="11" max="11" width="10.5703125" bestFit="1" customWidth="1"/>
  </cols>
  <sheetData>
    <row r="2" spans="5:8" x14ac:dyDescent="0.25">
      <c r="E2" s="69" t="s">
        <v>15</v>
      </c>
      <c r="F2" s="69"/>
      <c r="G2" s="69"/>
    </row>
    <row r="3" spans="5:8" x14ac:dyDescent="0.25">
      <c r="E3" s="8" t="s">
        <v>8</v>
      </c>
      <c r="F3" s="8" t="s">
        <v>16</v>
      </c>
      <c r="G3" s="9" t="s">
        <v>17</v>
      </c>
    </row>
    <row r="4" spans="5:8" x14ac:dyDescent="0.25">
      <c r="E4" s="10" t="s">
        <v>18</v>
      </c>
      <c r="F4" s="11">
        <f>SUM(276442014600.61/1000000000)</f>
        <v>276.44201460060998</v>
      </c>
      <c r="G4" s="12">
        <f>SUM(208830160014.613/1000000000)</f>
        <v>208.830160014613</v>
      </c>
    </row>
    <row r="5" spans="5:8" x14ac:dyDescent="0.25">
      <c r="E5" s="13" t="s">
        <v>19</v>
      </c>
      <c r="F5" s="14">
        <f>SUM(115062592784.435/1000000000)</f>
        <v>115.062592784435</v>
      </c>
      <c r="G5" s="15">
        <f>SUM(74998737348.0059/1000000000)</f>
        <v>74.998737348005903</v>
      </c>
    </row>
    <row r="10" spans="5:8" x14ac:dyDescent="0.25">
      <c r="E10" s="69" t="s">
        <v>20</v>
      </c>
      <c r="F10" s="69"/>
      <c r="G10" s="69"/>
      <c r="H10" s="69"/>
    </row>
    <row r="11" spans="5:8" ht="15.75" thickBot="1" x14ac:dyDescent="0.3">
      <c r="E11" s="16" t="s">
        <v>2</v>
      </c>
      <c r="F11" s="16" t="s">
        <v>16</v>
      </c>
      <c r="G11" s="17" t="s">
        <v>17</v>
      </c>
      <c r="H11" s="18" t="s">
        <v>21</v>
      </c>
    </row>
    <row r="12" spans="5:8" x14ac:dyDescent="0.25">
      <c r="E12" s="19">
        <v>1</v>
      </c>
      <c r="F12" s="20">
        <f>SUM(43567165132.5419/1000000000)</f>
        <v>43.567165132541902</v>
      </c>
      <c r="G12" s="20">
        <f>SUM(43567165132.5419/1000000000)</f>
        <v>43.567165132541902</v>
      </c>
      <c r="H12" s="21">
        <v>1682219.98448191</v>
      </c>
    </row>
    <row r="13" spans="5:8" x14ac:dyDescent="0.25">
      <c r="E13" s="22">
        <v>2</v>
      </c>
      <c r="F13" s="20">
        <f>SUM(47265774294.387/1000000000)</f>
        <v>47.265774294387001</v>
      </c>
      <c r="G13" s="20">
        <f>SUM(47249858296.3167/1000000000)</f>
        <v>47.249858296316702</v>
      </c>
      <c r="H13" s="21">
        <v>1396223.2569313501</v>
      </c>
    </row>
    <row r="14" spans="5:8" x14ac:dyDescent="0.25">
      <c r="E14" s="22">
        <v>3</v>
      </c>
      <c r="F14" s="20">
        <f>SUM(33794763347.664/1000000000)</f>
        <v>33.794763347664002</v>
      </c>
      <c r="G14" s="20">
        <f>SUM(33708286255.3538/1000000000)</f>
        <v>33.708286255353805</v>
      </c>
      <c r="H14" s="21">
        <v>1325857.2265107799</v>
      </c>
    </row>
    <row r="15" spans="5:8" x14ac:dyDescent="0.25">
      <c r="E15" s="22">
        <v>4</v>
      </c>
      <c r="F15" s="20">
        <f>SUM(46771257293.236/1000000000)</f>
        <v>46.771257293235998</v>
      </c>
      <c r="G15" s="20">
        <f>SUM(45181580029.2168/1000000000)</f>
        <v>45.181580029216796</v>
      </c>
      <c r="H15" s="21">
        <v>1433899.9646318599</v>
      </c>
    </row>
    <row r="16" spans="5:8" x14ac:dyDescent="0.25">
      <c r="E16" s="22">
        <v>5</v>
      </c>
      <c r="F16" s="20">
        <f>SUM(40603149757.1922/1000000000)</f>
        <v>40.603149757192199</v>
      </c>
      <c r="G16" s="20">
        <f>SUM(32738291575.1056/1000000000)</f>
        <v>32.738291575105599</v>
      </c>
      <c r="H16" s="21">
        <v>1381186.0478792</v>
      </c>
    </row>
    <row r="17" spans="5:8" x14ac:dyDescent="0.25">
      <c r="E17" s="22">
        <v>6</v>
      </c>
      <c r="F17" s="23">
        <f>SUM(43745695091.1304/1000000000)</f>
        <v>43.745695091130401</v>
      </c>
      <c r="G17" s="20">
        <f>SUM(30939697702.6802/1000000000)</f>
        <v>30.939697702680199</v>
      </c>
      <c r="H17" s="21">
        <v>1540305.7095659601</v>
      </c>
    </row>
    <row r="18" spans="5:8" x14ac:dyDescent="0.25">
      <c r="E18" s="22">
        <v>7</v>
      </c>
      <c r="F18" s="20">
        <f>SUM(36139073460.1201/1000000000)</f>
        <v>36.139073460120102</v>
      </c>
      <c r="G18" s="20">
        <f>SUM(35662482767.2201/1000000000)</f>
        <v>35.662482767220098</v>
      </c>
      <c r="H18" s="21">
        <v>1352874.1766191199</v>
      </c>
    </row>
    <row r="19" spans="5:8" x14ac:dyDescent="0.25">
      <c r="E19" s="22">
        <v>8</v>
      </c>
      <c r="F19" s="20">
        <f>SUM(42861488314.3115/1000000000)</f>
        <v>42.861488314311501</v>
      </c>
      <c r="G19" s="20">
        <f>SUM(14781535604.1841/1000000000)</f>
        <v>14.7815356041841</v>
      </c>
      <c r="H19" s="21">
        <v>1671987.33773994</v>
      </c>
    </row>
    <row r="20" spans="5:8" x14ac:dyDescent="0.25">
      <c r="E20" s="22">
        <v>9</v>
      </c>
      <c r="F20" s="20">
        <f>SUM(27265373845.4124/1000000000)</f>
        <v>27.265373845412398</v>
      </c>
      <c r="G20" s="23">
        <v>0</v>
      </c>
      <c r="H20" s="21">
        <v>1242327.4097615799</v>
      </c>
    </row>
    <row r="21" spans="5:8" x14ac:dyDescent="0.25">
      <c r="E21" s="24">
        <v>10</v>
      </c>
      <c r="F21" s="25">
        <f>SUM(29490866849.0499/1000000000)</f>
        <v>29.490866849049901</v>
      </c>
      <c r="G21" s="26">
        <v>0</v>
      </c>
      <c r="H21" s="27">
        <v>1404709.5404376399</v>
      </c>
    </row>
    <row r="24" spans="5:8" x14ac:dyDescent="0.25">
      <c r="E24" s="70" t="s">
        <v>22</v>
      </c>
      <c r="F24" s="70"/>
      <c r="G24" s="70"/>
    </row>
    <row r="25" spans="5:8" x14ac:dyDescent="0.25">
      <c r="E25" s="8" t="s">
        <v>10</v>
      </c>
      <c r="F25" s="28" t="s">
        <v>23</v>
      </c>
      <c r="G25" s="9" t="s">
        <v>24</v>
      </c>
    </row>
    <row r="26" spans="5:8" x14ac:dyDescent="0.25">
      <c r="E26" s="29">
        <v>2024</v>
      </c>
      <c r="F26" s="30">
        <f>SUM(391504607385.045/1000000000)</f>
        <v>391.50460738504501</v>
      </c>
      <c r="G26" s="31">
        <f>SUM(283828897362.619/1000000000)</f>
        <v>283.82889736261905</v>
      </c>
    </row>
    <row r="29" spans="5:8" x14ac:dyDescent="0.25">
      <c r="E29" s="69" t="s">
        <v>25</v>
      </c>
      <c r="F29" s="69"/>
      <c r="G29" s="69"/>
    </row>
    <row r="30" spans="5:8" x14ac:dyDescent="0.25">
      <c r="E30" s="32" t="s">
        <v>26</v>
      </c>
      <c r="F30" s="28" t="s">
        <v>27</v>
      </c>
      <c r="G30" s="28" t="s">
        <v>28</v>
      </c>
      <c r="H30" s="9" t="s">
        <v>29</v>
      </c>
    </row>
    <row r="31" spans="5:8" x14ac:dyDescent="0.25">
      <c r="E31" s="29" t="s">
        <v>30</v>
      </c>
      <c r="F31" s="33">
        <v>2024</v>
      </c>
      <c r="G31" s="34">
        <v>7.5441039500418305E-2</v>
      </c>
      <c r="H31" s="35">
        <v>0.101713475463842</v>
      </c>
    </row>
    <row r="34" spans="4:11" x14ac:dyDescent="0.25">
      <c r="D34" s="69" t="s">
        <v>31</v>
      </c>
      <c r="E34" s="69"/>
      <c r="F34" s="69"/>
      <c r="G34" s="69"/>
      <c r="H34" s="69"/>
      <c r="I34" s="69"/>
    </row>
    <row r="35" spans="4:11" x14ac:dyDescent="0.25">
      <c r="D35" s="32" t="s">
        <v>8</v>
      </c>
      <c r="E35" s="28" t="s">
        <v>32</v>
      </c>
      <c r="F35" s="28" t="s">
        <v>33</v>
      </c>
      <c r="G35" s="28" t="s">
        <v>34</v>
      </c>
      <c r="H35" s="28" t="s">
        <v>35</v>
      </c>
      <c r="I35" s="9" t="s">
        <v>36</v>
      </c>
      <c r="J35" s="36"/>
      <c r="K35" s="36"/>
    </row>
    <row r="36" spans="4:11" x14ac:dyDescent="0.25">
      <c r="D36" s="37" t="s">
        <v>19</v>
      </c>
      <c r="E36">
        <v>1</v>
      </c>
      <c r="F36" s="38">
        <v>7.9242166080100901E-2</v>
      </c>
      <c r="G36" s="39">
        <v>0.22282344252456199</v>
      </c>
      <c r="H36" s="38">
        <v>0.29160000000000003</v>
      </c>
      <c r="I36" s="40">
        <v>0.29160000000000003</v>
      </c>
    </row>
    <row r="37" spans="4:11" x14ac:dyDescent="0.25">
      <c r="D37" s="37" t="s">
        <v>19</v>
      </c>
      <c r="E37">
        <v>2</v>
      </c>
      <c r="F37" s="39">
        <v>0.13832011232680799</v>
      </c>
      <c r="G37" s="39">
        <v>0.116996280883742</v>
      </c>
      <c r="H37" s="39">
        <v>0.39439999999999997</v>
      </c>
      <c r="I37" s="40">
        <v>0.39439999999999997</v>
      </c>
    </row>
    <row r="38" spans="4:11" x14ac:dyDescent="0.25">
      <c r="D38" s="37" t="s">
        <v>19</v>
      </c>
      <c r="E38">
        <v>3</v>
      </c>
      <c r="F38" s="39">
        <v>0.198367743091797</v>
      </c>
      <c r="G38" s="39">
        <v>0.36802589550427001</v>
      </c>
      <c r="H38" s="39">
        <v>0.49719999999999898</v>
      </c>
      <c r="I38" s="40">
        <v>0.49719999999999998</v>
      </c>
    </row>
    <row r="39" spans="4:11" x14ac:dyDescent="0.25">
      <c r="D39" s="37" t="s">
        <v>19</v>
      </c>
      <c r="E39">
        <v>4</v>
      </c>
      <c r="F39" s="39">
        <v>0.246663183049946</v>
      </c>
      <c r="G39" s="39">
        <v>0.245203584302152</v>
      </c>
      <c r="H39" s="39">
        <v>0.6</v>
      </c>
      <c r="I39" s="40">
        <v>0.6</v>
      </c>
    </row>
    <row r="40" spans="4:11" x14ac:dyDescent="0.25">
      <c r="D40" s="37" t="s">
        <v>19</v>
      </c>
      <c r="E40">
        <v>5</v>
      </c>
      <c r="F40" s="39">
        <v>0.51011276422176599</v>
      </c>
      <c r="G40" s="39">
        <v>0.26502586129716599</v>
      </c>
      <c r="H40" s="38">
        <v>0.70279999999999998</v>
      </c>
      <c r="I40" s="40">
        <v>0.70279999999999998</v>
      </c>
    </row>
    <row r="41" spans="4:11" x14ac:dyDescent="0.25">
      <c r="D41" s="37" t="s">
        <v>19</v>
      </c>
      <c r="E41">
        <v>6</v>
      </c>
      <c r="F41" s="38">
        <v>8.3387316657533208E-3</v>
      </c>
      <c r="G41" s="39">
        <v>0.15499035376522</v>
      </c>
      <c r="H41" s="38">
        <v>0.80559999999999998</v>
      </c>
      <c r="I41" s="40">
        <v>0.80559999999999998</v>
      </c>
    </row>
    <row r="42" spans="4:11" x14ac:dyDescent="0.25">
      <c r="D42" s="37" t="s">
        <v>19</v>
      </c>
      <c r="E42">
        <v>7</v>
      </c>
      <c r="F42" s="39">
        <v>0.108791030956566</v>
      </c>
      <c r="G42" s="38">
        <v>5.7049744332273798E-2</v>
      </c>
      <c r="H42" s="38">
        <v>0.90839999999999999</v>
      </c>
      <c r="I42" s="41">
        <v>0.90839999999999899</v>
      </c>
    </row>
    <row r="43" spans="4:11" x14ac:dyDescent="0.25">
      <c r="D43" s="37" t="s">
        <v>37</v>
      </c>
      <c r="E43">
        <v>2</v>
      </c>
      <c r="F43" s="38">
        <v>6.2661413822871104E-2</v>
      </c>
      <c r="G43" s="39">
        <v>0.30515650913827902</v>
      </c>
      <c r="H43" s="38">
        <v>0.29160000000000003</v>
      </c>
      <c r="I43" s="40">
        <v>0.29160000000000003</v>
      </c>
    </row>
    <row r="44" spans="4:11" x14ac:dyDescent="0.25">
      <c r="D44" s="37" t="s">
        <v>37</v>
      </c>
      <c r="E44">
        <v>3</v>
      </c>
      <c r="F44" s="39">
        <v>0.35241276886623601</v>
      </c>
      <c r="G44" s="39">
        <v>0.30393086706314298</v>
      </c>
      <c r="H44" s="39">
        <v>0.34300000000000003</v>
      </c>
      <c r="I44" s="40">
        <v>0.34300000000000003</v>
      </c>
    </row>
    <row r="45" spans="4:11" x14ac:dyDescent="0.25">
      <c r="D45" s="37" t="s">
        <v>37</v>
      </c>
      <c r="E45">
        <v>4</v>
      </c>
      <c r="F45" s="38">
        <v>4.0653925964665001E-2</v>
      </c>
      <c r="G45" s="39">
        <v>0.29419488377802899</v>
      </c>
      <c r="H45" s="39">
        <v>0.39439999999999997</v>
      </c>
      <c r="I45" s="40">
        <v>0.39439999999999997</v>
      </c>
    </row>
    <row r="46" spans="4:11" x14ac:dyDescent="0.25">
      <c r="D46" s="37" t="s">
        <v>37</v>
      </c>
      <c r="E46">
        <v>5</v>
      </c>
      <c r="F46" s="39">
        <v>0.44980251848255898</v>
      </c>
      <c r="G46" s="39">
        <v>0.229140601357079</v>
      </c>
      <c r="H46" s="39">
        <v>0.44579999999999897</v>
      </c>
      <c r="I46" s="40">
        <v>0.44579999999999997</v>
      </c>
    </row>
    <row r="47" spans="4:11" x14ac:dyDescent="0.25">
      <c r="D47" s="37" t="s">
        <v>37</v>
      </c>
      <c r="E47">
        <v>6</v>
      </c>
      <c r="F47" s="39">
        <v>0.83701255064949998</v>
      </c>
      <c r="G47" s="39">
        <v>0.26853128506874402</v>
      </c>
      <c r="H47" s="39">
        <v>0.49719999999999898</v>
      </c>
      <c r="I47" s="41">
        <v>0.49719999999999898</v>
      </c>
    </row>
    <row r="48" spans="4:11" x14ac:dyDescent="0.25">
      <c r="D48" s="42" t="s">
        <v>37</v>
      </c>
      <c r="E48" s="43">
        <v>7</v>
      </c>
      <c r="F48" s="44">
        <v>8.8642229102501302E-3</v>
      </c>
      <c r="G48" s="45">
        <v>0.18521397280221499</v>
      </c>
      <c r="H48" s="44">
        <v>0.54859999999999998</v>
      </c>
      <c r="I48" s="46">
        <v>0.54859999999999998</v>
      </c>
    </row>
    <row r="52" spans="2:8" x14ac:dyDescent="0.25">
      <c r="B52" s="71" t="s">
        <v>63</v>
      </c>
      <c r="C52" s="71"/>
      <c r="D52" s="71"/>
      <c r="E52" s="71"/>
      <c r="F52" s="71"/>
      <c r="G52" s="71"/>
      <c r="H52" s="71"/>
    </row>
    <row r="53" spans="2:8" x14ac:dyDescent="0.25">
      <c r="B53" s="32" t="s">
        <v>2</v>
      </c>
      <c r="C53" s="28" t="s">
        <v>38</v>
      </c>
      <c r="D53" s="28" t="s">
        <v>39</v>
      </c>
      <c r="E53" s="28" t="s">
        <v>40</v>
      </c>
      <c r="F53" s="28" t="s">
        <v>41</v>
      </c>
      <c r="G53" s="28" t="s">
        <v>42</v>
      </c>
      <c r="H53" s="9" t="s">
        <v>43</v>
      </c>
    </row>
    <row r="54" spans="2:8" x14ac:dyDescent="0.25">
      <c r="B54" s="47">
        <v>1</v>
      </c>
      <c r="C54" s="48">
        <v>-2872.82221546551</v>
      </c>
      <c r="D54" s="48">
        <v>-25898.6134598559</v>
      </c>
      <c r="E54" s="48">
        <v>-23025.791244390399</v>
      </c>
      <c r="F54" s="2">
        <v>-38734446189.822197</v>
      </c>
      <c r="G54" s="1">
        <v>11.656511224218001</v>
      </c>
      <c r="H54" s="49">
        <v>5.3102144618276999</v>
      </c>
    </row>
    <row r="55" spans="2:8" x14ac:dyDescent="0.25">
      <c r="B55" s="47">
        <v>2</v>
      </c>
      <c r="C55" s="48">
        <v>-3991.9466289909201</v>
      </c>
      <c r="D55" s="48">
        <v>-33841.191272062999</v>
      </c>
      <c r="E55" s="48">
        <v>-29849.244643072099</v>
      </c>
      <c r="F55" s="2">
        <v>-41676209572.490898</v>
      </c>
      <c r="G55" s="1">
        <v>9.6747703725246694</v>
      </c>
      <c r="H55" s="49">
        <v>5.7135090999223701</v>
      </c>
    </row>
    <row r="56" spans="2:8" x14ac:dyDescent="0.25">
      <c r="B56" s="47">
        <v>3</v>
      </c>
      <c r="C56" s="48">
        <v>-2409.6963406747</v>
      </c>
      <c r="D56" s="48">
        <v>-25423.767794412299</v>
      </c>
      <c r="E56" s="48">
        <v>-23014.071453737601</v>
      </c>
      <c r="F56" s="2">
        <v>-30513372948.3736</v>
      </c>
      <c r="G56" s="1">
        <v>9.1871870415885599</v>
      </c>
      <c r="H56" s="49">
        <v>4.1831643471946904</v>
      </c>
    </row>
    <row r="57" spans="2:8" x14ac:dyDescent="0.25">
      <c r="B57" s="47">
        <v>4</v>
      </c>
      <c r="C57" s="48">
        <v>1268.9872509343099</v>
      </c>
      <c r="D57" s="48">
        <v>-31509.576081771102</v>
      </c>
      <c r="E57" s="48">
        <v>-32778.563332705402</v>
      </c>
      <c r="F57" s="2">
        <v>-47001180803.449799</v>
      </c>
      <c r="G57" s="1">
        <v>9.9358414394802193</v>
      </c>
      <c r="H57" s="49">
        <v>6.4435244227407598</v>
      </c>
    </row>
    <row r="58" spans="2:8" x14ac:dyDescent="0.25">
      <c r="B58" s="47">
        <v>5</v>
      </c>
      <c r="C58" s="50">
        <v>3402.1691282740398</v>
      </c>
      <c r="D58" s="48">
        <v>-23703.028006527202</v>
      </c>
      <c r="E58" s="48">
        <v>-27105.197134801299</v>
      </c>
      <c r="F58" s="2">
        <v>-37437320107.603104</v>
      </c>
      <c r="G58" s="1">
        <v>9.5705738954205195</v>
      </c>
      <c r="H58" s="49">
        <v>5.1323877892361098</v>
      </c>
    </row>
    <row r="59" spans="2:8" x14ac:dyDescent="0.25">
      <c r="B59" s="47">
        <v>6</v>
      </c>
      <c r="C59" s="50">
        <v>7719.9602716089903</v>
      </c>
      <c r="D59" s="48">
        <v>-20086.725323766099</v>
      </c>
      <c r="E59" s="48">
        <v>-27806.6855953751</v>
      </c>
      <c r="F59" s="2">
        <v>-42830796586.661903</v>
      </c>
      <c r="G59" s="1">
        <v>10.6731527136222</v>
      </c>
      <c r="H59" s="49">
        <v>5.87179468970578</v>
      </c>
    </row>
    <row r="60" spans="2:8" x14ac:dyDescent="0.25">
      <c r="B60" s="47">
        <v>7</v>
      </c>
      <c r="C60" s="48">
        <v>7858.7323469699604</v>
      </c>
      <c r="D60" s="48">
        <v>-26360.531809648099</v>
      </c>
      <c r="E60" s="48">
        <v>-34219.264156618097</v>
      </c>
      <c r="F60" s="2">
        <v>-46294358820.397202</v>
      </c>
      <c r="G60" s="1">
        <v>9.3743940567751007</v>
      </c>
      <c r="H60" s="49">
        <v>6.3466242037999798</v>
      </c>
    </row>
    <row r="61" spans="2:8" x14ac:dyDescent="0.25">
      <c r="B61" s="47">
        <v>8</v>
      </c>
      <c r="C61" s="50">
        <v>22872.541177082101</v>
      </c>
      <c r="D61" s="48">
        <v>-8840.6982939024692</v>
      </c>
      <c r="E61" s="48">
        <v>-31713.239470984499</v>
      </c>
      <c r="F61" s="2">
        <v>-53024134834.200897</v>
      </c>
      <c r="G61" s="1">
        <v>11.5856067273617</v>
      </c>
      <c r="H61" s="49">
        <v>7.2692281759396904</v>
      </c>
    </row>
    <row r="62" spans="2:8" x14ac:dyDescent="0.25">
      <c r="B62" s="47">
        <v>9</v>
      </c>
      <c r="C62" s="50">
        <v>72222.304037341106</v>
      </c>
      <c r="D62" s="48">
        <v>0</v>
      </c>
      <c r="E62" s="48">
        <v>-72222.304037341106</v>
      </c>
      <c r="F62" s="2">
        <v>-89723747901.723801</v>
      </c>
      <c r="G62" s="1">
        <v>8.6083886350330694</v>
      </c>
      <c r="H62" s="49">
        <v>12.3004816266692</v>
      </c>
    </row>
    <row r="63" spans="2:8" x14ac:dyDescent="0.25">
      <c r="B63" s="47">
        <v>10</v>
      </c>
      <c r="C63" s="50">
        <v>215131.474837343</v>
      </c>
      <c r="D63" s="48">
        <v>0</v>
      </c>
      <c r="E63" s="48">
        <v>-215131.474837343</v>
      </c>
      <c r="F63" s="2">
        <v>-302197235152.43701</v>
      </c>
      <c r="G63" s="1">
        <v>9.7335738939757803</v>
      </c>
      <c r="H63" s="49">
        <v>41.429071182963597</v>
      </c>
    </row>
    <row r="64" spans="2:8" x14ac:dyDescent="0.25">
      <c r="B64" s="22" t="s">
        <v>44</v>
      </c>
      <c r="C64" s="50">
        <v>339869.85896931699</v>
      </c>
      <c r="D64" s="48">
        <v>0</v>
      </c>
      <c r="E64" s="48">
        <v>-339869.85896931699</v>
      </c>
      <c r="F64" s="2">
        <v>-252178519644.40302</v>
      </c>
      <c r="G64" s="1">
        <v>5.1413981608215096</v>
      </c>
      <c r="H64" s="49">
        <v>34.571864417926598</v>
      </c>
    </row>
    <row r="65" spans="2:8" x14ac:dyDescent="0.25">
      <c r="B65" s="24" t="s">
        <v>45</v>
      </c>
      <c r="C65" s="51">
        <v>493836.59631288098</v>
      </c>
      <c r="D65" s="52">
        <v>0</v>
      </c>
      <c r="E65" s="52">
        <v>-493836.59631288098</v>
      </c>
      <c r="F65" s="53">
        <v>-101185893296.33501</v>
      </c>
      <c r="G65" s="30">
        <v>1.41978471911633</v>
      </c>
      <c r="H65" s="31">
        <v>13.871859462814101</v>
      </c>
    </row>
    <row r="68" spans="2:8" x14ac:dyDescent="0.25">
      <c r="C68" s="67" t="s">
        <v>46</v>
      </c>
      <c r="D68" s="67"/>
      <c r="E68" s="67"/>
      <c r="F68" s="67"/>
      <c r="G68" s="67"/>
    </row>
    <row r="69" spans="2:8" x14ac:dyDescent="0.25">
      <c r="C69" s="32" t="s">
        <v>2</v>
      </c>
      <c r="D69" s="28" t="s">
        <v>47</v>
      </c>
      <c r="E69" s="28" t="s">
        <v>48</v>
      </c>
      <c r="F69" s="28" t="s">
        <v>49</v>
      </c>
      <c r="G69" s="28" t="s">
        <v>21</v>
      </c>
      <c r="H69" s="9"/>
    </row>
    <row r="70" spans="2:8" x14ac:dyDescent="0.25">
      <c r="C70" s="54">
        <v>1</v>
      </c>
      <c r="D70" s="2">
        <v>7074.2506060457399</v>
      </c>
      <c r="E70" s="2">
        <v>27835.5611755424</v>
      </c>
      <c r="F70" s="2">
        <v>293.47717130283502</v>
      </c>
      <c r="G70" s="2">
        <v>1668220</v>
      </c>
      <c r="H70" s="5"/>
    </row>
    <row r="71" spans="2:8" x14ac:dyDescent="0.25">
      <c r="C71" s="54">
        <v>2</v>
      </c>
      <c r="D71" s="2">
        <v>20172.993014810101</v>
      </c>
      <c r="E71" s="2">
        <v>40385.119648794003</v>
      </c>
      <c r="F71" s="2">
        <v>100.193990148834</v>
      </c>
      <c r="G71" s="2">
        <v>1354264.0107942</v>
      </c>
      <c r="H71" s="5"/>
    </row>
    <row r="72" spans="2:8" x14ac:dyDescent="0.25">
      <c r="C72" s="54">
        <v>3</v>
      </c>
      <c r="D72" s="2">
        <v>29238.216581493201</v>
      </c>
      <c r="E72" s="2">
        <v>58647.452784383502</v>
      </c>
      <c r="F72" s="2">
        <v>100.584918101692</v>
      </c>
      <c r="G72" s="2">
        <v>1419536.31501777</v>
      </c>
      <c r="H72" s="5"/>
    </row>
    <row r="73" spans="2:8" x14ac:dyDescent="0.25">
      <c r="C73" s="54">
        <v>4</v>
      </c>
      <c r="D73" s="2">
        <v>35206.032105099097</v>
      </c>
      <c r="E73" s="2">
        <v>59100.469791813397</v>
      </c>
      <c r="F73" s="2">
        <v>67.870294543227999</v>
      </c>
      <c r="G73" s="2">
        <v>1504654.5068969701</v>
      </c>
      <c r="H73" s="5"/>
    </row>
    <row r="74" spans="2:8" x14ac:dyDescent="0.25">
      <c r="C74" s="54">
        <v>5</v>
      </c>
      <c r="D74" s="2">
        <v>55097.596316201503</v>
      </c>
      <c r="E74" s="2">
        <v>87492.668675392197</v>
      </c>
      <c r="F74" s="2">
        <v>58.7957996811284</v>
      </c>
      <c r="G74" s="2">
        <v>1532581.48744886</v>
      </c>
      <c r="H74" s="5"/>
    </row>
    <row r="75" spans="2:8" x14ac:dyDescent="0.25">
      <c r="C75" s="54">
        <v>6</v>
      </c>
      <c r="D75" s="2">
        <v>77456.0996243072</v>
      </c>
      <c r="E75" s="2">
        <v>110585.109162947</v>
      </c>
      <c r="F75" s="2">
        <v>42.771337182390099</v>
      </c>
      <c r="G75" s="2">
        <v>1641657.2962096599</v>
      </c>
      <c r="H75" s="5"/>
    </row>
    <row r="76" spans="2:8" x14ac:dyDescent="0.25">
      <c r="C76" s="54">
        <v>7</v>
      </c>
      <c r="D76" s="2">
        <v>104832.327842379</v>
      </c>
      <c r="E76" s="2">
        <v>142138.22079162701</v>
      </c>
      <c r="F76" s="2">
        <v>35.586248743173499</v>
      </c>
      <c r="G76" s="2">
        <v>992273.91165632498</v>
      </c>
      <c r="H76" s="5"/>
    </row>
    <row r="77" spans="2:8" x14ac:dyDescent="0.25">
      <c r="C77" s="54">
        <v>8</v>
      </c>
      <c r="D77" s="2">
        <v>127975.43122028701</v>
      </c>
      <c r="E77" s="2">
        <v>158388.66237204499</v>
      </c>
      <c r="F77" s="2">
        <v>23.764898357253099</v>
      </c>
      <c r="G77" s="2">
        <v>1471398.9429979001</v>
      </c>
      <c r="H77" s="5"/>
    </row>
    <row r="78" spans="2:8" x14ac:dyDescent="0.25">
      <c r="C78" s="54">
        <v>9</v>
      </c>
      <c r="D78" s="2">
        <v>161986.85870578099</v>
      </c>
      <c r="E78" s="2">
        <v>206279.362736835</v>
      </c>
      <c r="F78" s="2">
        <v>27.343269932471902</v>
      </c>
      <c r="G78" s="2">
        <v>1413902.0741687</v>
      </c>
      <c r="H78" s="5"/>
    </row>
    <row r="79" spans="2:8" x14ac:dyDescent="0.25">
      <c r="C79" s="54">
        <v>10</v>
      </c>
      <c r="D79" s="2">
        <v>499097.132644489</v>
      </c>
      <c r="E79" s="2">
        <v>737250.48251716595</v>
      </c>
      <c r="F79" s="2">
        <v>47.716833917840802</v>
      </c>
      <c r="G79" s="2">
        <v>1433101.6553386401</v>
      </c>
      <c r="H79" s="5"/>
    </row>
    <row r="80" spans="2:8" x14ac:dyDescent="0.25">
      <c r="C80" s="54" t="s">
        <v>44</v>
      </c>
      <c r="D80" s="2">
        <v>598766.24916965002</v>
      </c>
      <c r="E80" s="2">
        <v>938636.10813896696</v>
      </c>
      <c r="F80" s="2">
        <v>56.7616928042683</v>
      </c>
      <c r="G80" s="2">
        <v>741985.53649080603</v>
      </c>
      <c r="H80" s="5"/>
    </row>
    <row r="81" spans="3:8" x14ac:dyDescent="0.25">
      <c r="C81" s="54" t="s">
        <v>45</v>
      </c>
      <c r="D81" s="2">
        <v>784699.12410422403</v>
      </c>
      <c r="E81" s="2">
        <v>1278535.7204171</v>
      </c>
      <c r="F81" s="2">
        <v>62.933241690134601</v>
      </c>
      <c r="G81" s="2">
        <v>204897.51883885599</v>
      </c>
      <c r="H81" s="5"/>
    </row>
    <row r="82" spans="3:8" x14ac:dyDescent="0.25">
      <c r="C82" s="55" t="s">
        <v>50</v>
      </c>
      <c r="D82" s="53">
        <v>109607.61976112099</v>
      </c>
      <c r="E82" s="53">
        <v>160151.79194401999</v>
      </c>
      <c r="F82" s="53">
        <v>46.113739439880497</v>
      </c>
      <c r="G82" s="53">
        <v>14431590.6545594</v>
      </c>
      <c r="H82" s="6"/>
    </row>
    <row r="85" spans="3:8" x14ac:dyDescent="0.25">
      <c r="C85" s="67" t="s">
        <v>51</v>
      </c>
      <c r="D85" s="67"/>
      <c r="E85" s="67"/>
      <c r="F85" s="67"/>
    </row>
    <row r="86" spans="3:8" x14ac:dyDescent="0.25">
      <c r="C86" s="56" t="s">
        <v>2</v>
      </c>
      <c r="D86" s="57" t="s">
        <v>52</v>
      </c>
      <c r="E86" s="57" t="s">
        <v>53</v>
      </c>
      <c r="F86" s="58" t="s">
        <v>54</v>
      </c>
    </row>
    <row r="87" spans="3:8" x14ac:dyDescent="0.25">
      <c r="C87" s="59">
        <v>1</v>
      </c>
      <c r="D87" s="60">
        <v>-0.15820000000000001</v>
      </c>
      <c r="E87" s="60">
        <v>0</v>
      </c>
      <c r="F87" s="61">
        <v>-0.15820000000000001</v>
      </c>
    </row>
    <row r="88" spans="3:8" x14ac:dyDescent="0.25">
      <c r="C88" s="59">
        <v>2</v>
      </c>
      <c r="D88" s="60">
        <v>1.2200000000000001E-2</v>
      </c>
      <c r="E88" s="60">
        <v>0</v>
      </c>
      <c r="F88" s="61">
        <v>1.2200000000000001E-2</v>
      </c>
    </row>
    <row r="89" spans="3:8" x14ac:dyDescent="0.25">
      <c r="C89" s="59">
        <v>3</v>
      </c>
      <c r="D89" s="60">
        <v>8.2900000000000001E-2</v>
      </c>
      <c r="E89" s="60">
        <v>0</v>
      </c>
      <c r="F89" s="61">
        <v>8.2900000000000001E-2</v>
      </c>
    </row>
    <row r="90" spans="3:8" x14ac:dyDescent="0.25">
      <c r="C90" s="59">
        <v>4</v>
      </c>
      <c r="D90" s="60">
        <v>5.5999999999999999E-3</v>
      </c>
      <c r="E90" s="60">
        <v>0</v>
      </c>
      <c r="F90" s="61">
        <v>5.5999999999999999E-3</v>
      </c>
    </row>
    <row r="91" spans="3:8" x14ac:dyDescent="0.25">
      <c r="C91" s="59">
        <v>5</v>
      </c>
      <c r="D91" s="60">
        <v>5.4300000000000001E-2</v>
      </c>
      <c r="E91" s="60">
        <v>0.1124</v>
      </c>
      <c r="F91" s="61">
        <v>0.16669999999999999</v>
      </c>
    </row>
    <row r="92" spans="3:8" x14ac:dyDescent="0.25">
      <c r="C92" s="59">
        <v>6</v>
      </c>
      <c r="D92" s="60">
        <v>5.0000000000000001E-4</v>
      </c>
      <c r="E92" s="60">
        <v>1.4999999999999999E-2</v>
      </c>
      <c r="F92" s="61">
        <v>1.55E-2</v>
      </c>
    </row>
    <row r="93" spans="3:8" x14ac:dyDescent="0.25">
      <c r="C93" s="59">
        <v>7</v>
      </c>
      <c r="D93" s="60">
        <v>1.6000000000000001E-3</v>
      </c>
      <c r="E93" s="60">
        <v>0.33429999999999999</v>
      </c>
      <c r="F93" s="61">
        <v>0.33589999999999998</v>
      </c>
    </row>
    <row r="94" spans="3:8" x14ac:dyDescent="0.25">
      <c r="C94" s="59">
        <v>8</v>
      </c>
      <c r="D94" s="60">
        <v>1.1000000000000001E-3</v>
      </c>
      <c r="E94" s="60">
        <v>0.19320000000000001</v>
      </c>
      <c r="F94" s="61">
        <v>0.1943</v>
      </c>
    </row>
    <row r="95" spans="3:8" x14ac:dyDescent="0.25">
      <c r="C95" s="59">
        <v>9</v>
      </c>
      <c r="D95" s="60">
        <v>0</v>
      </c>
      <c r="E95" s="60">
        <v>1.6E-2</v>
      </c>
      <c r="F95" s="61">
        <v>1.6E-2</v>
      </c>
    </row>
    <row r="96" spans="3:8" x14ac:dyDescent="0.25">
      <c r="C96" s="59">
        <v>10</v>
      </c>
      <c r="D96" s="60">
        <v>2.0000000000000001E-4</v>
      </c>
      <c r="E96" s="60">
        <v>0</v>
      </c>
      <c r="F96" s="61">
        <v>2.0000000000000001E-4</v>
      </c>
    </row>
    <row r="97" spans="3:11" x14ac:dyDescent="0.25">
      <c r="C97" s="62" t="s">
        <v>50</v>
      </c>
      <c r="D97" s="63">
        <v>-2.3E-3</v>
      </c>
      <c r="E97" s="63">
        <v>5.79E-2</v>
      </c>
      <c r="F97" s="64">
        <v>5.5599999999999997E-2</v>
      </c>
    </row>
    <row r="99" spans="3:11" x14ac:dyDescent="0.25">
      <c r="C99" s="67" t="s">
        <v>55</v>
      </c>
      <c r="D99" s="67"/>
      <c r="E99" s="67"/>
      <c r="F99" s="67"/>
      <c r="G99" s="67"/>
      <c r="H99" s="67"/>
      <c r="I99" s="67"/>
      <c r="J99" s="67"/>
      <c r="K99" s="67"/>
    </row>
    <row r="100" spans="3:11" x14ac:dyDescent="0.25">
      <c r="C100" s="32" t="s">
        <v>2</v>
      </c>
      <c r="D100" s="28" t="s">
        <v>21</v>
      </c>
      <c r="E100" s="28" t="s">
        <v>56</v>
      </c>
      <c r="F100" s="28" t="s">
        <v>57</v>
      </c>
      <c r="G100" s="28" t="s">
        <v>58</v>
      </c>
      <c r="H100" s="28" t="s">
        <v>59</v>
      </c>
      <c r="I100" s="28" t="s">
        <v>60</v>
      </c>
      <c r="J100" s="28" t="s">
        <v>61</v>
      </c>
      <c r="K100" s="9" t="s">
        <v>62</v>
      </c>
    </row>
    <row r="101" spans="3:11" x14ac:dyDescent="0.25">
      <c r="C101" s="54">
        <v>1</v>
      </c>
      <c r="D101">
        <v>1682219.9839999999</v>
      </c>
      <c r="E101" s="2">
        <f>SUM(14065200944/1000000000)</f>
        <v>14.065200944000001</v>
      </c>
      <c r="F101" s="2">
        <f>-5216234184/1000000000</f>
        <v>-5.2162341840000002</v>
      </c>
      <c r="G101" s="2">
        <f>1101522459/1000000000</f>
        <v>1.1015224589999999</v>
      </c>
      <c r="H101" s="2">
        <f>6317756643/1000000000</f>
        <v>6.3177566430000001</v>
      </c>
      <c r="I101" s="2">
        <f>-38734446190/1000000000</f>
        <v>-38.73444619</v>
      </c>
      <c r="J101" s="2">
        <v>5.3102144620000002</v>
      </c>
      <c r="K101" s="65">
        <v>5.3102144620000002</v>
      </c>
    </row>
    <row r="102" spans="3:11" x14ac:dyDescent="0.25">
      <c r="C102" s="54">
        <v>2</v>
      </c>
      <c r="D102">
        <v>1396223.257</v>
      </c>
      <c r="E102" s="2">
        <f>SUM(34514437783/1000000000)</f>
        <v>34.514437782999998</v>
      </c>
      <c r="F102" s="2">
        <f>-2838330981/1000000000</f>
        <v>-2.8383309809999999</v>
      </c>
      <c r="G102" s="2">
        <f>3952938586/1000000000</f>
        <v>3.9529385860000001</v>
      </c>
      <c r="H102" s="2">
        <f>6791269568/1000000000</f>
        <v>6.7912695679999997</v>
      </c>
      <c r="I102" s="2">
        <f>-41676209572/1000000000</f>
        <v>-41.676209571999998</v>
      </c>
      <c r="J102" s="2">
        <v>5.7135090999999996</v>
      </c>
      <c r="K102" s="65">
        <v>5.7135090999999996</v>
      </c>
    </row>
    <row r="103" spans="3:11" x14ac:dyDescent="0.25">
      <c r="C103" s="54">
        <v>3</v>
      </c>
      <c r="D103">
        <v>1325857.227</v>
      </c>
      <c r="E103" s="2">
        <f>SUM(26569415150/1000000000)</f>
        <v>26.569415150000001</v>
      </c>
      <c r="F103" s="2">
        <f>7288732182/1000000000</f>
        <v>7.2887321820000004</v>
      </c>
      <c r="G103" s="2">
        <f>9042720154/1000000000</f>
        <v>9.0427201539999995</v>
      </c>
      <c r="H103" s="2">
        <f>1753987972/1000000000</f>
        <v>1.753987972</v>
      </c>
      <c r="I103" s="2">
        <f>-30513372948/1000000000</f>
        <v>-30.513372948000001</v>
      </c>
      <c r="J103" s="2">
        <v>4.1831643469999999</v>
      </c>
      <c r="K103" s="65">
        <v>4.1831643469999999</v>
      </c>
    </row>
    <row r="104" spans="3:11" x14ac:dyDescent="0.25">
      <c r="C104" s="54">
        <v>4</v>
      </c>
      <c r="D104">
        <v>1433899.9650000001</v>
      </c>
      <c r="E104" s="2">
        <f>SUM(52447544853/1000000000)</f>
        <v>52.447544852999997</v>
      </c>
      <c r="F104" s="2">
        <f>20438397453/1000000000</f>
        <v>20.438397453</v>
      </c>
      <c r="G104" s="2">
        <f>24101062182/1000000000</f>
        <v>24.101062182</v>
      </c>
      <c r="H104" s="2">
        <f>3662664729/1000000000</f>
        <v>3.6626647289999998</v>
      </c>
      <c r="I104" s="2">
        <f>-47001180803/1000000000</f>
        <v>-47.001180802999997</v>
      </c>
      <c r="J104" s="2">
        <v>6.4435244230000004</v>
      </c>
      <c r="K104" s="65">
        <v>6.4435244230000004</v>
      </c>
    </row>
    <row r="105" spans="3:11" x14ac:dyDescent="0.25">
      <c r="C105" s="54">
        <v>5</v>
      </c>
      <c r="D105">
        <v>1381186.048</v>
      </c>
      <c r="E105" s="2">
        <f>SUM(57365153544/1000000000)</f>
        <v>57.365153544000002</v>
      </c>
      <c r="F105" s="2">
        <f>40755400075/1000000000</f>
        <v>40.755400074999997</v>
      </c>
      <c r="G105" s="2">
        <f>43630679976/1000000000</f>
        <v>43.630679976000003</v>
      </c>
      <c r="H105" s="2">
        <f>2875279901/1000000000</f>
        <v>2.8752799009999999</v>
      </c>
      <c r="I105" s="2">
        <f>-37437320108/1000000000</f>
        <v>-37.437320108000002</v>
      </c>
      <c r="J105" s="2">
        <v>5.132387789</v>
      </c>
      <c r="K105" s="65">
        <v>5.132387789</v>
      </c>
    </row>
    <row r="106" spans="3:11" x14ac:dyDescent="0.25">
      <c r="C106" s="54">
        <v>6</v>
      </c>
      <c r="D106">
        <v>1540305.71</v>
      </c>
      <c r="E106" s="2">
        <f>SUM(120169000000/1000000000)</f>
        <v>120.169</v>
      </c>
      <c r="F106" s="2">
        <f>37176107365/1000000000</f>
        <v>37.176107365</v>
      </c>
      <c r="G106" s="2">
        <f>51183126610/1000000000</f>
        <v>51.183126610000002</v>
      </c>
      <c r="H106" s="2">
        <f>14007019244/1000000000</f>
        <v>14.007019244</v>
      </c>
      <c r="I106" s="2">
        <f>-42830796587/1000000000</f>
        <v>-42.830796587000002</v>
      </c>
      <c r="J106" s="2">
        <v>5.8717946899999998</v>
      </c>
      <c r="K106" s="65">
        <v>5.8717946899999998</v>
      </c>
    </row>
    <row r="107" spans="3:11" x14ac:dyDescent="0.25">
      <c r="C107" s="54">
        <v>7</v>
      </c>
      <c r="D107">
        <v>1352874.1769999999</v>
      </c>
      <c r="E107" s="2">
        <f>SUM(127502000000/1000000000)</f>
        <v>127.502</v>
      </c>
      <c r="F107" s="2">
        <f>-14421007856/1000000000</f>
        <v>-14.421007855999999</v>
      </c>
      <c r="G107" s="2">
        <f>758221042.6/1000000000</f>
        <v>0.75822104260000001</v>
      </c>
      <c r="H107" s="2">
        <f>15179228898/1000000000</f>
        <v>15.179228898</v>
      </c>
      <c r="I107" s="2">
        <f>-46294358820/1000000000</f>
        <v>-46.294358819999999</v>
      </c>
      <c r="J107" s="2">
        <v>6.3466242040000003</v>
      </c>
      <c r="K107" s="65">
        <v>6.3466242040000003</v>
      </c>
    </row>
    <row r="108" spans="3:11" x14ac:dyDescent="0.25">
      <c r="C108" s="54">
        <v>8</v>
      </c>
      <c r="D108">
        <v>1671987.338</v>
      </c>
      <c r="E108" s="2">
        <f>SUM(154448000000/1000000000)</f>
        <v>154.44800000000001</v>
      </c>
      <c r="F108" s="2">
        <f>93999380053/1000000000</f>
        <v>93.999380052999996</v>
      </c>
      <c r="G108" s="2">
        <f>100839000000/1000000000</f>
        <v>100.839</v>
      </c>
      <c r="H108" s="2">
        <f>6839635625/1000000000</f>
        <v>6.8396356249999997</v>
      </c>
      <c r="I108" s="2">
        <f>-53024134834/1000000000</f>
        <v>-53.024134834000002</v>
      </c>
      <c r="J108" s="2">
        <v>7.2692281760000004</v>
      </c>
      <c r="K108" s="65">
        <v>7.2692281760000004</v>
      </c>
    </row>
    <row r="109" spans="3:11" x14ac:dyDescent="0.25">
      <c r="C109" s="54">
        <v>9</v>
      </c>
      <c r="D109">
        <v>1242327.4099999999</v>
      </c>
      <c r="E109" s="2">
        <f>SUM(156431000000/1000000000)</f>
        <v>156.43100000000001</v>
      </c>
      <c r="F109" s="2">
        <f>205688000000/1000000000</f>
        <v>205.68799999999999</v>
      </c>
      <c r="G109" s="2">
        <f>206769000000/1000000000</f>
        <v>206.76900000000001</v>
      </c>
      <c r="H109" s="2">
        <f>1080835219/1000000000</f>
        <v>1.0808352189999999</v>
      </c>
      <c r="I109" s="2">
        <f>-89723747902/1000000000</f>
        <v>-89.723747901999999</v>
      </c>
      <c r="J109" s="2">
        <v>12.30048163</v>
      </c>
      <c r="K109" s="65">
        <v>12.30048163</v>
      </c>
    </row>
    <row r="110" spans="3:11" x14ac:dyDescent="0.25">
      <c r="C110" s="54">
        <v>10</v>
      </c>
      <c r="D110">
        <v>1404709.54</v>
      </c>
      <c r="E110" s="2">
        <f>SUM(385715000000/1000000000)</f>
        <v>385.71499999999997</v>
      </c>
      <c r="F110" s="2">
        <f>515319000000/1000000000</f>
        <v>515.31899999999996</v>
      </c>
      <c r="G110" s="2">
        <f>515734000000/1000000000</f>
        <v>515.73400000000004</v>
      </c>
      <c r="H110" s="2">
        <f>415870192/1000000000</f>
        <v>0.41587019200000003</v>
      </c>
      <c r="I110" s="2">
        <f>-302197000000/1000000000</f>
        <v>-302.197</v>
      </c>
      <c r="J110" s="2">
        <v>41.429071180000001</v>
      </c>
      <c r="K110" s="65">
        <v>41.429071180000001</v>
      </c>
    </row>
    <row r="111" spans="3:11" x14ac:dyDescent="0.25">
      <c r="C111" s="54" t="s">
        <v>44</v>
      </c>
      <c r="D111">
        <v>741985.53650000005</v>
      </c>
      <c r="E111" s="2">
        <f>SUM(297083000000/1000000000)</f>
        <v>297.08300000000003</v>
      </c>
      <c r="F111" s="2">
        <f>399372000000/1000000000</f>
        <v>399.37200000000001</v>
      </c>
      <c r="G111" s="2">
        <f>399788000000/1000000000</f>
        <v>399.78800000000001</v>
      </c>
      <c r="H111" s="2">
        <f>415863943.4/1000000000</f>
        <v>0.41586394339999999</v>
      </c>
      <c r="I111" s="2">
        <f>-252179000000/1000000000</f>
        <v>-252.179</v>
      </c>
      <c r="K111" s="5"/>
    </row>
    <row r="112" spans="3:11" x14ac:dyDescent="0.25">
      <c r="C112" s="54" t="s">
        <v>45</v>
      </c>
      <c r="D112">
        <v>204897.51879999999</v>
      </c>
      <c r="E112" s="2">
        <f>SUM(100360000000/1000000000)</f>
        <v>100.36</v>
      </c>
      <c r="F112" s="2">
        <f>161609000000/1000000000</f>
        <v>161.60900000000001</v>
      </c>
      <c r="G112" s="2">
        <f>162019000000/1000000000</f>
        <v>162.01900000000001</v>
      </c>
      <c r="H112" s="2">
        <f>410330175.6/1000000000</f>
        <v>0.41033017560000001</v>
      </c>
      <c r="I112" s="2">
        <f>-101186000000/1000000000</f>
        <v>-101.18600000000001</v>
      </c>
      <c r="K112" s="5"/>
    </row>
    <row r="113" spans="3:11" x14ac:dyDescent="0.25">
      <c r="C113" s="55" t="s">
        <v>50</v>
      </c>
      <c r="D113" s="43">
        <v>14431590.65</v>
      </c>
      <c r="E113" s="53">
        <f>SUM(1129230000000/1000000000)</f>
        <v>1129.23</v>
      </c>
      <c r="F113" s="53">
        <f>898189000000/1000000000</f>
        <v>898.18899999999996</v>
      </c>
      <c r="G113" s="53">
        <f>957113000000/1000000000</f>
        <v>957.11300000000006</v>
      </c>
      <c r="H113" s="53">
        <f>58923547992/1000000000</f>
        <v>58.923547992000003</v>
      </c>
      <c r="I113" s="53">
        <f>-729433000000/1000000000</f>
        <v>-729.43299999999999</v>
      </c>
      <c r="J113" s="43"/>
      <c r="K113" s="6"/>
    </row>
    <row r="126" spans="3:11" x14ac:dyDescent="0.25">
      <c r="C126" s="66"/>
      <c r="D126" s="66"/>
      <c r="E126" s="66"/>
      <c r="F126" s="66"/>
    </row>
  </sheetData>
  <mergeCells count="9">
    <mergeCell ref="C99:K99"/>
    <mergeCell ref="E2:G2"/>
    <mergeCell ref="E10:H10"/>
    <mergeCell ref="E24:G24"/>
    <mergeCell ref="E29:G29"/>
    <mergeCell ref="D34:I34"/>
    <mergeCell ref="B52:H52"/>
    <mergeCell ref="C68:G68"/>
    <mergeCell ref="C85:F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 Per Capita</vt:lpstr>
      <vt:lpstr>Poverty Times Vat</vt:lpstr>
      <vt:lpstr>Old 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Melad</dc:creator>
  <cp:lastModifiedBy>Ali Melad</cp:lastModifiedBy>
  <dcterms:created xsi:type="dcterms:W3CDTF">2015-06-05T18:17:20Z</dcterms:created>
  <dcterms:modified xsi:type="dcterms:W3CDTF">2025-09-09T13:29:12Z</dcterms:modified>
</cp:coreProperties>
</file>