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_Toc518981405" localSheetId="0">Лист1!$A$46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9" i="1" l="1"/>
  <c r="B100" i="1"/>
  <c r="B91" i="1"/>
  <c r="B61" i="1"/>
  <c r="B92" i="1"/>
  <c r="B93" i="1"/>
  <c r="B80" i="1"/>
  <c r="B81" i="1"/>
  <c r="B82" i="1"/>
  <c r="B83" i="1"/>
  <c r="B79" i="1"/>
  <c r="B77" i="1"/>
  <c r="B78" i="1"/>
  <c r="B65" i="1" l="1"/>
  <c r="E67" i="1"/>
  <c r="E68" i="1"/>
  <c r="E69" i="1"/>
  <c r="C4" i="1"/>
  <c r="B64" i="1"/>
  <c r="B63" i="1" l="1"/>
  <c r="E64" i="1" l="1"/>
  <c r="E62" i="1"/>
  <c r="B49" i="1" l="1"/>
  <c r="B48" i="1" l="1"/>
  <c r="B62" i="1"/>
  <c r="G31" i="1" l="1"/>
  <c r="G29" i="1"/>
  <c r="D36" i="1"/>
  <c r="C36" i="1"/>
  <c r="B36" i="1"/>
  <c r="D35" i="1"/>
  <c r="C35" i="1"/>
  <c r="B35" i="1"/>
  <c r="C12" i="1" l="1"/>
  <c r="B38" i="1" l="1"/>
  <c r="E36" i="1" l="1"/>
  <c r="E35" i="1"/>
  <c r="C38" i="1" l="1"/>
  <c r="D38" i="1" s="1"/>
  <c r="E38" i="1" s="1"/>
  <c r="E103" i="1"/>
</calcChain>
</file>

<file path=xl/sharedStrings.xml><?xml version="1.0" encoding="utf-8"?>
<sst xmlns="http://schemas.openxmlformats.org/spreadsheetml/2006/main" count="78" uniqueCount="75">
  <si>
    <t>Исходные данные:</t>
  </si>
  <si>
    <t>Диаметр сердечника оптоволоконного световода 2a (мкм)</t>
  </si>
  <si>
    <t>Диаметр оболочки оптоволоконного световода b (мкм)</t>
  </si>
  <si>
    <t>Диаметр скрутки d (мм)</t>
  </si>
  <si>
    <t>Шаг скрутки S (мм)</t>
  </si>
  <si>
    <t>Коэффициент для расчета затухания на микроизгибах k</t>
  </si>
  <si>
    <r>
      <t xml:space="preserve">Строительная длина оптического кабеля </t>
    </r>
    <r>
      <rPr>
        <i/>
        <sz val="14"/>
        <color theme="1"/>
        <rFont val="Times New Roman"/>
        <family val="1"/>
        <charset val="204"/>
      </rPr>
      <t>lсд</t>
    </r>
    <r>
      <rPr>
        <sz val="14"/>
        <color theme="1"/>
        <rFont val="Times New Roman"/>
        <family val="1"/>
        <charset val="204"/>
      </rPr>
      <t xml:space="preserve"> (км)</t>
    </r>
  </si>
  <si>
    <r>
      <t xml:space="preserve">Коэффициент ошибок </t>
    </r>
    <r>
      <rPr>
        <i/>
        <sz val="14"/>
        <color theme="1"/>
        <rFont val="Times New Roman"/>
        <family val="1"/>
        <charset val="204"/>
      </rPr>
      <t>Pош</t>
    </r>
  </si>
  <si>
    <t>10^-9</t>
  </si>
  <si>
    <t>Скорость передачи информации B (Мбит/с)</t>
  </si>
  <si>
    <t>λ, нм</t>
  </si>
  <si>
    <t>Δ λ, нм</t>
  </si>
  <si>
    <t>Pпер, мВт</t>
  </si>
  <si>
    <t>αвх, дБ</t>
  </si>
  <si>
    <t>αвых, дБ</t>
  </si>
  <si>
    <t>αнс, дБ</t>
  </si>
  <si>
    <t>αрс, дБ</t>
  </si>
  <si>
    <t>Способ 
кодирования  (c невозвращением в нуль)</t>
  </si>
  <si>
    <t>NRZ (с невозвращением в нуль)</t>
  </si>
  <si>
    <t>Выполнение расчётов.</t>
  </si>
  <si>
    <t>1. Расчет показателя преломления компонентов волоконного световода.</t>
  </si>
  <si>
    <t>Значения коэффициентов Ai и Ii для стекол различных составов</t>
  </si>
  <si>
    <t>Компоненты световода</t>
  </si>
  <si>
    <t>Состав стекла</t>
  </si>
  <si>
    <t>Тип коэффицента</t>
  </si>
  <si>
    <t>Значение коэффицента при i, равном</t>
  </si>
  <si>
    <t>Светоотра-жающая оболочка (n2)</t>
  </si>
  <si>
    <t>SiO2</t>
  </si>
  <si>
    <t>Ai</t>
  </si>
  <si>
    <t>Ii</t>
  </si>
  <si>
    <t>Сердечник (n1)</t>
  </si>
  <si>
    <r>
      <t>3,1% G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O</t>
    </r>
    <r>
      <rPr>
        <vertAlign val="subscript"/>
        <sz val="12"/>
        <color rgb="FF000000"/>
        <rFont val="Times New Roman"/>
        <family val="1"/>
        <charset val="204"/>
      </rPr>
      <t>2</t>
    </r>
  </si>
  <si>
    <r>
      <t>96,9% SiO</t>
    </r>
    <r>
      <rPr>
        <vertAlign val="subscript"/>
        <sz val="12"/>
        <color rgb="FF000000"/>
        <rFont val="Times New Roman"/>
        <family val="1"/>
        <charset val="204"/>
      </rPr>
      <t>2</t>
    </r>
  </si>
  <si>
    <t>Значения</t>
  </si>
  <si>
    <t>n^2</t>
  </si>
  <si>
    <r>
      <rPr>
        <b/>
        <i/>
        <sz val="20"/>
        <color theme="1"/>
        <rFont val="Times New Roman"/>
        <family val="1"/>
        <charset val="204"/>
      </rPr>
      <t>n</t>
    </r>
    <r>
      <rPr>
        <b/>
        <i/>
        <sz val="11"/>
        <color theme="1"/>
        <rFont val="Times New Roman"/>
        <family val="1"/>
        <charset val="204"/>
      </rPr>
      <t>2</t>
    </r>
    <r>
      <rPr>
        <b/>
        <i/>
        <sz val="16"/>
        <color theme="1"/>
        <rFont val="Times New Roman"/>
        <family val="1"/>
        <charset val="204"/>
      </rPr>
      <t>^2</t>
    </r>
  </si>
  <si>
    <r>
      <rPr>
        <b/>
        <i/>
        <sz val="20"/>
        <color theme="1"/>
        <rFont val="Times New Roman"/>
        <family val="1"/>
        <charset val="204"/>
      </rPr>
      <t>n</t>
    </r>
    <r>
      <rPr>
        <b/>
        <i/>
        <sz val="11"/>
        <color theme="1"/>
        <rFont val="Times New Roman"/>
        <family val="1"/>
        <charset val="204"/>
      </rPr>
      <t>1</t>
    </r>
    <r>
      <rPr>
        <b/>
        <i/>
        <sz val="16"/>
        <color theme="1"/>
        <rFont val="Times New Roman"/>
        <family val="1"/>
        <charset val="204"/>
      </rPr>
      <t>^2</t>
    </r>
  </si>
  <si>
    <t>V</t>
  </si>
  <si>
    <t>2πα/λ</t>
  </si>
  <si>
    <r>
      <rPr>
        <b/>
        <sz val="16"/>
        <color theme="1"/>
        <rFont val="Times New Roman"/>
        <family val="1"/>
        <charset val="204"/>
      </rPr>
      <t>n</t>
    </r>
    <r>
      <rPr>
        <b/>
        <sz val="9"/>
        <color theme="1"/>
        <rFont val="Times New Roman"/>
        <family val="1"/>
        <charset val="204"/>
      </rPr>
      <t>1</t>
    </r>
    <r>
      <rPr>
        <b/>
        <sz val="11"/>
        <color theme="1"/>
        <rFont val="Times New Roman"/>
        <family val="1"/>
        <charset val="204"/>
      </rPr>
      <t>^2</t>
    </r>
    <r>
      <rPr>
        <b/>
        <sz val="18"/>
        <color theme="1"/>
        <rFont val="Times New Roman"/>
        <family val="1"/>
        <charset val="204"/>
      </rPr>
      <t>-</t>
    </r>
    <r>
      <rPr>
        <b/>
        <sz val="16"/>
        <color theme="1"/>
        <rFont val="Times New Roman"/>
        <family val="1"/>
        <charset val="204"/>
      </rPr>
      <t>n</t>
    </r>
    <r>
      <rPr>
        <b/>
        <sz val="9"/>
        <color theme="1"/>
        <rFont val="Times New Roman"/>
        <family val="1"/>
        <charset val="204"/>
      </rPr>
      <t>2</t>
    </r>
    <r>
      <rPr>
        <b/>
        <sz val="11"/>
        <color theme="1"/>
        <rFont val="Times New Roman"/>
        <family val="1"/>
        <charset val="204"/>
      </rPr>
      <t>^2</t>
    </r>
  </si>
  <si>
    <t>КОРЕНЬ(n1^2-n2^2)</t>
  </si>
  <si>
    <t>v</t>
  </si>
  <si>
    <r>
      <t>n</t>
    </r>
    <r>
      <rPr>
        <b/>
        <i/>
        <vertAlign val="superscript"/>
        <sz val="14"/>
        <color theme="1"/>
        <rFont val="Times New Roman"/>
        <family val="1"/>
        <charset val="204"/>
      </rPr>
      <t/>
    </r>
  </si>
  <si>
    <t>2. Расчет числовой апертуры световода</t>
  </si>
  <si>
    <t>ДЕЛЬТА</t>
  </si>
  <si>
    <t>NA</t>
  </si>
  <si>
    <t>3. Расчет затухания световодов</t>
  </si>
  <si>
    <t>а</t>
  </si>
  <si>
    <t>a(macro)</t>
  </si>
  <si>
    <t>a(micro)</t>
  </si>
  <si>
    <t>K=</t>
  </si>
  <si>
    <t>T=</t>
  </si>
  <si>
    <t>c</t>
  </si>
  <si>
    <t>k=</t>
  </si>
  <si>
    <r>
      <t>ω</t>
    </r>
    <r>
      <rPr>
        <b/>
        <vertAlign val="subscript"/>
        <sz val="12"/>
        <color theme="1"/>
        <rFont val="Times New Roman"/>
        <family val="1"/>
        <charset val="204"/>
      </rPr>
      <t>0 =</t>
    </r>
  </si>
  <si>
    <t>V=</t>
  </si>
  <si>
    <t>4. Расчет дисперсии оптического волокна</t>
  </si>
  <si>
    <t>с</t>
  </si>
  <si>
    <t>М(λ)</t>
  </si>
  <si>
    <t>дn/дλ</t>
  </si>
  <si>
    <r>
      <rPr>
        <b/>
        <i/>
        <sz val="12"/>
        <color theme="1"/>
        <rFont val="Times New Roman"/>
        <family val="1"/>
        <charset val="204"/>
      </rPr>
      <t>а</t>
    </r>
    <r>
      <rPr>
        <b/>
        <vertAlign val="subscript"/>
        <sz val="12"/>
        <color theme="1"/>
        <rFont val="Times New Roman"/>
        <family val="1"/>
        <charset val="204"/>
      </rPr>
      <t>n</t>
    </r>
  </si>
  <si>
    <r>
      <t>a</t>
    </r>
    <r>
      <rPr>
        <b/>
        <vertAlign val="subscript"/>
        <sz val="12"/>
        <color theme="1"/>
        <rFont val="Times New Roman"/>
        <family val="1"/>
        <charset val="204"/>
      </rPr>
      <t>p</t>
    </r>
  </si>
  <si>
    <t>В(λ)</t>
  </si>
  <si>
    <t>ΔF</t>
  </si>
  <si>
    <t>5. Определение длины регенерационного участка</t>
  </si>
  <si>
    <t>t</t>
  </si>
  <si>
    <r>
      <t>t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м</t>
    </r>
  </si>
  <si>
    <r>
      <t>t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в</t>
    </r>
  </si>
  <si>
    <t>5.1 Определение длины регенерационного участка по затуханию оптического кабеля</t>
  </si>
  <si>
    <t>lp</t>
  </si>
  <si>
    <t>П</t>
  </si>
  <si>
    <r>
      <t>Р</t>
    </r>
    <r>
      <rPr>
        <b/>
        <i/>
        <vertAlign val="subscript"/>
        <sz val="14"/>
        <color theme="1"/>
        <rFont val="Times New Roman"/>
        <family val="1"/>
        <charset val="204"/>
      </rPr>
      <t>пр.мин</t>
    </r>
    <r>
      <rPr>
        <b/>
        <i/>
        <sz val="14"/>
        <color theme="1"/>
        <rFont val="Times New Roman"/>
        <family val="1"/>
        <charset val="204"/>
      </rPr>
      <t xml:space="preserve"> </t>
    </r>
  </si>
  <si>
    <t>5.2. Определение длины регенерационного участка по пропускной способности оптического кабеля</t>
  </si>
  <si>
    <t>B</t>
  </si>
  <si>
    <t xml:space="preserve">Вывод: В ходе выполнения работы был определен выбор материалов для изготовления оптоволокна с заданными параметрами, исходя из экономичности оптической магистрали и обеспечения требуемого качества передачи информации,  выбираем длину регенерационного участка – 392,8378664  км. Более протяженный участок приведет к увеличению дисперсии и расширению импульса, что может привести к повышению вероятности ошибки при передаче информации.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</si>
</sst>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b/>
      <i/>
      <sz val="16"/>
      <color theme="1"/>
      <name val="Times New Roman"/>
      <family val="1"/>
      <charset val="204"/>
    </font>
    <font>
      <b/>
      <i/>
      <sz val="20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b/>
      <i/>
      <vertAlign val="superscript"/>
      <sz val="14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Symbol"/>
      <family val="1"/>
      <charset val="2"/>
    </font>
    <font>
      <b/>
      <sz val="11"/>
      <color theme="1"/>
      <name val="Calibri"/>
      <family val="2"/>
      <charset val="204"/>
    </font>
    <font>
      <b/>
      <vertAlign val="subscript"/>
      <sz val="12"/>
      <color theme="1"/>
      <name val="Times New Roman"/>
      <family val="1"/>
      <charset val="204"/>
    </font>
    <font>
      <b/>
      <i/>
      <sz val="11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i/>
      <vertAlign val="subscript"/>
      <sz val="11"/>
      <color theme="1"/>
      <name val="Calibri"/>
      <family val="2"/>
      <charset val="204"/>
      <scheme val="minor"/>
    </font>
    <font>
      <b/>
      <i/>
      <vertAlign val="subscript"/>
      <sz val="14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1">
    <xf numFmtId="0" fontId="0" fillId="0" borderId="0" xfId="0"/>
    <xf numFmtId="0" fontId="6" fillId="0" borderId="0" xfId="0" applyFont="1"/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15" fillId="0" borderId="9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12" fillId="0" borderId="9" xfId="0" applyFont="1" applyFill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/>
    <xf numFmtId="0" fontId="0" fillId="0" borderId="9" xfId="0" applyBorder="1"/>
    <xf numFmtId="0" fontId="21" fillId="0" borderId="10" xfId="0" applyFont="1" applyBorder="1"/>
    <xf numFmtId="0" fontId="0" fillId="0" borderId="10" xfId="0" applyBorder="1"/>
    <xf numFmtId="0" fontId="22" fillId="0" borderId="0" xfId="0" applyFont="1" applyBorder="1"/>
    <xf numFmtId="164" fontId="20" fillId="3" borderId="0" xfId="0" applyNumberFormat="1" applyFont="1" applyFill="1" applyBorder="1"/>
    <xf numFmtId="0" fontId="4" fillId="0" borderId="0" xfId="0" applyFont="1"/>
    <xf numFmtId="0" fontId="4" fillId="0" borderId="11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164" fontId="2" fillId="2" borderId="13" xfId="1" applyNumberFormat="1" applyBorder="1" applyAlignment="1">
      <alignment horizontal="center" vertical="center"/>
    </xf>
    <xf numFmtId="0" fontId="2" fillId="2" borderId="16" xfId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24" fillId="0" borderId="0" xfId="0" applyFont="1"/>
    <xf numFmtId="0" fontId="25" fillId="0" borderId="0" xfId="0" applyFont="1"/>
    <xf numFmtId="0" fontId="0" fillId="4" borderId="0" xfId="0" applyFill="1"/>
    <xf numFmtId="164" fontId="5" fillId="4" borderId="9" xfId="0" applyNumberFormat="1" applyFont="1" applyFill="1" applyBorder="1" applyAlignment="1">
      <alignment horizontal="center" vertical="center"/>
    </xf>
    <xf numFmtId="0" fontId="5" fillId="4" borderId="9" xfId="0" applyFont="1" applyFill="1" applyBorder="1" applyAlignment="1">
      <alignment vertical="center"/>
    </xf>
    <xf numFmtId="0" fontId="1" fillId="4" borderId="0" xfId="0" applyFont="1" applyFill="1"/>
    <xf numFmtId="0" fontId="9" fillId="0" borderId="9" xfId="0" applyFont="1" applyBorder="1" applyAlignment="1">
      <alignment horizontal="left"/>
    </xf>
    <xf numFmtId="0" fontId="14" fillId="0" borderId="9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0" fillId="0" borderId="0" xfId="0" applyAlignment="1">
      <alignment horizontal="center" wrapText="1"/>
    </xf>
    <xf numFmtId="0" fontId="20" fillId="0" borderId="0" xfId="0" applyFont="1"/>
    <xf numFmtId="0" fontId="6" fillId="4" borderId="9" xfId="0" applyFont="1" applyFill="1" applyBorder="1" applyAlignment="1">
      <alignment horizontal="center" vertical="center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8"/>
  <sheetViews>
    <sheetView tabSelected="1" topLeftCell="A77" zoomScale="85" zoomScaleNormal="85" workbookViewId="0">
      <selection activeCell="A109" sqref="A109"/>
    </sheetView>
  </sheetViews>
  <sheetFormatPr defaultRowHeight="15" x14ac:dyDescent="0.25"/>
  <cols>
    <col min="1" max="1" width="74.5703125" customWidth="1"/>
    <col min="2" max="2" width="36.5703125" customWidth="1"/>
    <col min="3" max="3" width="15.85546875" customWidth="1"/>
    <col min="4" max="4" width="26.85546875" customWidth="1"/>
    <col min="5" max="5" width="20" customWidth="1"/>
    <col min="6" max="6" width="16.28515625" customWidth="1"/>
    <col min="7" max="7" width="17.140625" customWidth="1"/>
    <col min="9" max="9" width="12.28515625" bestFit="1" customWidth="1"/>
    <col min="10" max="10" width="13.28515625" customWidth="1"/>
  </cols>
  <sheetData>
    <row r="2" spans="1:3" ht="15.75" thickBot="1" x14ac:dyDescent="0.3"/>
    <row r="3" spans="1:3" ht="18.75" x14ac:dyDescent="0.25">
      <c r="A3" s="48" t="s">
        <v>0</v>
      </c>
      <c r="B3" s="49"/>
      <c r="C3" s="1"/>
    </row>
    <row r="4" spans="1:3" ht="18.75" x14ac:dyDescent="0.25">
      <c r="A4" s="2" t="s">
        <v>1</v>
      </c>
      <c r="B4" s="3">
        <v>8.3000000000000007</v>
      </c>
      <c r="C4" s="1">
        <f>B4/2</f>
        <v>4.1500000000000004</v>
      </c>
    </row>
    <row r="5" spans="1:3" ht="18.75" x14ac:dyDescent="0.25">
      <c r="A5" s="2" t="s">
        <v>2</v>
      </c>
      <c r="B5" s="3">
        <v>125</v>
      </c>
      <c r="C5" s="1"/>
    </row>
    <row r="6" spans="1:3" ht="18.75" x14ac:dyDescent="0.25">
      <c r="A6" s="2" t="s">
        <v>3</v>
      </c>
      <c r="B6" s="3">
        <v>160</v>
      </c>
      <c r="C6" s="1"/>
    </row>
    <row r="7" spans="1:3" ht="18.75" x14ac:dyDescent="0.25">
      <c r="A7" s="2" t="s">
        <v>4</v>
      </c>
      <c r="B7" s="3">
        <v>80</v>
      </c>
      <c r="C7" s="1"/>
    </row>
    <row r="8" spans="1:3" ht="18.75" x14ac:dyDescent="0.25">
      <c r="A8" s="2" t="s">
        <v>5</v>
      </c>
      <c r="B8" s="3">
        <v>15</v>
      </c>
      <c r="C8" s="1"/>
    </row>
    <row r="9" spans="1:3" ht="18.75" x14ac:dyDescent="0.25">
      <c r="A9" s="2" t="s">
        <v>6</v>
      </c>
      <c r="B9" s="3">
        <v>2</v>
      </c>
      <c r="C9" s="1"/>
    </row>
    <row r="10" spans="1:3" ht="18.75" x14ac:dyDescent="0.25">
      <c r="A10" s="2" t="s">
        <v>7</v>
      </c>
      <c r="B10" s="3" t="s">
        <v>8</v>
      </c>
      <c r="C10" s="1"/>
    </row>
    <row r="11" spans="1:3" ht="18.75" x14ac:dyDescent="0.25">
      <c r="A11" s="2" t="s">
        <v>9</v>
      </c>
      <c r="B11" s="3">
        <v>622</v>
      </c>
      <c r="C11" s="1"/>
    </row>
    <row r="12" spans="1:3" ht="18.75" x14ac:dyDescent="0.25">
      <c r="A12" s="2" t="s">
        <v>10</v>
      </c>
      <c r="B12" s="4">
        <v>1510</v>
      </c>
      <c r="C12" s="5">
        <f>B12/1000</f>
        <v>1.51</v>
      </c>
    </row>
    <row r="13" spans="1:3" ht="18.75" x14ac:dyDescent="0.25">
      <c r="A13" s="2" t="s">
        <v>11</v>
      </c>
      <c r="B13" s="3">
        <v>0.12</v>
      </c>
      <c r="C13" s="1"/>
    </row>
    <row r="14" spans="1:3" ht="18.75" x14ac:dyDescent="0.25">
      <c r="A14" s="2" t="s">
        <v>12</v>
      </c>
      <c r="B14" s="3">
        <v>15</v>
      </c>
      <c r="C14" s="1"/>
    </row>
    <row r="15" spans="1:3" ht="18.75" x14ac:dyDescent="0.25">
      <c r="A15" s="2" t="s">
        <v>13</v>
      </c>
      <c r="B15" s="3">
        <v>3</v>
      </c>
      <c r="C15" s="1"/>
    </row>
    <row r="16" spans="1:3" ht="18.75" x14ac:dyDescent="0.25">
      <c r="A16" s="2" t="s">
        <v>14</v>
      </c>
      <c r="B16" s="3">
        <v>4</v>
      </c>
      <c r="C16" s="1"/>
    </row>
    <row r="17" spans="1:7" ht="18.75" x14ac:dyDescent="0.25">
      <c r="A17" s="2" t="s">
        <v>15</v>
      </c>
      <c r="B17" s="3">
        <v>0.02</v>
      </c>
      <c r="C17" s="1"/>
    </row>
    <row r="18" spans="1:7" ht="18.75" x14ac:dyDescent="0.25">
      <c r="A18" s="2" t="s">
        <v>16</v>
      </c>
      <c r="B18" s="6">
        <v>0.5</v>
      </c>
      <c r="C18" s="1"/>
    </row>
    <row r="19" spans="1:7" ht="19.5" thickBot="1" x14ac:dyDescent="0.3">
      <c r="A19" s="7" t="s">
        <v>17</v>
      </c>
      <c r="B19" s="50" t="s">
        <v>18</v>
      </c>
      <c r="C19" s="51"/>
    </row>
    <row r="22" spans="1:7" ht="18.75" x14ac:dyDescent="0.25">
      <c r="A22" s="52" t="s">
        <v>19</v>
      </c>
      <c r="B22" s="52"/>
      <c r="C22" s="52"/>
      <c r="D22" s="52"/>
      <c r="E22" s="52"/>
      <c r="F22" s="52"/>
      <c r="G22" s="52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ht="18.75" x14ac:dyDescent="0.25">
      <c r="A24" s="52" t="s">
        <v>20</v>
      </c>
      <c r="B24" s="52"/>
      <c r="C24" s="52"/>
      <c r="D24" s="52"/>
      <c r="E24" s="52"/>
      <c r="F24" s="52"/>
      <c r="G24" s="52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ht="18.75" x14ac:dyDescent="0.25">
      <c r="A26" s="53" t="s">
        <v>21</v>
      </c>
      <c r="B26" s="53"/>
      <c r="C26" s="53"/>
      <c r="D26" s="53"/>
      <c r="E26" s="53"/>
      <c r="F26" s="53"/>
      <c r="G26" s="53"/>
    </row>
    <row r="27" spans="1:7" ht="18.75" customHeight="1" x14ac:dyDescent="0.25">
      <c r="A27" s="43" t="s">
        <v>22</v>
      </c>
      <c r="B27" s="43" t="s">
        <v>23</v>
      </c>
      <c r="C27" s="43" t="s">
        <v>24</v>
      </c>
      <c r="D27" s="45" t="s">
        <v>25</v>
      </c>
      <c r="E27" s="45"/>
      <c r="F27" s="45"/>
      <c r="G27" s="46" t="s">
        <v>42</v>
      </c>
    </row>
    <row r="28" spans="1:7" ht="19.5" customHeight="1" thickBot="1" x14ac:dyDescent="0.3">
      <c r="A28" s="44"/>
      <c r="B28" s="44"/>
      <c r="C28" s="44"/>
      <c r="D28" s="8">
        <v>1</v>
      </c>
      <c r="E28" s="8">
        <v>2</v>
      </c>
      <c r="F28" s="8">
        <v>3</v>
      </c>
      <c r="G28" s="47"/>
    </row>
    <row r="29" spans="1:7" ht="18.75" x14ac:dyDescent="0.25">
      <c r="A29" s="37" t="s">
        <v>26</v>
      </c>
      <c r="B29" s="39" t="s">
        <v>27</v>
      </c>
      <c r="C29" s="9" t="s">
        <v>28</v>
      </c>
      <c r="D29" s="10">
        <v>0.69616630000000002</v>
      </c>
      <c r="E29" s="10">
        <v>0.40794259999999999</v>
      </c>
      <c r="F29" s="11">
        <v>0.89747940000000004</v>
      </c>
      <c r="G29" s="41">
        <f>SQRT(E35)</f>
        <v>1.4444996381868558</v>
      </c>
    </row>
    <row r="30" spans="1:7" ht="19.5" thickBot="1" x14ac:dyDescent="0.3">
      <c r="A30" s="38"/>
      <c r="B30" s="40"/>
      <c r="C30" s="12" t="s">
        <v>29</v>
      </c>
      <c r="D30" s="13">
        <v>6.8404300000000001E-2</v>
      </c>
      <c r="E30" s="13">
        <v>0.11624139999999999</v>
      </c>
      <c r="F30" s="14">
        <v>9.8961609999999993</v>
      </c>
      <c r="G30" s="42"/>
    </row>
    <row r="31" spans="1:7" ht="18.75" x14ac:dyDescent="0.25">
      <c r="A31" s="54" t="s">
        <v>30</v>
      </c>
      <c r="B31" s="15" t="s">
        <v>31</v>
      </c>
      <c r="C31" s="9" t="s">
        <v>28</v>
      </c>
      <c r="D31" s="16">
        <v>0.70285540000000002</v>
      </c>
      <c r="E31" s="15">
        <v>0.41463070000000002</v>
      </c>
      <c r="F31" s="15">
        <v>0.89745399999999997</v>
      </c>
      <c r="G31" s="41">
        <f>SQRT(E36)</f>
        <v>1.4491789295833111</v>
      </c>
    </row>
    <row r="32" spans="1:7" ht="19.5" thickBot="1" x14ac:dyDescent="0.3">
      <c r="A32" s="55"/>
      <c r="B32" s="17" t="s">
        <v>32</v>
      </c>
      <c r="C32" s="12" t="s">
        <v>29</v>
      </c>
      <c r="D32" s="18">
        <v>7.2772299999999998E-2</v>
      </c>
      <c r="E32" s="17">
        <v>0.11430849999999999</v>
      </c>
      <c r="F32" s="17">
        <v>9.8961609999999993</v>
      </c>
      <c r="G32" s="42"/>
    </row>
    <row r="33" spans="1:7" x14ac:dyDescent="0.25">
      <c r="A33" s="1"/>
      <c r="B33" s="1"/>
      <c r="C33" s="1"/>
      <c r="D33" s="1"/>
      <c r="E33" s="1"/>
      <c r="F33" s="1"/>
      <c r="G33" s="1"/>
    </row>
    <row r="34" spans="1:7" ht="19.5" x14ac:dyDescent="0.25">
      <c r="A34" s="19" t="s">
        <v>33</v>
      </c>
      <c r="B34" s="20">
        <v>1</v>
      </c>
      <c r="C34" s="20">
        <v>2</v>
      </c>
      <c r="D34" s="20">
        <v>3</v>
      </c>
      <c r="E34" s="21" t="s">
        <v>34</v>
      </c>
      <c r="F34" s="1"/>
      <c r="G34" s="1"/>
    </row>
    <row r="35" spans="1:7" ht="25.5" x14ac:dyDescent="0.25">
      <c r="A35" s="22" t="s">
        <v>35</v>
      </c>
      <c r="B35" s="23">
        <f>D29*($C$12*$C$12/($C$12*$C$12-D$30*D$30))</f>
        <v>0.69759788806326806</v>
      </c>
      <c r="C35" s="23">
        <f>E29*($C$12*$C$12/($C$12*$C$12-E$30*E$30))</f>
        <v>0.41037451364956734</v>
      </c>
      <c r="D35" s="23">
        <f>F29*($C$12*$C$12/($C$12*$C$12-F$30*F$30))</f>
        <v>-2.1393196990878122E-2</v>
      </c>
      <c r="E35" s="62">
        <f>1+B35+C35+D35</f>
        <v>2.0865792047219576</v>
      </c>
      <c r="F35" s="1"/>
      <c r="G35" s="1"/>
    </row>
    <row r="36" spans="1:7" ht="25.5" x14ac:dyDescent="0.25">
      <c r="A36" s="22" t="s">
        <v>36</v>
      </c>
      <c r="B36" s="23">
        <f>D31*($C$12*$C$12/($C$12*$C$12-D$32*D$32))</f>
        <v>0.70449166698718613</v>
      </c>
      <c r="C36" s="23">
        <f>E31*($C$12*$C$12/($C$12*$C$12-E$32*E$32))</f>
        <v>0.41702049449267453</v>
      </c>
      <c r="D36" s="23">
        <f>F31*($C$12*$C$12/($C$12*$C$12-F$32*F$32))</f>
        <v>-2.1392591531629063E-2</v>
      </c>
      <c r="E36" s="62">
        <f>1+B36+C36+D36</f>
        <v>2.1001195699482316</v>
      </c>
      <c r="F36" s="1"/>
      <c r="G36" s="1"/>
    </row>
    <row r="37" spans="1:7" ht="22.5" x14ac:dyDescent="0.3">
      <c r="A37" s="56" t="s">
        <v>37</v>
      </c>
      <c r="B37" s="20" t="s">
        <v>38</v>
      </c>
      <c r="C37" s="24" t="s">
        <v>39</v>
      </c>
      <c r="D37" s="25" t="s">
        <v>40</v>
      </c>
      <c r="E37" s="26" t="s">
        <v>41</v>
      </c>
      <c r="F37" s="1"/>
      <c r="G37" s="1"/>
    </row>
    <row r="38" spans="1:7" ht="18.75" x14ac:dyDescent="0.25">
      <c r="A38" s="56"/>
      <c r="B38" s="27">
        <f>(2*PI()*(B4/2))/C12</f>
        <v>17.268356970063103</v>
      </c>
      <c r="C38" s="23">
        <f>E36-E35</f>
        <v>1.3540365226273998E-2</v>
      </c>
      <c r="D38" s="27">
        <f>SQRT(C38)</f>
        <v>0.11636307501211025</v>
      </c>
      <c r="E38" s="63">
        <f>B38*D38</f>
        <v>2.0093991174433499</v>
      </c>
      <c r="F38" s="1"/>
      <c r="G38" s="1"/>
    </row>
    <row r="46" spans="1:7" ht="15" customHeight="1" x14ac:dyDescent="0.25">
      <c r="A46" s="52" t="s">
        <v>43</v>
      </c>
      <c r="B46" s="52"/>
      <c r="C46" s="52"/>
      <c r="D46" s="52"/>
      <c r="E46" s="52"/>
      <c r="F46" s="52"/>
      <c r="G46" s="52"/>
    </row>
    <row r="48" spans="1:7" ht="18.75" x14ac:dyDescent="0.3">
      <c r="A48" s="28" t="s">
        <v>44</v>
      </c>
      <c r="B48" s="61">
        <f>(E36-E35)/2*E36</f>
        <v>1.4218192997972268E-2</v>
      </c>
    </row>
    <row r="49" spans="1:7" ht="18.75" x14ac:dyDescent="0.3">
      <c r="A49" s="28" t="s">
        <v>45</v>
      </c>
      <c r="B49" s="61">
        <f>SQRT(E36-E35)</f>
        <v>0.11636307501211025</v>
      </c>
    </row>
    <row r="57" spans="1:7" ht="18.75" x14ac:dyDescent="0.25">
      <c r="B57" s="29"/>
    </row>
    <row r="59" spans="1:7" ht="15" customHeight="1" x14ac:dyDescent="0.25">
      <c r="A59" s="52" t="s">
        <v>46</v>
      </c>
      <c r="B59" s="52"/>
      <c r="C59" s="52"/>
      <c r="D59" s="52"/>
      <c r="E59" s="52"/>
      <c r="F59" s="52"/>
      <c r="G59" s="52"/>
    </row>
    <row r="61" spans="1:7" x14ac:dyDescent="0.25">
      <c r="A61" s="59" t="s">
        <v>47</v>
      </c>
      <c r="B61" s="64">
        <f>B62+B63+B64+B65</f>
        <v>0.52945906336843873</v>
      </c>
    </row>
    <row r="62" spans="1:7" ht="17.25" x14ac:dyDescent="0.3">
      <c r="A62" s="36" t="s">
        <v>60</v>
      </c>
      <c r="B62" s="64">
        <f>8.69*3.1415*E36*POWER(10,9)*2.4*POWER(10,-12)/C12</f>
        <v>9.1124499680970084E-2</v>
      </c>
      <c r="D62" s="31" t="s">
        <v>50</v>
      </c>
      <c r="E62" s="31">
        <f>1.38*POWER(10,-23)</f>
        <v>1.3800000000000001E-23</v>
      </c>
    </row>
    <row r="63" spans="1:7" ht="17.25" x14ac:dyDescent="0.3">
      <c r="A63" s="60" t="s">
        <v>61</v>
      </c>
      <c r="B63" s="64">
        <f>4.34*(8*3.1415^3)/(3*(C12*(10^-6)^4))*(E36-1)*E62*E63*E64*10^3</f>
        <v>0.43831664312209084</v>
      </c>
      <c r="D63" s="31" t="s">
        <v>51</v>
      </c>
      <c r="E63" s="31">
        <v>1500</v>
      </c>
    </row>
    <row r="64" spans="1:7" ht="15.75" x14ac:dyDescent="0.25">
      <c r="A64" s="60" t="s">
        <v>48</v>
      </c>
      <c r="B64" s="64">
        <f>(26*10^-3*B4/2)/(B48*B6*(1+(B7/PI()*B6)^2))</f>
        <v>2.8571749702009457E-9</v>
      </c>
      <c r="D64" s="32" t="s">
        <v>52</v>
      </c>
      <c r="E64" s="33">
        <f>8.1*POWER(10,-11)</f>
        <v>8.0999999999999992E-11</v>
      </c>
    </row>
    <row r="65" spans="1:7" ht="15.75" x14ac:dyDescent="0.25">
      <c r="A65" s="60" t="s">
        <v>49</v>
      </c>
      <c r="B65" s="64">
        <f>2*10^-4*(E67*(B4/2)^4)/((B5^6)*(B48^3))*(E68^6)/(C12^4)</f>
        <v>1.7917708202809759E-5</v>
      </c>
      <c r="D65" s="34"/>
      <c r="E65" s="35"/>
    </row>
    <row r="67" spans="1:7" x14ac:dyDescent="0.25">
      <c r="D67" t="s">
        <v>53</v>
      </c>
      <c r="E67">
        <f>10</f>
        <v>10</v>
      </c>
    </row>
    <row r="68" spans="1:7" ht="17.25" x14ac:dyDescent="0.3">
      <c r="D68" s="36" t="s">
        <v>54</v>
      </c>
      <c r="E68">
        <f>B4/2*(0.65+1.61*(E69^-1.5)+2.879*(E69^-6))</f>
        <v>3.4619983768317519</v>
      </c>
    </row>
    <row r="69" spans="1:7" x14ac:dyDescent="0.25">
      <c r="D69" t="s">
        <v>55</v>
      </c>
      <c r="E69">
        <f>12.97*C4*SQRT(B48)/(C12)</f>
        <v>4.2504345002369641</v>
      </c>
    </row>
    <row r="74" spans="1:7" x14ac:dyDescent="0.25">
      <c r="A74" s="58" t="s">
        <v>56</v>
      </c>
      <c r="B74" s="58"/>
      <c r="C74" s="58"/>
      <c r="D74" s="58"/>
      <c r="E74" s="58"/>
      <c r="F74" s="58"/>
      <c r="G74" s="58"/>
    </row>
    <row r="76" spans="1:7" ht="15.75" x14ac:dyDescent="0.25">
      <c r="A76" s="59" t="s">
        <v>57</v>
      </c>
      <c r="B76" s="30">
        <v>300000</v>
      </c>
    </row>
    <row r="77" spans="1:7" ht="15.75" x14ac:dyDescent="0.25">
      <c r="A77" s="59" t="s">
        <v>58</v>
      </c>
      <c r="B77" s="30">
        <f>-20.95647288584</f>
        <v>-20.95647288584</v>
      </c>
    </row>
    <row r="78" spans="1:7" x14ac:dyDescent="0.25">
      <c r="A78" s="59" t="s">
        <v>59</v>
      </c>
      <c r="B78">
        <f>-0.01201226732</f>
        <v>-1.2012267320000001E-2</v>
      </c>
    </row>
    <row r="79" spans="1:7" x14ac:dyDescent="0.25">
      <c r="A79" s="59" t="s">
        <v>62</v>
      </c>
      <c r="B79">
        <f>29.1013113157</f>
        <v>29.101311315699999</v>
      </c>
    </row>
    <row r="80" spans="1:7" x14ac:dyDescent="0.25">
      <c r="A80" s="59" t="s">
        <v>63</v>
      </c>
      <c r="B80" s="61">
        <f>(0.44/B81)*10^12</f>
        <v>450182860991.34973</v>
      </c>
    </row>
    <row r="81" spans="1:7" x14ac:dyDescent="0.25">
      <c r="A81" s="59" t="s">
        <v>65</v>
      </c>
      <c r="B81" s="61">
        <f>ABS(B82+B83)</f>
        <v>0.97738061158319978</v>
      </c>
    </row>
    <row r="82" spans="1:7" ht="18" x14ac:dyDescent="0.35">
      <c r="A82" s="59" t="s">
        <v>66</v>
      </c>
      <c r="B82" s="61">
        <f>B13*B77</f>
        <v>-2.5147767463007997</v>
      </c>
    </row>
    <row r="83" spans="1:7" ht="18" x14ac:dyDescent="0.35">
      <c r="A83" s="59" t="s">
        <v>67</v>
      </c>
      <c r="B83" s="61">
        <f>B13*B79</f>
        <v>3.4921573578839995</v>
      </c>
    </row>
    <row r="87" spans="1:7" x14ac:dyDescent="0.25">
      <c r="A87" s="58" t="s">
        <v>64</v>
      </c>
      <c r="B87" s="57"/>
      <c r="C87" s="57"/>
      <c r="D87" s="57"/>
      <c r="E87" s="57"/>
      <c r="F87" s="57"/>
      <c r="G87" s="57"/>
    </row>
    <row r="89" spans="1:7" x14ac:dyDescent="0.25">
      <c r="A89" s="58" t="s">
        <v>68</v>
      </c>
      <c r="B89" s="57"/>
      <c r="C89" s="57"/>
      <c r="D89" s="57"/>
      <c r="E89" s="57"/>
      <c r="F89" s="57"/>
      <c r="G89" s="57"/>
    </row>
    <row r="91" spans="1:7" ht="21" x14ac:dyDescent="0.4">
      <c r="A91" s="65" t="s">
        <v>71</v>
      </c>
      <c r="B91" s="70">
        <f>B14-B15-2*B18-((B92/B9)-1)*B17-(B61*B92)-B16</f>
        <v>-44.139433523069997</v>
      </c>
    </row>
    <row r="92" spans="1:7" x14ac:dyDescent="0.25">
      <c r="A92" s="66" t="s">
        <v>69</v>
      </c>
      <c r="B92" s="70">
        <f>((B93+B17-2*B18)/(B17+B61*B9))*B9</f>
        <v>94.834690891325749</v>
      </c>
    </row>
    <row r="93" spans="1:7" ht="18.75" x14ac:dyDescent="0.3">
      <c r="A93" s="67" t="s">
        <v>70</v>
      </c>
      <c r="B93" s="27">
        <f>52.13943352307</f>
        <v>52.139433523069997</v>
      </c>
    </row>
    <row r="97" spans="1:7" x14ac:dyDescent="0.25">
      <c r="A97" s="58" t="s">
        <v>72</v>
      </c>
      <c r="B97" s="57"/>
      <c r="C97" s="57"/>
      <c r="D97" s="57"/>
      <c r="E97" s="57"/>
      <c r="F97" s="57"/>
      <c r="G97" s="57"/>
    </row>
    <row r="99" spans="1:7" x14ac:dyDescent="0.25">
      <c r="A99" s="59" t="s">
        <v>69</v>
      </c>
      <c r="B99">
        <f>0.25*10^6/B100*B81</f>
        <v>392.83786639196131</v>
      </c>
    </row>
    <row r="100" spans="1:7" x14ac:dyDescent="0.25">
      <c r="A100" s="69" t="s">
        <v>73</v>
      </c>
      <c r="B100">
        <f>622</f>
        <v>622</v>
      </c>
    </row>
    <row r="103" spans="1:7" x14ac:dyDescent="0.25">
      <c r="E103">
        <f ca="1">A101:E103</f>
        <v>0</v>
      </c>
    </row>
    <row r="104" spans="1:7" x14ac:dyDescent="0.25">
      <c r="A104" s="68" t="s">
        <v>74</v>
      </c>
      <c r="B104" s="68"/>
      <c r="C104" s="68"/>
      <c r="D104" s="68"/>
      <c r="E104" s="68"/>
      <c r="F104" s="68"/>
      <c r="G104" s="68"/>
    </row>
    <row r="105" spans="1:7" x14ac:dyDescent="0.25">
      <c r="A105" s="68"/>
      <c r="B105" s="68"/>
      <c r="C105" s="68"/>
      <c r="D105" s="68"/>
      <c r="E105" s="68"/>
      <c r="F105" s="68"/>
      <c r="G105" s="68"/>
    </row>
    <row r="106" spans="1:7" x14ac:dyDescent="0.25">
      <c r="A106" s="68"/>
      <c r="B106" s="68"/>
      <c r="C106" s="68"/>
      <c r="D106" s="68"/>
      <c r="E106" s="68"/>
      <c r="F106" s="68"/>
      <c r="G106" s="68"/>
    </row>
    <row r="107" spans="1:7" x14ac:dyDescent="0.25">
      <c r="A107" s="68"/>
      <c r="B107" s="68"/>
      <c r="C107" s="68"/>
      <c r="D107" s="68"/>
      <c r="E107" s="68"/>
      <c r="F107" s="68"/>
      <c r="G107" s="68"/>
    </row>
    <row r="108" spans="1:7" x14ac:dyDescent="0.25">
      <c r="A108" s="68"/>
      <c r="B108" s="68"/>
      <c r="C108" s="68"/>
      <c r="D108" s="68"/>
      <c r="E108" s="68"/>
      <c r="F108" s="68"/>
      <c r="G108" s="68"/>
    </row>
  </sheetData>
  <mergeCells count="23">
    <mergeCell ref="A74:G74"/>
    <mergeCell ref="A87:G87"/>
    <mergeCell ref="A89:G89"/>
    <mergeCell ref="A97:G97"/>
    <mergeCell ref="A104:G108"/>
    <mergeCell ref="A31:A32"/>
    <mergeCell ref="G31:G32"/>
    <mergeCell ref="A46:G46"/>
    <mergeCell ref="A59:G59"/>
    <mergeCell ref="A37:A38"/>
    <mergeCell ref="A3:B3"/>
    <mergeCell ref="B19:C19"/>
    <mergeCell ref="A22:G22"/>
    <mergeCell ref="A24:G24"/>
    <mergeCell ref="A26:G26"/>
    <mergeCell ref="A29:A30"/>
    <mergeCell ref="B29:B30"/>
    <mergeCell ref="G29:G30"/>
    <mergeCell ref="A27:A28"/>
    <mergeCell ref="B27:B28"/>
    <mergeCell ref="C27:C28"/>
    <mergeCell ref="D27:F27"/>
    <mergeCell ref="G27:G28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Лист1!_Toc518981405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2023-11-17T11:41:52Z</dcterms:modified>
</cp:coreProperties>
</file>