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51" i="1"/>
  <c r="B46" i="1"/>
  <c r="B45" i="1"/>
  <c r="E42" i="1"/>
  <c r="E40" i="1"/>
  <c r="B61" i="1" l="1"/>
  <c r="B60" i="1"/>
  <c r="B59" i="1"/>
  <c r="B47" i="1" l="1"/>
  <c r="C22" i="1"/>
  <c r="B35" i="1" l="1"/>
  <c r="B44" i="1" l="1"/>
  <c r="B58" i="1" l="1"/>
  <c r="B56" i="1"/>
  <c r="B55" i="1" l="1"/>
  <c r="B70" i="1"/>
  <c r="B57" i="1"/>
  <c r="B20" i="1"/>
  <c r="D18" i="1"/>
  <c r="B18" i="1"/>
  <c r="D17" i="1"/>
  <c r="B17" i="1"/>
  <c r="B4" i="1"/>
  <c r="C17" i="1" l="1"/>
  <c r="E17" i="1" s="1"/>
  <c r="G11" i="1" s="1"/>
  <c r="C18" i="1"/>
  <c r="E18" i="1" s="1"/>
  <c r="B62" i="1"/>
  <c r="G13" i="1" l="1"/>
  <c r="C20" i="1"/>
  <c r="D20" i="1" l="1"/>
  <c r="E20" i="1" s="1"/>
  <c r="B34" i="1"/>
  <c r="B36" i="1" l="1"/>
  <c r="C34" i="1" s="1"/>
  <c r="B49" i="1"/>
  <c r="B48" i="1" s="1"/>
  <c r="B41" i="1"/>
  <c r="B43" i="1"/>
  <c r="B69" i="1"/>
  <c r="B68" i="1" s="1"/>
  <c r="B42" i="1"/>
  <c r="B40" i="1"/>
</calcChain>
</file>

<file path=xl/sharedStrings.xml><?xml version="1.0" encoding="utf-8"?>
<sst xmlns="http://schemas.openxmlformats.org/spreadsheetml/2006/main" count="86" uniqueCount="79">
  <si>
    <t>№ варианта</t>
  </si>
  <si>
    <t>λ, нм</t>
  </si>
  <si>
    <t>Δ λ, нм</t>
  </si>
  <si>
    <t>Способ</t>
  </si>
  <si>
    <t>кодирования</t>
  </si>
  <si>
    <t>Значения коэффициентов Ai и Ii для стекол различных составов</t>
  </si>
  <si>
    <t>Компоненты световода</t>
  </si>
  <si>
    <t>Состав стекла</t>
  </si>
  <si>
    <t>Тип коэффицента</t>
  </si>
  <si>
    <t>Значение коэффицента при i, равном</t>
  </si>
  <si>
    <t>n</t>
  </si>
  <si>
    <t>Светоотра-жающая оболочка (n2)</t>
  </si>
  <si>
    <t>SiO2</t>
  </si>
  <si>
    <t>Ai</t>
  </si>
  <si>
    <t>Ii</t>
  </si>
  <si>
    <t>Сердечник (n1)</t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</si>
  <si>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</si>
  <si>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</si>
  <si>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t>Значения</t>
  </si>
  <si>
    <t>n^2</t>
  </si>
  <si>
    <r>
      <rPr>
        <b/>
        <i/>
        <sz val="20"/>
        <color theme="1"/>
        <rFont val="Times New Roman"/>
        <family val="1"/>
        <charset val="204"/>
      </rPr>
      <t>n</t>
    </r>
    <r>
      <rPr>
        <b/>
        <i/>
        <sz val="11"/>
        <color theme="1"/>
        <rFont val="Times New Roman"/>
        <family val="1"/>
        <charset val="204"/>
      </rPr>
      <t>2</t>
    </r>
    <r>
      <rPr>
        <b/>
        <i/>
        <sz val="16"/>
        <color theme="1"/>
        <rFont val="Times New Roman"/>
        <family val="1"/>
        <charset val="204"/>
      </rPr>
      <t>^2</t>
    </r>
  </si>
  <si>
    <r>
      <rPr>
        <b/>
        <i/>
        <sz val="20"/>
        <color theme="1"/>
        <rFont val="Times New Roman"/>
        <family val="1"/>
        <charset val="204"/>
      </rPr>
      <t>n</t>
    </r>
    <r>
      <rPr>
        <b/>
        <i/>
        <sz val="11"/>
        <color theme="1"/>
        <rFont val="Times New Roman"/>
        <family val="1"/>
        <charset val="204"/>
      </rPr>
      <t>1</t>
    </r>
    <r>
      <rPr>
        <b/>
        <i/>
        <sz val="16"/>
        <color theme="1"/>
        <rFont val="Times New Roman"/>
        <family val="1"/>
        <charset val="204"/>
      </rPr>
      <t>^2</t>
    </r>
  </si>
  <si>
    <t>V</t>
  </si>
  <si>
    <t>2πα/λ</t>
  </si>
  <si>
    <r>
      <rPr>
        <b/>
        <sz val="16"/>
        <color theme="1"/>
        <rFont val="Times New Roman"/>
        <family val="1"/>
        <charset val="204"/>
      </rPr>
      <t>n</t>
    </r>
    <r>
      <rPr>
        <b/>
        <sz val="9"/>
        <color theme="1"/>
        <rFont val="Times New Roman"/>
        <family val="1"/>
        <charset val="204"/>
      </rPr>
      <t>1</t>
    </r>
    <r>
      <rPr>
        <b/>
        <sz val="11"/>
        <color theme="1"/>
        <rFont val="Times New Roman"/>
        <family val="1"/>
        <charset val="204"/>
      </rPr>
      <t>^2</t>
    </r>
    <r>
      <rPr>
        <b/>
        <sz val="18"/>
        <color theme="1"/>
        <rFont val="Times New Roman"/>
        <family val="1"/>
        <charset val="204"/>
      </rPr>
      <t>-</t>
    </r>
    <r>
      <rPr>
        <b/>
        <sz val="16"/>
        <color theme="1"/>
        <rFont val="Times New Roman"/>
        <family val="1"/>
        <charset val="204"/>
      </rPr>
      <t>n</t>
    </r>
    <r>
      <rPr>
        <b/>
        <sz val="9"/>
        <color theme="1"/>
        <rFont val="Times New Roman"/>
        <family val="1"/>
        <charset val="204"/>
      </rPr>
      <t>2</t>
    </r>
    <r>
      <rPr>
        <b/>
        <sz val="11"/>
        <color theme="1"/>
        <rFont val="Times New Roman"/>
        <family val="1"/>
        <charset val="204"/>
      </rPr>
      <t>^2</t>
    </r>
  </si>
  <si>
    <t>КОРЕНЬ(n1^2-n2^2)</t>
  </si>
  <si>
    <t>v</t>
  </si>
  <si>
    <t>­10^-9</t>
  </si>
  <si>
    <t>шаг скрутки S= мм;</t>
  </si>
  <si>
    <t>диаметр скрутки d= мм;</t>
  </si>
  <si>
    <t>диаметр сердечника оптоволоконного световода 2a=мкм;</t>
  </si>
  <si>
    <t>коэффициент для расчета затухания на микроизгибах  k=;</t>
  </si>
  <si>
    <r>
      <rPr>
        <sz val="12"/>
        <color theme="1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theme="1"/>
        <rFont val="Times New Roman"/>
        <family val="1"/>
        <charset val="204"/>
      </rPr>
      <t>l</t>
    </r>
    <r>
      <rPr>
        <i/>
        <vertAlign val="subscript"/>
        <sz val="12"/>
        <color theme="1"/>
        <rFont val="Times New Roman"/>
        <family val="1"/>
        <charset val="204"/>
      </rPr>
      <t>сд</t>
    </r>
    <r>
      <rPr>
        <sz val="12"/>
        <color theme="1"/>
        <rFont val="Times New Roman"/>
        <family val="1"/>
        <charset val="204"/>
      </rPr>
      <t>=км;</t>
    </r>
  </si>
  <si>
    <r>
      <rPr>
        <sz val="12"/>
        <color theme="1"/>
        <rFont val="Times New Roman"/>
        <family val="1"/>
        <charset val="204"/>
      </rPr>
      <t>коэффициент ошибок p</t>
    </r>
    <r>
      <rPr>
        <vertAlign val="subscript"/>
        <sz val="12"/>
        <color theme="1"/>
        <rFont val="Times New Roman"/>
        <family val="1"/>
        <charset val="204"/>
      </rPr>
      <t>ош</t>
    </r>
    <r>
      <rPr>
        <sz val="12"/>
        <color theme="1"/>
        <rFont val="Times New Roman"/>
        <family val="1"/>
        <charset val="204"/>
      </rPr>
      <t>=</t>
    </r>
    <r>
      <rPr>
        <sz val="12"/>
        <color theme="1"/>
        <rFont val="Times New Roman"/>
        <family val="1"/>
        <charset val="204"/>
      </rPr>
      <t>;</t>
    </r>
  </si>
  <si>
    <t>скорость передачи информации B= Мбит/с.</t>
  </si>
  <si>
    <t>диаметр оболочки оптоволоконного световода b= мкм;</t>
  </si>
  <si>
    <t>1. Расчет показателя преломления компонентов волоконного световода.</t>
  </si>
  <si>
    <t>2. Расчет числовой апертуры световода.</t>
  </si>
  <si>
    <t>n1*КОРЕНЬ(2*Δ)</t>
  </si>
  <si>
    <t>NA</t>
  </si>
  <si>
    <t>Δ</t>
  </si>
  <si>
    <t>Sqr2Δ</t>
  </si>
  <si>
    <t>3. Расчет затухания световодов.</t>
  </si>
  <si>
    <t>a</t>
  </si>
  <si>
    <r>
      <t>a</t>
    </r>
    <r>
      <rPr>
        <b/>
        <sz val="11"/>
        <color theme="1"/>
        <rFont val="Times New Roman"/>
        <family val="1"/>
        <charset val="204"/>
      </rPr>
      <t>c</t>
    </r>
  </si>
  <si>
    <r>
      <t>a</t>
    </r>
    <r>
      <rPr>
        <b/>
        <sz val="11"/>
        <color theme="1"/>
        <rFont val="Times New Roman"/>
        <family val="1"/>
        <charset val="204"/>
      </rPr>
      <t>k</t>
    </r>
  </si>
  <si>
    <r>
      <t>a</t>
    </r>
    <r>
      <rPr>
        <b/>
        <sz val="11"/>
        <color theme="1"/>
        <rFont val="Times New Roman"/>
        <family val="1"/>
        <charset val="204"/>
      </rPr>
      <t>n</t>
    </r>
    <r>
      <rPr>
        <b/>
        <sz val="14"/>
        <color theme="1"/>
        <rFont val="Times New Roman"/>
        <family val="1"/>
        <charset val="204"/>
      </rPr>
      <t xml:space="preserve"> (дБ/км)</t>
    </r>
  </si>
  <si>
    <r>
      <t>a</t>
    </r>
    <r>
      <rPr>
        <b/>
        <sz val="11"/>
        <color theme="1"/>
        <rFont val="Times New Roman"/>
        <family val="1"/>
        <charset val="204"/>
      </rPr>
      <t>p</t>
    </r>
    <r>
      <rPr>
        <b/>
        <sz val="14"/>
        <color theme="1"/>
        <rFont val="Times New Roman"/>
        <family val="1"/>
        <charset val="204"/>
      </rPr>
      <t xml:space="preserve"> (дБ/км)</t>
    </r>
  </si>
  <si>
    <t>amacro (дБ/км)</t>
  </si>
  <si>
    <t>amicro (дБ/км)</t>
  </si>
  <si>
    <t>радиус поля моды (мкм)</t>
  </si>
  <si>
    <t>Таким образом, полные потери в волоконном световоде составят:</t>
  </si>
  <si>
    <t>a (дБ/км)</t>
  </si>
  <si>
    <r>
      <t>P</t>
    </r>
    <r>
      <rPr>
        <vertAlign val="subscript"/>
        <sz val="14"/>
        <color theme="1"/>
        <rFont val="Times New Roman"/>
        <family val="1"/>
        <charset val="204"/>
      </rPr>
      <t>пер</t>
    </r>
    <r>
      <rPr>
        <sz val="14"/>
        <color theme="1"/>
        <rFont val="Times New Roman"/>
        <family val="1"/>
        <charset val="204"/>
      </rPr>
      <t>, мВт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</si>
  <si>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вх, дБ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</si>
  <si>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вых, дБ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</si>
  <si>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нс, дБ</t>
    </r>
  </si>
  <si>
    <r>
      <t>α</t>
    </r>
    <r>
      <rPr>
        <vertAlign val="subscript"/>
        <sz val="14"/>
        <color theme="1"/>
        <rFont val="Times New Roman"/>
        <family val="1"/>
        <charset val="204"/>
      </rPr>
      <t>рс, дБ</t>
    </r>
  </si>
  <si>
    <t>4. Расчет дисперсии оптического волокна.</t>
  </si>
  <si>
    <r>
      <t xml:space="preserve">г </t>
    </r>
    <r>
      <rPr>
        <b/>
        <sz val="14"/>
        <color theme="1"/>
        <rFont val="Times New Roman"/>
        <family val="1"/>
        <charset val="204"/>
      </rPr>
      <t>(пс/км)</t>
    </r>
  </si>
  <si>
    <r>
      <t>г</t>
    </r>
    <r>
      <rPr>
        <b/>
        <i/>
        <sz val="12"/>
        <color theme="1"/>
        <rFont val="Times New Roman"/>
        <family val="1"/>
        <charset val="204"/>
      </rPr>
      <t>м</t>
    </r>
    <r>
      <rPr>
        <b/>
        <i/>
        <sz val="16"/>
        <color theme="1"/>
        <rFont val="Times New Roman"/>
        <family val="1"/>
        <charset val="204"/>
      </rPr>
      <t xml:space="preserve"> </t>
    </r>
    <r>
      <rPr>
        <b/>
        <sz val="16"/>
        <color theme="1"/>
        <rFont val="Times New Roman"/>
        <family val="1"/>
        <charset val="204"/>
      </rPr>
      <t>(пс/км)</t>
    </r>
  </si>
  <si>
    <r>
      <t>г</t>
    </r>
    <r>
      <rPr>
        <b/>
        <i/>
        <sz val="12"/>
        <color theme="1"/>
        <rFont val="Times New Roman"/>
        <family val="1"/>
        <charset val="204"/>
      </rPr>
      <t>в</t>
    </r>
    <r>
      <rPr>
        <b/>
        <i/>
        <sz val="16"/>
        <color theme="1"/>
        <rFont val="Times New Roman"/>
        <family val="1"/>
        <charset val="204"/>
      </rPr>
      <t xml:space="preserve"> </t>
    </r>
    <r>
      <rPr>
        <b/>
        <sz val="16"/>
        <color theme="1"/>
        <rFont val="Times New Roman"/>
        <family val="1"/>
        <charset val="204"/>
      </rPr>
      <t>(пс/км)</t>
    </r>
  </si>
  <si>
    <r>
      <t xml:space="preserve">М(λ) </t>
    </r>
    <r>
      <rPr>
        <b/>
        <sz val="14"/>
        <color theme="1"/>
        <rFont val="Times New Roman"/>
        <family val="1"/>
        <charset val="204"/>
      </rPr>
      <t>пс/(км нм)</t>
    </r>
  </si>
  <si>
    <r>
      <t xml:space="preserve">с </t>
    </r>
    <r>
      <rPr>
        <b/>
        <sz val="14"/>
        <color theme="1"/>
        <rFont val="Times New Roman"/>
        <family val="1"/>
        <charset val="204"/>
      </rPr>
      <t>(км/с)</t>
    </r>
  </si>
  <si>
    <t>дn/дλ</t>
  </si>
  <si>
    <r>
      <t xml:space="preserve">В(λ) </t>
    </r>
    <r>
      <rPr>
        <b/>
        <sz val="14"/>
        <color theme="1"/>
        <rFont val="Times New Roman"/>
        <family val="1"/>
        <charset val="204"/>
      </rPr>
      <t>пс/(км нм)</t>
    </r>
  </si>
  <si>
    <r>
      <t xml:space="preserve">ΔF </t>
    </r>
    <r>
      <rPr>
        <b/>
        <sz val="14"/>
        <color theme="1"/>
        <rFont val="Times New Roman"/>
        <family val="1"/>
        <charset val="204"/>
      </rPr>
      <t>(Гц км)</t>
    </r>
  </si>
  <si>
    <t>5. Определение длины регенерационного участка.</t>
  </si>
  <si>
    <t>5.1. Определение длины регенерационного участка по затуханию оптического кабеля.</t>
  </si>
  <si>
    <r>
      <t>Р</t>
    </r>
    <r>
      <rPr>
        <b/>
        <i/>
        <vertAlign val="subscript"/>
        <sz val="14"/>
        <color theme="1"/>
        <rFont val="Times New Roman"/>
        <family val="1"/>
        <charset val="204"/>
      </rPr>
      <t>пр.мин</t>
    </r>
    <r>
      <rPr>
        <b/>
        <i/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Times New Roman"/>
        <family val="1"/>
        <charset val="204"/>
      </rPr>
      <t>(дБ/м)</t>
    </r>
  </si>
  <si>
    <t>lp</t>
  </si>
  <si>
    <t>П</t>
  </si>
  <si>
    <t>5.2. Определение длины регенерационного участка по пропускной способности оптического кабеля.</t>
  </si>
  <si>
    <t>В</t>
  </si>
  <si>
    <t>NRZ (c невозвращением в нуль)</t>
  </si>
  <si>
    <t>K=</t>
  </si>
  <si>
    <t>T=</t>
  </si>
  <si>
    <t>c</t>
  </si>
  <si>
    <t xml:space="preserve">Вывод: В ходе выполнения работы был определен выбор материалов для изготовления оптоволокна с заданными параметрами, исходя из экономичности оптической магистрали и обеспечения требуемого качества передачи информации,  выбираем длину регенерационного участка – 95,61050466 км. Более протяженный участок приведет к увеличению дисперсии и расширению импульса, что может привести к повышению вероятности ошибки при передаче информации.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</si>
</sst>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b/>
      <i/>
      <vertAlign val="subscript"/>
      <sz val="14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0" fillId="0" borderId="0" xfId="0" applyFont="1" applyBorder="1"/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0" fillId="0" borderId="1" xfId="0" applyBorder="1"/>
    <xf numFmtId="0" fontId="23" fillId="0" borderId="1" xfId="0" applyFont="1" applyBorder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28" zoomScale="130" zoomScaleNormal="130" workbookViewId="0">
      <selection activeCell="F12" sqref="F12"/>
    </sheetView>
  </sheetViews>
  <sheetFormatPr defaultRowHeight="15" x14ac:dyDescent="0.25"/>
  <cols>
    <col min="1" max="1" width="44" customWidth="1"/>
    <col min="2" max="2" width="25.5703125" customWidth="1"/>
    <col min="3" max="3" width="27" customWidth="1"/>
    <col min="4" max="4" width="23.7109375" customWidth="1"/>
    <col min="5" max="5" width="16.85546875" customWidth="1"/>
    <col min="6" max="6" width="12.85546875" customWidth="1"/>
    <col min="7" max="7" width="17.28515625" customWidth="1"/>
    <col min="9" max="9" width="27.5703125" customWidth="1"/>
  </cols>
  <sheetData>
    <row r="1" spans="1:9" ht="15.75" customHeight="1" x14ac:dyDescent="0.25">
      <c r="A1" s="42" t="s">
        <v>0</v>
      </c>
      <c r="B1" s="42" t="s">
        <v>1</v>
      </c>
      <c r="C1" s="42" t="s">
        <v>2</v>
      </c>
      <c r="D1" s="42" t="s">
        <v>53</v>
      </c>
      <c r="E1" s="42" t="s">
        <v>54</v>
      </c>
      <c r="F1" s="42" t="s">
        <v>55</v>
      </c>
      <c r="G1" s="42" t="s">
        <v>56</v>
      </c>
      <c r="H1" s="42" t="s">
        <v>57</v>
      </c>
      <c r="I1" s="25" t="s">
        <v>3</v>
      </c>
    </row>
    <row r="2" spans="1:9" ht="15.75" customHeight="1" x14ac:dyDescent="0.25">
      <c r="A2" s="42"/>
      <c r="B2" s="42"/>
      <c r="C2" s="42"/>
      <c r="D2" s="42"/>
      <c r="E2" s="42"/>
      <c r="F2" s="42"/>
      <c r="G2" s="42"/>
      <c r="H2" s="42"/>
      <c r="I2" s="25" t="s">
        <v>4</v>
      </c>
    </row>
    <row r="3" spans="1:9" ht="56.25" x14ac:dyDescent="0.25">
      <c r="A3" s="25">
        <v>5</v>
      </c>
      <c r="B3" s="25">
        <v>1530</v>
      </c>
      <c r="C3" s="25">
        <v>0.15</v>
      </c>
      <c r="D3" s="25">
        <v>15</v>
      </c>
      <c r="E3" s="25">
        <v>2</v>
      </c>
      <c r="F3" s="25">
        <v>4</v>
      </c>
      <c r="G3" s="25">
        <v>0.03</v>
      </c>
      <c r="H3" s="25">
        <v>0.4</v>
      </c>
      <c r="I3" s="25" t="s">
        <v>74</v>
      </c>
    </row>
    <row r="4" spans="1:9" ht="18.75" x14ac:dyDescent="0.3">
      <c r="A4" s="27"/>
      <c r="B4" s="26">
        <f>B3/1000</f>
        <v>1.53</v>
      </c>
      <c r="C4" s="36"/>
      <c r="D4" s="27"/>
      <c r="E4" s="27"/>
      <c r="F4" s="27"/>
      <c r="G4" s="27"/>
      <c r="H4" s="27"/>
      <c r="I4" s="27"/>
    </row>
    <row r="5" spans="1:9" x14ac:dyDescent="0.25">
      <c r="A5" s="2"/>
      <c r="B5" s="3"/>
      <c r="C5" s="3"/>
      <c r="D5" s="3"/>
      <c r="E5" s="3"/>
      <c r="F5" s="3"/>
      <c r="G5" s="3"/>
      <c r="H5" s="3"/>
      <c r="I5" s="3"/>
    </row>
    <row r="6" spans="1:9" x14ac:dyDescent="0.25">
      <c r="A6" s="2"/>
      <c r="B6" s="3"/>
      <c r="C6" s="3"/>
      <c r="D6" s="3"/>
      <c r="E6" s="3"/>
      <c r="F6" s="3"/>
      <c r="G6" s="3"/>
      <c r="H6" s="3"/>
      <c r="I6" s="3"/>
    </row>
    <row r="7" spans="1:9" ht="18.75" x14ac:dyDescent="0.3">
      <c r="A7" s="46" t="s">
        <v>36</v>
      </c>
      <c r="B7" s="47"/>
      <c r="C7" s="47"/>
      <c r="D7" s="47"/>
      <c r="E7" s="47"/>
      <c r="F7" s="47"/>
      <c r="G7" s="47"/>
    </row>
    <row r="8" spans="1:9" ht="18.75" x14ac:dyDescent="0.25">
      <c r="A8" s="44" t="s">
        <v>5</v>
      </c>
      <c r="B8" s="44"/>
      <c r="C8" s="44"/>
      <c r="D8" s="44"/>
      <c r="E8" s="44"/>
      <c r="F8" s="44"/>
      <c r="G8" s="44"/>
    </row>
    <row r="9" spans="1:9" ht="18.75" x14ac:dyDescent="0.25">
      <c r="A9" s="45" t="s">
        <v>6</v>
      </c>
      <c r="B9" s="45" t="s">
        <v>7</v>
      </c>
      <c r="C9" s="45" t="s">
        <v>8</v>
      </c>
      <c r="D9" s="50" t="s">
        <v>9</v>
      </c>
      <c r="E9" s="50"/>
      <c r="F9" s="50"/>
      <c r="G9" s="51" t="s">
        <v>10</v>
      </c>
    </row>
    <row r="10" spans="1:9" ht="29.25" customHeight="1" x14ac:dyDescent="0.25">
      <c r="A10" s="45"/>
      <c r="B10" s="45"/>
      <c r="C10" s="45"/>
      <c r="D10" s="1">
        <v>1</v>
      </c>
      <c r="E10" s="1">
        <v>2</v>
      </c>
      <c r="F10" s="1">
        <v>3</v>
      </c>
      <c r="G10" s="51"/>
    </row>
    <row r="11" spans="1:9" ht="18.75" x14ac:dyDescent="0.25">
      <c r="A11" s="45" t="s">
        <v>11</v>
      </c>
      <c r="B11" s="52" t="s">
        <v>12</v>
      </c>
      <c r="C11" s="1" t="s">
        <v>13</v>
      </c>
      <c r="D11" s="17">
        <v>0.69616630000000002</v>
      </c>
      <c r="E11" s="17">
        <v>0.40794259999999999</v>
      </c>
      <c r="F11" s="4">
        <v>0.89747940000000004</v>
      </c>
      <c r="G11" s="64">
        <f>SQRT(E17)</f>
        <v>1.4442624371542849</v>
      </c>
    </row>
    <row r="12" spans="1:9" ht="18.75" x14ac:dyDescent="0.25">
      <c r="A12" s="45"/>
      <c r="B12" s="52"/>
      <c r="C12" s="1" t="s">
        <v>14</v>
      </c>
      <c r="D12" s="17">
        <v>6.8404300000000001E-2</v>
      </c>
      <c r="E12" s="17">
        <v>0.11624139999999999</v>
      </c>
      <c r="F12" s="4">
        <v>9.8961609999999993</v>
      </c>
      <c r="G12" s="64"/>
    </row>
    <row r="13" spans="1:9" ht="18.75" x14ac:dyDescent="0.25">
      <c r="A13" s="48" t="s">
        <v>15</v>
      </c>
      <c r="B13" s="18" t="s">
        <v>16</v>
      </c>
      <c r="C13" s="1" t="s">
        <v>13</v>
      </c>
      <c r="D13" s="19">
        <v>0.70285540000000002</v>
      </c>
      <c r="E13" s="18">
        <v>0.41463070000000002</v>
      </c>
      <c r="F13" s="18">
        <v>0.89745399999999997</v>
      </c>
      <c r="G13" s="64">
        <f>SQRT(E18)</f>
        <v>1.448941042072436</v>
      </c>
    </row>
    <row r="14" spans="1:9" ht="18.75" x14ac:dyDescent="0.25">
      <c r="A14" s="48"/>
      <c r="B14" s="18" t="s">
        <v>17</v>
      </c>
      <c r="C14" s="1" t="s">
        <v>14</v>
      </c>
      <c r="D14" s="19">
        <v>7.2772299999999998E-2</v>
      </c>
      <c r="E14" s="18">
        <v>0.11430849999999999</v>
      </c>
      <c r="F14" s="18">
        <v>9.8961609999999993</v>
      </c>
      <c r="G14" s="64"/>
    </row>
    <row r="15" spans="1:9" ht="20.25" customHeight="1" x14ac:dyDescent="0.25"/>
    <row r="16" spans="1:9" ht="19.5" x14ac:dyDescent="0.25">
      <c r="A16" s="5" t="s">
        <v>18</v>
      </c>
      <c r="B16" s="6">
        <v>1</v>
      </c>
      <c r="C16" s="6">
        <v>2</v>
      </c>
      <c r="D16" s="6">
        <v>3</v>
      </c>
      <c r="E16" s="7" t="s">
        <v>19</v>
      </c>
    </row>
    <row r="17" spans="1:7" ht="25.5" x14ac:dyDescent="0.25">
      <c r="A17" s="8" t="s">
        <v>20</v>
      </c>
      <c r="B17" s="9">
        <f>(D11*(B4^2/(B4^2-D12^2)))</f>
        <v>0.69756063107440858</v>
      </c>
      <c r="C17" s="9">
        <f>(E11*(B4^2/(B4^2-E12^2)))</f>
        <v>0.41031098305050057</v>
      </c>
      <c r="D17" s="9">
        <f>(F11*(B4^2/(B4^2-F12^2)))</f>
        <v>-2.1977626750074222E-2</v>
      </c>
      <c r="E17" s="61">
        <f>1+B17+C17+D17</f>
        <v>2.0858939873748348</v>
      </c>
    </row>
    <row r="18" spans="1:7" ht="25.5" x14ac:dyDescent="0.25">
      <c r="A18" s="8" t="s">
        <v>21</v>
      </c>
      <c r="B18" s="9">
        <f>(D13*(B4^2/(B4^2-D14^2)))</f>
        <v>0.70444907199906837</v>
      </c>
      <c r="C18" s="9">
        <f>(E13*(B4^2/(B4^2-E14^2)))</f>
        <v>0.41695807615348346</v>
      </c>
      <c r="D18" s="9">
        <f>(F13*(B4^2/(B4^2-F14^2)))</f>
        <v>-2.1977004750594952E-2</v>
      </c>
      <c r="E18" s="61">
        <f>1+B18+C18+D18</f>
        <v>2.0994301434019569</v>
      </c>
    </row>
    <row r="19" spans="1:7" ht="22.5" x14ac:dyDescent="0.3">
      <c r="A19" s="43" t="s">
        <v>22</v>
      </c>
      <c r="B19" s="6" t="s">
        <v>23</v>
      </c>
      <c r="C19" s="10" t="s">
        <v>24</v>
      </c>
      <c r="D19" s="28" t="s">
        <v>25</v>
      </c>
      <c r="E19" s="8" t="s">
        <v>26</v>
      </c>
    </row>
    <row r="20" spans="1:7" ht="18.75" x14ac:dyDescent="0.25">
      <c r="A20" s="43"/>
      <c r="B20" s="54">
        <f>(2*PI()*(B22/2))/B4</f>
        <v>17.042626813591689</v>
      </c>
      <c r="C20" s="63">
        <f>E18-E17</f>
        <v>1.3536156027122104E-2</v>
      </c>
      <c r="D20" s="54">
        <f>SQRT(C20)</f>
        <v>0.11634498711642932</v>
      </c>
      <c r="E20" s="62">
        <f>B20*D20</f>
        <v>1.9828241970574378</v>
      </c>
    </row>
    <row r="22" spans="1:7" ht="38.25" customHeight="1" x14ac:dyDescent="0.25">
      <c r="A22" s="13" t="s">
        <v>30</v>
      </c>
      <c r="B22" s="12">
        <v>8.3000000000000007</v>
      </c>
      <c r="C22" s="12">
        <f>B22/2</f>
        <v>4.1500000000000004</v>
      </c>
    </row>
    <row r="23" spans="1:7" ht="31.5" customHeight="1" x14ac:dyDescent="0.25">
      <c r="A23" s="13" t="s">
        <v>35</v>
      </c>
      <c r="B23" s="12">
        <v>125</v>
      </c>
    </row>
    <row r="24" spans="1:7" ht="24" customHeight="1" x14ac:dyDescent="0.25">
      <c r="A24" s="13" t="s">
        <v>29</v>
      </c>
      <c r="B24" s="12">
        <v>160</v>
      </c>
    </row>
    <row r="25" spans="1:7" ht="15.75" x14ac:dyDescent="0.25">
      <c r="A25" s="13" t="s">
        <v>28</v>
      </c>
      <c r="B25" s="12">
        <v>80</v>
      </c>
    </row>
    <row r="26" spans="1:7" ht="35.25" customHeight="1" x14ac:dyDescent="0.25">
      <c r="A26" s="13" t="s">
        <v>31</v>
      </c>
      <c r="B26" s="12">
        <v>15</v>
      </c>
    </row>
    <row r="27" spans="1:7" ht="39.75" customHeight="1" x14ac:dyDescent="0.25">
      <c r="A27" s="13" t="s">
        <v>32</v>
      </c>
      <c r="B27" s="12">
        <v>2</v>
      </c>
    </row>
    <row r="28" spans="1:7" ht="24" customHeight="1" x14ac:dyDescent="0.25">
      <c r="A28" s="13" t="s">
        <v>33</v>
      </c>
      <c r="B28" s="12" t="s">
        <v>27</v>
      </c>
    </row>
    <row r="29" spans="1:7" ht="24.75" customHeight="1" x14ac:dyDescent="0.25">
      <c r="A29" s="13" t="s">
        <v>34</v>
      </c>
      <c r="B29" s="12">
        <v>622</v>
      </c>
    </row>
    <row r="31" spans="1:7" ht="15.75" x14ac:dyDescent="0.25">
      <c r="A31" s="49" t="s">
        <v>37</v>
      </c>
      <c r="B31" s="49"/>
      <c r="C31" s="49"/>
    </row>
    <row r="32" spans="1:7" x14ac:dyDescent="0.25">
      <c r="A32" s="14"/>
      <c r="B32" s="14"/>
      <c r="C32" s="14"/>
      <c r="D32" s="14"/>
      <c r="E32" s="14"/>
      <c r="F32" s="14"/>
      <c r="G32" s="14"/>
    </row>
    <row r="33" spans="1:9" ht="18.75" x14ac:dyDescent="0.25">
      <c r="A33" s="5" t="s">
        <v>18</v>
      </c>
      <c r="B33" s="15" t="s">
        <v>25</v>
      </c>
      <c r="C33" s="15" t="s">
        <v>38</v>
      </c>
      <c r="D33" s="14"/>
      <c r="E33" s="14"/>
      <c r="F33" s="14"/>
      <c r="G33" s="14"/>
    </row>
    <row r="34" spans="1:9" ht="18.75" x14ac:dyDescent="0.25">
      <c r="A34" s="1" t="s">
        <v>39</v>
      </c>
      <c r="B34" s="54">
        <f>SQRT(C20)</f>
        <v>0.11634498711642932</v>
      </c>
      <c r="C34" s="54">
        <f>G13*B36</f>
        <v>0.24425817298594402</v>
      </c>
      <c r="D34" s="14"/>
      <c r="E34" s="14"/>
      <c r="F34" s="14"/>
      <c r="G34" s="14"/>
    </row>
    <row r="35" spans="1:9" ht="18.75" x14ac:dyDescent="0.25">
      <c r="A35" s="1" t="s">
        <v>40</v>
      </c>
      <c r="B35" s="59">
        <f>(E18-E17)/ 2*E18</f>
        <v>1.4209106994566111E-2</v>
      </c>
      <c r="C35" s="60"/>
      <c r="D35" s="14"/>
      <c r="E35" s="14"/>
      <c r="F35" s="14"/>
      <c r="G35" s="14"/>
    </row>
    <row r="36" spans="1:9" ht="18.75" x14ac:dyDescent="0.25">
      <c r="A36" s="1" t="s">
        <v>41</v>
      </c>
      <c r="B36" s="59">
        <f>SQRT(2 *B35)</f>
        <v>0.16857702687238324</v>
      </c>
      <c r="C36" s="60"/>
      <c r="D36" s="14"/>
      <c r="E36" s="14"/>
      <c r="F36" s="14"/>
      <c r="G36" s="14"/>
    </row>
    <row r="38" spans="1:9" ht="18.75" x14ac:dyDescent="0.25">
      <c r="A38" s="40" t="s">
        <v>42</v>
      </c>
      <c r="B38" s="40"/>
      <c r="C38" s="40"/>
      <c r="D38" s="40"/>
      <c r="E38" s="40"/>
      <c r="F38" s="40"/>
      <c r="G38" s="40"/>
      <c r="H38" s="20"/>
      <c r="I38" s="20"/>
    </row>
    <row r="39" spans="1:9" ht="18.75" x14ac:dyDescent="0.25">
      <c r="A39" s="21"/>
      <c r="B39" s="21"/>
      <c r="C39" s="21"/>
      <c r="D39" s="21"/>
      <c r="E39" s="21"/>
      <c r="F39" s="21"/>
      <c r="G39" s="21"/>
    </row>
    <row r="40" spans="1:9" ht="18.75" x14ac:dyDescent="0.25">
      <c r="A40" s="1" t="s">
        <v>43</v>
      </c>
      <c r="B40" s="58">
        <f>B41+B42</f>
        <v>0.52227813386418842</v>
      </c>
      <c r="C40" s="23"/>
      <c r="D40" s="37" t="s">
        <v>75</v>
      </c>
      <c r="E40" s="37">
        <f>1.38*POWER(10,-23)</f>
        <v>1.3800000000000001E-23</v>
      </c>
      <c r="F40" s="14"/>
      <c r="G40" s="14"/>
    </row>
    <row r="41" spans="1:9" ht="18.75" x14ac:dyDescent="0.25">
      <c r="A41" s="1" t="s">
        <v>44</v>
      </c>
      <c r="B41" s="58">
        <f>B44+B45</f>
        <v>0.52226062934510198</v>
      </c>
      <c r="C41" s="23"/>
      <c r="D41" s="37" t="s">
        <v>76</v>
      </c>
      <c r="E41" s="37">
        <v>1500</v>
      </c>
      <c r="F41" s="14"/>
      <c r="G41" s="14"/>
    </row>
    <row r="42" spans="1:9" ht="18.75" x14ac:dyDescent="0.25">
      <c r="A42" s="1" t="s">
        <v>45</v>
      </c>
      <c r="B42" s="58">
        <f>B46+B47</f>
        <v>1.7504519086425262E-5</v>
      </c>
      <c r="C42" s="16"/>
      <c r="D42" s="38" t="s">
        <v>77</v>
      </c>
      <c r="E42" s="37">
        <f>8.1*POWER(10,-11)</f>
        <v>8.0999999999999992E-11</v>
      </c>
      <c r="F42" s="22"/>
      <c r="G42" s="16"/>
    </row>
    <row r="43" spans="1:9" ht="18.75" x14ac:dyDescent="0.25">
      <c r="A43" s="1" t="s">
        <v>43</v>
      </c>
      <c r="B43" s="58">
        <f>B44+B45+B46+B47</f>
        <v>0.52227813386418842</v>
      </c>
      <c r="C43" s="16"/>
      <c r="D43" s="22"/>
      <c r="E43" s="16"/>
      <c r="F43" s="22"/>
      <c r="G43" s="16"/>
    </row>
    <row r="44" spans="1:9" ht="18.75" x14ac:dyDescent="0.25">
      <c r="A44" s="1" t="s">
        <v>46</v>
      </c>
      <c r="B44" s="54">
        <f>8.69*((PI()*E18*10^9)/B4)*2.4*10^-12</f>
        <v>8.9906458038283371E-2</v>
      </c>
      <c r="C44" s="22"/>
      <c r="D44" s="22"/>
      <c r="E44" s="23"/>
      <c r="F44" s="23"/>
      <c r="G44" s="14"/>
    </row>
    <row r="45" spans="1:9" ht="18.75" x14ac:dyDescent="0.25">
      <c r="A45" s="1" t="s">
        <v>47</v>
      </c>
      <c r="B45" s="56">
        <f>4.34*(8*PI()^3)/(3*(B4*(10^-6)^4))*(E18-1)*E40*E41*E42*10^3</f>
        <v>0.43235417130681864</v>
      </c>
      <c r="C45" s="24"/>
      <c r="D45" s="24"/>
      <c r="E45" s="22"/>
      <c r="F45" s="24"/>
      <c r="G45" s="14"/>
    </row>
    <row r="46" spans="1:9" ht="18.75" x14ac:dyDescent="0.25">
      <c r="A46" s="1" t="s">
        <v>48</v>
      </c>
      <c r="B46" s="54">
        <f>(26*10^-3*C22)/(B35*160*(1+(80/PI()*160)^2))</f>
        <v>2.859001988712465E-9</v>
      </c>
      <c r="C46" s="23"/>
      <c r="D46" s="14"/>
      <c r="E46" s="14"/>
      <c r="F46" s="14"/>
      <c r="G46" s="14"/>
    </row>
    <row r="47" spans="1:9" ht="18.75" x14ac:dyDescent="0.25">
      <c r="A47" s="1" t="s">
        <v>49</v>
      </c>
      <c r="B47" s="54">
        <f>2*10^-4*((10*C22^4)/(B23^6*B35^3))*((B48^6)/(B4^4))</f>
        <v>1.750166008443655E-5</v>
      </c>
      <c r="C47" s="23"/>
      <c r="D47" s="14"/>
      <c r="E47" s="14"/>
      <c r="F47" s="14"/>
      <c r="G47" s="14"/>
    </row>
    <row r="48" spans="1:9" ht="18.75" x14ac:dyDescent="0.25">
      <c r="A48" s="25" t="s">
        <v>50</v>
      </c>
      <c r="B48" s="54">
        <f>(B22/2)*(0.65+1.61*(B49^(-1.5))+(2.879*(B49^(-6))))</f>
        <v>3.4777404725291339</v>
      </c>
      <c r="C48" s="23"/>
      <c r="D48" s="14"/>
      <c r="E48" s="14"/>
      <c r="F48" s="14"/>
      <c r="G48" s="14"/>
    </row>
    <row r="49" spans="1:7" ht="18.75" x14ac:dyDescent="0.25">
      <c r="A49" s="29" t="s">
        <v>26</v>
      </c>
      <c r="B49" s="57">
        <f>(12.97*(B22/2)*SQRT(B35))/B4</f>
        <v>4.1935327034518908</v>
      </c>
      <c r="C49" s="23"/>
      <c r="D49" s="14"/>
      <c r="E49" s="14"/>
      <c r="F49" s="14"/>
      <c r="G49" s="14"/>
    </row>
    <row r="50" spans="1:7" ht="15.75" x14ac:dyDescent="0.25">
      <c r="A50" s="33" t="s">
        <v>51</v>
      </c>
      <c r="B50" s="34"/>
      <c r="C50" s="35"/>
      <c r="D50" s="14"/>
      <c r="E50" s="14"/>
      <c r="F50" s="14"/>
      <c r="G50" s="14"/>
    </row>
    <row r="51" spans="1:7" ht="18.75" x14ac:dyDescent="0.25">
      <c r="A51" s="1" t="s">
        <v>52</v>
      </c>
      <c r="B51" s="55">
        <f>SUM(B44:B47)</f>
        <v>0.52227813386418842</v>
      </c>
      <c r="C51" s="23"/>
      <c r="D51" s="14"/>
      <c r="E51" s="14"/>
      <c r="F51" s="14"/>
      <c r="G51" s="14"/>
    </row>
    <row r="53" spans="1:7" ht="18.75" x14ac:dyDescent="0.25">
      <c r="A53" s="40" t="s">
        <v>58</v>
      </c>
      <c r="B53" s="40"/>
      <c r="C53" s="40"/>
      <c r="D53" s="40"/>
      <c r="E53" s="40"/>
      <c r="F53" s="40"/>
      <c r="G53" s="40"/>
    </row>
    <row r="54" spans="1:7" x14ac:dyDescent="0.25">
      <c r="C54" s="14"/>
      <c r="D54" s="14"/>
      <c r="E54" s="14"/>
      <c r="F54" s="14"/>
      <c r="G54" s="14"/>
    </row>
    <row r="55" spans="1:7" ht="19.5" x14ac:dyDescent="0.25">
      <c r="A55" s="30" t="s">
        <v>59</v>
      </c>
      <c r="B55" s="54">
        <f xml:space="preserve"> ABS(B56+B57)</f>
        <v>1.2217257644789998</v>
      </c>
      <c r="C55" s="14"/>
      <c r="D55" s="14"/>
      <c r="E55" s="14"/>
      <c r="F55" s="14"/>
      <c r="G55" s="14"/>
    </row>
    <row r="56" spans="1:7" ht="20.25" x14ac:dyDescent="0.25">
      <c r="A56" s="31" t="s">
        <v>60</v>
      </c>
      <c r="B56" s="54">
        <f>C3*B58</f>
        <v>-3.1434709328759998</v>
      </c>
      <c r="C56" s="14"/>
      <c r="D56" s="14"/>
      <c r="E56" s="14"/>
      <c r="F56" s="14"/>
      <c r="G56" s="14"/>
    </row>
    <row r="57" spans="1:7" ht="20.25" x14ac:dyDescent="0.25">
      <c r="A57" s="31" t="s">
        <v>61</v>
      </c>
      <c r="B57" s="54">
        <f>C3*B61</f>
        <v>4.3651966973549996</v>
      </c>
      <c r="C57" s="14"/>
      <c r="D57" s="14"/>
      <c r="E57" s="14"/>
      <c r="F57" s="14"/>
      <c r="G57" s="14"/>
    </row>
    <row r="58" spans="1:7" ht="19.5" x14ac:dyDescent="0.25">
      <c r="A58" s="30" t="s">
        <v>62</v>
      </c>
      <c r="B58" s="11">
        <f>-20.95647288584</f>
        <v>-20.95647288584</v>
      </c>
      <c r="C58" s="14"/>
      <c r="D58" s="14"/>
      <c r="E58" s="14"/>
      <c r="F58" s="14"/>
      <c r="G58" s="14"/>
    </row>
    <row r="59" spans="1:7" ht="19.5" x14ac:dyDescent="0.25">
      <c r="A59" s="30" t="s">
        <v>63</v>
      </c>
      <c r="B59" s="11">
        <f>300000</f>
        <v>300000</v>
      </c>
      <c r="C59" s="14"/>
      <c r="D59" s="14"/>
      <c r="E59" s="14"/>
      <c r="F59" s="14"/>
      <c r="G59" s="14"/>
    </row>
    <row r="60" spans="1:7" ht="19.5" x14ac:dyDescent="0.25">
      <c r="A60" s="30" t="s">
        <v>64</v>
      </c>
      <c r="B60" s="11">
        <f>-0.01201226732</f>
        <v>-1.2012267320000001E-2</v>
      </c>
      <c r="C60" s="14"/>
      <c r="D60" s="14"/>
      <c r="E60" s="14"/>
      <c r="F60" s="14"/>
      <c r="G60" s="14"/>
    </row>
    <row r="61" spans="1:7" ht="19.5" x14ac:dyDescent="0.25">
      <c r="A61" s="30" t="s">
        <v>65</v>
      </c>
      <c r="B61" s="11">
        <f>29.1013113157</f>
        <v>29.101311315699999</v>
      </c>
      <c r="C61" s="14"/>
      <c r="D61" s="14"/>
      <c r="E61" s="14"/>
      <c r="F61" s="14"/>
      <c r="G61" s="14"/>
    </row>
    <row r="62" spans="1:7" ht="19.5" x14ac:dyDescent="0.25">
      <c r="A62" s="30" t="s">
        <v>66</v>
      </c>
      <c r="B62" s="54">
        <f>(0.44/B55)*10^12</f>
        <v>360146288793.07977</v>
      </c>
    </row>
    <row r="64" spans="1:7" ht="18.75" x14ac:dyDescent="0.25">
      <c r="A64" s="40" t="s">
        <v>67</v>
      </c>
      <c r="B64" s="40"/>
      <c r="C64" s="40"/>
      <c r="D64" s="40"/>
      <c r="E64" s="40"/>
      <c r="F64" s="40"/>
      <c r="G64" s="40"/>
    </row>
    <row r="65" spans="1:7" x14ac:dyDescent="0.25">
      <c r="A65" s="14"/>
      <c r="B65" s="14"/>
      <c r="C65" s="14"/>
      <c r="D65" s="14"/>
      <c r="E65" s="14"/>
      <c r="F65" s="14"/>
      <c r="G65" s="14"/>
    </row>
    <row r="66" spans="1:7" ht="18.75" x14ac:dyDescent="0.25">
      <c r="A66" s="39" t="s">
        <v>68</v>
      </c>
      <c r="B66" s="39"/>
      <c r="C66" s="39"/>
      <c r="D66" s="39"/>
      <c r="E66" s="39"/>
      <c r="F66" s="39"/>
      <c r="G66" s="39"/>
    </row>
    <row r="67" spans="1:7" x14ac:dyDescent="0.25">
      <c r="A67" s="14"/>
      <c r="B67" s="14"/>
      <c r="C67" s="14"/>
      <c r="D67" s="14"/>
      <c r="E67" s="14"/>
      <c r="F67" s="14"/>
      <c r="G67" s="14"/>
    </row>
    <row r="68" spans="1:7" ht="21" x14ac:dyDescent="0.25">
      <c r="A68" s="30" t="s">
        <v>69</v>
      </c>
      <c r="B68" s="54">
        <f>D3-E3-2*H3-((B69/B27)-1)*G3-(B51*B69)-F3</f>
        <v>-43.139433523069997</v>
      </c>
      <c r="C68" s="14"/>
      <c r="D68" s="14"/>
      <c r="E68" s="14"/>
      <c r="F68" s="14"/>
      <c r="G68" s="14"/>
    </row>
    <row r="69" spans="1:7" x14ac:dyDescent="0.25">
      <c r="A69" s="32" t="s">
        <v>70</v>
      </c>
      <c r="B69" s="54">
        <f>((B70+G3-2*H3)/(G3+B51*B27))*B27</f>
        <v>95.610504662851241</v>
      </c>
      <c r="C69" s="14"/>
      <c r="D69" s="14"/>
      <c r="E69" s="14"/>
      <c r="F69" s="14"/>
      <c r="G69" s="14"/>
    </row>
    <row r="70" spans="1:7" ht="18.75" x14ac:dyDescent="0.25">
      <c r="A70" s="1" t="s">
        <v>71</v>
      </c>
      <c r="B70" s="11">
        <f>52.13943352307</f>
        <v>52.139433523069997</v>
      </c>
      <c r="C70" s="14"/>
      <c r="D70" s="14"/>
      <c r="E70" s="14"/>
      <c r="F70" s="14"/>
      <c r="G70" s="14"/>
    </row>
    <row r="72" spans="1:7" ht="18.75" x14ac:dyDescent="0.25">
      <c r="A72" s="39" t="s">
        <v>72</v>
      </c>
      <c r="B72" s="39"/>
      <c r="C72" s="39"/>
      <c r="D72" s="39"/>
      <c r="E72" s="39"/>
      <c r="F72" s="39"/>
      <c r="G72" s="39"/>
    </row>
    <row r="73" spans="1:7" x14ac:dyDescent="0.25">
      <c r="C73" s="14"/>
      <c r="D73" s="14"/>
      <c r="E73" s="14"/>
      <c r="F73" s="14"/>
      <c r="G73" s="14"/>
    </row>
    <row r="74" spans="1:7" x14ac:dyDescent="0.25">
      <c r="A74" s="32" t="s">
        <v>70</v>
      </c>
      <c r="B74" s="53">
        <f>0.25*10^6/B75*B55</f>
        <v>491.04733298995171</v>
      </c>
      <c r="C74" s="14"/>
      <c r="D74" s="14"/>
      <c r="E74" s="14"/>
      <c r="F74" s="14"/>
      <c r="G74" s="14"/>
    </row>
    <row r="75" spans="1:7" ht="18.75" x14ac:dyDescent="0.25">
      <c r="A75" s="1" t="s">
        <v>73</v>
      </c>
      <c r="B75" s="11">
        <v>622</v>
      </c>
    </row>
    <row r="77" spans="1:7" ht="15" customHeight="1" x14ac:dyDescent="0.25">
      <c r="A77" s="41" t="s">
        <v>78</v>
      </c>
      <c r="B77" s="41"/>
      <c r="C77" s="41"/>
      <c r="D77" s="41"/>
      <c r="E77" s="41"/>
    </row>
    <row r="78" spans="1:7" ht="15" customHeight="1" x14ac:dyDescent="0.25">
      <c r="A78" s="41"/>
      <c r="B78" s="41"/>
      <c r="C78" s="41"/>
      <c r="D78" s="41"/>
      <c r="E78" s="41"/>
    </row>
    <row r="79" spans="1:7" ht="15" customHeight="1" x14ac:dyDescent="0.25">
      <c r="A79" s="41"/>
      <c r="B79" s="41"/>
      <c r="C79" s="41"/>
      <c r="D79" s="41"/>
      <c r="E79" s="41"/>
    </row>
    <row r="80" spans="1:7" ht="15" customHeight="1" x14ac:dyDescent="0.25">
      <c r="A80" s="41"/>
      <c r="B80" s="41"/>
      <c r="C80" s="41"/>
      <c r="D80" s="41"/>
      <c r="E80" s="41"/>
    </row>
    <row r="81" spans="1:5" ht="15" customHeight="1" x14ac:dyDescent="0.25">
      <c r="A81" s="41"/>
      <c r="B81" s="41"/>
      <c r="C81" s="41"/>
      <c r="D81" s="41"/>
      <c r="E81" s="41"/>
    </row>
    <row r="82" spans="1:5" x14ac:dyDescent="0.25">
      <c r="A82" s="41"/>
      <c r="B82" s="41"/>
      <c r="C82" s="41"/>
      <c r="D82" s="41"/>
      <c r="E82" s="41"/>
    </row>
  </sheetData>
  <mergeCells count="30">
    <mergeCell ref="G13:G14"/>
    <mergeCell ref="B36:C36"/>
    <mergeCell ref="A31:C31"/>
    <mergeCell ref="C9:C10"/>
    <mergeCell ref="D9:F9"/>
    <mergeCell ref="G9:G10"/>
    <mergeCell ref="A11:A12"/>
    <mergeCell ref="B11:B12"/>
    <mergeCell ref="G11:G12"/>
    <mergeCell ref="A38:G38"/>
    <mergeCell ref="H1:H2"/>
    <mergeCell ref="A1:A2"/>
    <mergeCell ref="B1:B2"/>
    <mergeCell ref="C1:C2"/>
    <mergeCell ref="D1:D2"/>
    <mergeCell ref="E1:E2"/>
    <mergeCell ref="F1:F2"/>
    <mergeCell ref="G1:G2"/>
    <mergeCell ref="A19:A20"/>
    <mergeCell ref="A8:G8"/>
    <mergeCell ref="A9:A10"/>
    <mergeCell ref="B9:B10"/>
    <mergeCell ref="A7:G7"/>
    <mergeCell ref="B35:C35"/>
    <mergeCell ref="A13:A14"/>
    <mergeCell ref="A72:G72"/>
    <mergeCell ref="A53:G53"/>
    <mergeCell ref="A64:G64"/>
    <mergeCell ref="A66:G66"/>
    <mergeCell ref="A77:E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2023-11-17T11:51:43Z</dcterms:modified>
</cp:coreProperties>
</file>