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/Documents/NREL/reliability/"/>
    </mc:Choice>
  </mc:AlternateContent>
  <xr:revisionPtr revIDLastSave="0" documentId="13_ncr:1_{6431D33A-235A-5F46-8232-7F07FBC334F3}" xr6:coauthVersionLast="46" xr6:coauthVersionMax="46" xr10:uidLastSave="{00000000-0000-0000-0000-000000000000}"/>
  <bookViews>
    <workbookView xWindow="1420" yWindow="500" windowWidth="26300" windowHeight="16300" xr2:uid="{7832D00E-6882-DC45-BF21-C249F4E48CEB}"/>
  </bookViews>
  <sheets>
    <sheet name="Calcs" sheetId="1" r:id="rId1"/>
    <sheet name="Value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4" i="2"/>
  <c r="AJ29" i="1"/>
  <c r="B15" i="2"/>
  <c r="B13" i="2"/>
  <c r="B12" i="2"/>
  <c r="B11" i="2"/>
  <c r="B9" i="2"/>
  <c r="B8" i="2"/>
  <c r="B7" i="2"/>
  <c r="B6" i="2"/>
  <c r="B5" i="2"/>
  <c r="B4" i="2"/>
  <c r="B3" i="2"/>
  <c r="B2" i="2"/>
  <c r="B1" i="2"/>
  <c r="P30" i="1"/>
  <c r="P28" i="1"/>
  <c r="P26" i="1"/>
  <c r="P23" i="1"/>
  <c r="P16" i="1"/>
  <c r="P21" i="1"/>
  <c r="R18" i="1"/>
  <c r="P13" i="1"/>
  <c r="P10" i="1"/>
  <c r="AJ26" i="1"/>
  <c r="AJ21" i="1"/>
  <c r="AJ16" i="1"/>
  <c r="AJ10" i="1"/>
  <c r="N26" i="1"/>
  <c r="N24" i="1"/>
  <c r="N21" i="1"/>
  <c r="N19" i="1"/>
  <c r="N16" i="1"/>
  <c r="N13" i="1"/>
  <c r="N10" i="1"/>
  <c r="L26" i="1"/>
  <c r="J26" i="1"/>
  <c r="L24" i="1"/>
  <c r="L21" i="1"/>
  <c r="L19" i="1"/>
  <c r="J19" i="1"/>
  <c r="L16" i="1"/>
  <c r="L13" i="1"/>
  <c r="L10" i="1"/>
  <c r="AB22" i="1"/>
  <c r="AH30" i="1"/>
  <c r="AH28" i="1"/>
  <c r="AH23" i="1"/>
  <c r="AH18" i="1"/>
  <c r="AH16" i="1"/>
  <c r="AH10" i="1"/>
  <c r="AF26" i="1"/>
  <c r="AF21" i="1"/>
  <c r="AF16" i="1"/>
  <c r="AF10" i="1"/>
  <c r="AD26" i="1"/>
  <c r="AD21" i="1"/>
  <c r="AD16" i="1"/>
  <c r="AD10" i="1"/>
  <c r="AB6" i="1"/>
  <c r="AB17" i="1" s="1"/>
  <c r="AB34" i="1"/>
  <c r="AB32" i="1"/>
  <c r="AB27" i="1"/>
  <c r="AB19" i="1"/>
  <c r="AB14" i="1"/>
  <c r="AB10" i="1"/>
  <c r="B25" i="1"/>
  <c r="Z21" i="1"/>
  <c r="X21" i="1"/>
  <c r="Z7" i="1"/>
  <c r="AB7" i="1" s="1"/>
  <c r="AD7" i="1" s="1"/>
  <c r="Z30" i="1"/>
  <c r="Z28" i="1"/>
  <c r="Z26" i="1"/>
  <c r="Z23" i="1"/>
  <c r="Z18" i="1"/>
  <c r="Z16" i="1"/>
  <c r="Z13" i="1"/>
  <c r="Z10" i="1"/>
  <c r="X7" i="1"/>
  <c r="X26" i="1" s="1"/>
  <c r="X13" i="1"/>
  <c r="X10" i="1"/>
  <c r="X30" i="1"/>
  <c r="X28" i="1"/>
  <c r="X23" i="1"/>
  <c r="X16" i="1"/>
  <c r="T30" i="1"/>
  <c r="T28" i="1"/>
  <c r="T26" i="1"/>
  <c r="T23" i="1"/>
  <c r="T21" i="1"/>
  <c r="T18" i="1"/>
  <c r="T16" i="1"/>
  <c r="T13" i="1"/>
  <c r="T10" i="1"/>
  <c r="R30" i="1"/>
  <c r="R28" i="1"/>
  <c r="R26" i="1"/>
  <c r="R23" i="1"/>
  <c r="R21" i="1"/>
  <c r="R16" i="1"/>
  <c r="B17" i="1"/>
  <c r="H13" i="1"/>
  <c r="J13" i="1"/>
  <c r="R13" i="1"/>
  <c r="R10" i="1"/>
  <c r="F30" i="1"/>
  <c r="F28" i="1"/>
  <c r="F26" i="1"/>
  <c r="F23" i="1"/>
  <c r="F21" i="1"/>
  <c r="F18" i="1"/>
  <c r="F16" i="1"/>
  <c r="F13" i="1"/>
  <c r="F10" i="1"/>
  <c r="J24" i="1"/>
  <c r="J21" i="1"/>
  <c r="J16" i="1"/>
  <c r="J10" i="1"/>
  <c r="H26" i="1"/>
  <c r="H24" i="1"/>
  <c r="H21" i="1"/>
  <c r="H19" i="1"/>
  <c r="H16" i="1"/>
  <c r="H10" i="1"/>
  <c r="D30" i="1"/>
  <c r="D28" i="1"/>
  <c r="D26" i="1"/>
  <c r="D23" i="1"/>
  <c r="D21" i="1"/>
  <c r="D18" i="1"/>
  <c r="D16" i="1"/>
  <c r="D13" i="1"/>
  <c r="D10" i="1"/>
  <c r="B34" i="1"/>
  <c r="B32" i="1"/>
  <c r="B30" i="1"/>
  <c r="B27" i="1"/>
  <c r="B22" i="1"/>
  <c r="B19" i="1"/>
  <c r="B14" i="1"/>
  <c r="B10" i="1"/>
  <c r="L28" i="1" l="1"/>
  <c r="D32" i="1"/>
  <c r="D33" i="1" s="1"/>
  <c r="AB25" i="1"/>
  <c r="N28" i="1"/>
  <c r="AB30" i="1"/>
  <c r="R32" i="1"/>
  <c r="R33" i="1" s="1"/>
  <c r="AD6" i="1"/>
  <c r="AF7" i="1"/>
  <c r="AD24" i="1"/>
  <c r="H28" i="1"/>
  <c r="H29" i="1" s="1"/>
  <c r="F32" i="1"/>
  <c r="F33" i="1" s="1"/>
  <c r="T32" i="1"/>
  <c r="T33" i="1" s="1"/>
  <c r="P32" i="1"/>
  <c r="Z32" i="1"/>
  <c r="Z33" i="1" s="1"/>
  <c r="X32" i="1"/>
  <c r="X33" i="1" s="1"/>
  <c r="J28" i="1"/>
  <c r="J29" i="1" s="1"/>
  <c r="B36" i="1"/>
  <c r="D34" i="1" l="1"/>
  <c r="AB36" i="1"/>
  <c r="AB37" i="1" s="1"/>
  <c r="AF6" i="1"/>
  <c r="AD13" i="1"/>
  <c r="AD19" i="1"/>
  <c r="P33" i="1"/>
  <c r="P34" i="1"/>
  <c r="AH7" i="1"/>
  <c r="AF24" i="1"/>
  <c r="B37" i="1"/>
  <c r="AD28" i="1" l="1"/>
  <c r="AD29" i="1" s="1"/>
  <c r="AH26" i="1"/>
  <c r="AJ7" i="1"/>
  <c r="AJ24" i="1" s="1"/>
  <c r="AF13" i="1"/>
  <c r="AF28" i="1" s="1"/>
  <c r="AF29" i="1" s="1"/>
  <c r="AH6" i="1"/>
  <c r="AF19" i="1"/>
  <c r="AJ6" i="1" l="1"/>
  <c r="AH21" i="1"/>
  <c r="AH13" i="1"/>
  <c r="AH32" i="1" l="1"/>
  <c r="AH33" i="1" s="1"/>
  <c r="AJ13" i="1"/>
  <c r="AJ19" i="1"/>
  <c r="AJ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tc={2842E931-2AD5-A84E-803F-B07AEACE3D2A}</author>
  </authors>
  <commentList>
    <comment ref="X6" authorId="0" shapeId="0" xr:uid="{2842E931-2AD5-A84E-803F-B07AEACE3D2A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balancing circuits operate for 20% of operating hours, or 10% of calendar hours</t>
      </text>
    </comment>
  </commentList>
</comments>
</file>

<file path=xl/sharedStrings.xml><?xml version="1.0" encoding="utf-8"?>
<sst xmlns="http://schemas.openxmlformats.org/spreadsheetml/2006/main" count="540" uniqueCount="65">
  <si>
    <t>TAO</t>
  </si>
  <si>
    <t>TAE</t>
  </si>
  <si>
    <t>Rel humidity</t>
  </si>
  <si>
    <t>year of manufacture</t>
  </si>
  <si>
    <t>duty cycle</t>
  </si>
  <si>
    <t>cycling rate</t>
  </si>
  <si>
    <t>stress ratio</t>
  </si>
  <si>
    <t>β</t>
  </si>
  <si>
    <t>πG</t>
  </si>
  <si>
    <t>C</t>
  </si>
  <si>
    <t>C1</t>
  </si>
  <si>
    <t>CE</t>
  </si>
  <si>
    <t>πC</t>
  </si>
  <si>
    <t>λOB</t>
  </si>
  <si>
    <t>DC1op</t>
  </si>
  <si>
    <t>πDCO</t>
  </si>
  <si>
    <t>Εaop</t>
  </si>
  <si>
    <t>πTO</t>
  </si>
  <si>
    <t>πS</t>
  </si>
  <si>
    <t>S1</t>
  </si>
  <si>
    <t>n</t>
  </si>
  <si>
    <t>λEB</t>
  </si>
  <si>
    <t>DC1nonop</t>
  </si>
  <si>
    <t>πDCN</t>
  </si>
  <si>
    <t>Εanonop</t>
  </si>
  <si>
    <t>πTE</t>
  </si>
  <si>
    <t>λTCB</t>
  </si>
  <si>
    <t>CR1</t>
  </si>
  <si>
    <t>πCR</t>
  </si>
  <si>
    <t>DT1</t>
  </si>
  <si>
    <t>πDT</t>
  </si>
  <si>
    <t>λSJB</t>
  </si>
  <si>
    <t>πSJDT</t>
  </si>
  <si>
    <t>λIND</t>
  </si>
  <si>
    <t>λP</t>
  </si>
  <si>
    <t>Capacitor</t>
  </si>
  <si>
    <t>Diode, high-f, schottky</t>
  </si>
  <si>
    <t>ΤR</t>
  </si>
  <si>
    <t>Vs</t>
  </si>
  <si>
    <t>Ιnductor, general</t>
  </si>
  <si>
    <t>Τransformer,isolation</t>
  </si>
  <si>
    <t>Diode, low-f, Zener</t>
  </si>
  <si>
    <t>Τransistor, field effect, high-f</t>
  </si>
  <si>
    <t>Transistor, bipolar, low-f</t>
  </si>
  <si>
    <t>Resistor</t>
  </si>
  <si>
    <t>P</t>
  </si>
  <si>
    <t>πP</t>
  </si>
  <si>
    <t>Balancing circuit</t>
  </si>
  <si>
    <t>Transformer, power</t>
  </si>
  <si>
    <t>Transformer, RF</t>
  </si>
  <si>
    <t>lambdaC</t>
  </si>
  <si>
    <t>lambdaDiode_Schottky</t>
  </si>
  <si>
    <t>lambdaDiode_Zener</t>
  </si>
  <si>
    <t>lambdaL</t>
  </si>
  <si>
    <t>lambdaXfmr_RF</t>
  </si>
  <si>
    <t>lambdaXfmr_power_3p</t>
  </si>
  <si>
    <t>lambdaMosfet</t>
  </si>
  <si>
    <t>lambdaIgbt</t>
  </si>
  <si>
    <t>lambdaR</t>
  </si>
  <si>
    <t>lambdaMosfet_bal</t>
  </si>
  <si>
    <t>lambdaDiode_bal</t>
  </si>
  <si>
    <t>lambdaC_bal</t>
  </si>
  <si>
    <t>lambdaL_bal</t>
  </si>
  <si>
    <t>lambdaXfmr_RF_bal</t>
  </si>
  <si>
    <t>lambdaR_bal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</si>
</sst>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na Rossi-Conaway" id="{2F443F46-F71F-D14D-B7EC-25927055B793}" userId="S::rossi-conaway.a@northeastern.edu::73bf7853-892d-411e-a4f5-785152abc2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6" dT="2021-04-27T23:45:35.62" personId="{2F443F46-F71F-D14D-B7EC-25927055B793}" id="{2842E931-2AD5-A84E-803F-B07AEACE3D2A}">
    <text>assuming balancing circuits operate for 20% of operating hours, or 10% of calendar hours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B8FC-BBD4-C94B-8260-2E65D722EE22}">
  <dimension ref="A1:AJ37"/>
  <sheetViews>
    <sheetView tabSelected="1" topLeftCell="V1" workbookViewId="0">
      <selection activeCell="AB15" sqref="AB15"/>
    </sheetView>
  </sheetViews>
  <sheetFormatPr baseColWidth="10" defaultRowHeight="16" x14ac:dyDescent="0.2"/>
  <cols>
    <col min="1" max="1" width="18" bestFit="1" customWidth="1"/>
    <col min="2" max="2" width="12.1640625" bestFit="1" customWidth="1"/>
    <col min="3" max="3" width="19.5" bestFit="1" customWidth="1"/>
    <col min="4" max="4" width="12.1640625" bestFit="1" customWidth="1"/>
    <col min="5" max="5" width="18" bestFit="1" customWidth="1"/>
    <col min="7" max="7" width="15.1640625" bestFit="1" customWidth="1"/>
    <col min="8" max="8" width="12.1640625" bestFit="1" customWidth="1"/>
    <col min="9" max="9" width="18.83203125" bestFit="1" customWidth="1"/>
    <col min="11" max="11" width="17.6640625" bestFit="1" customWidth="1"/>
    <col min="13" max="13" width="18" bestFit="1" customWidth="1"/>
    <col min="15" max="15" width="25" bestFit="1" customWidth="1"/>
    <col min="16" max="16" width="12.1640625" bestFit="1" customWidth="1"/>
    <col min="17" max="17" width="21.6640625" bestFit="1" customWidth="1"/>
    <col min="22" max="22" width="15.33203125" bestFit="1" customWidth="1"/>
    <col min="23" max="23" width="25" bestFit="1" customWidth="1"/>
    <col min="24" max="24" width="12.1640625" bestFit="1" customWidth="1"/>
    <col min="31" max="31" width="18.83203125" style="3" bestFit="1" customWidth="1"/>
    <col min="32" max="32" width="10.83203125" style="3"/>
  </cols>
  <sheetData>
    <row r="1" spans="1:36" x14ac:dyDescent="0.2">
      <c r="A1" t="s">
        <v>35</v>
      </c>
      <c r="C1" t="s">
        <v>36</v>
      </c>
      <c r="E1" t="s">
        <v>41</v>
      </c>
      <c r="G1" t="s">
        <v>39</v>
      </c>
      <c r="I1" t="s">
        <v>40</v>
      </c>
      <c r="K1" t="s">
        <v>48</v>
      </c>
      <c r="M1" t="s">
        <v>49</v>
      </c>
      <c r="O1" t="s">
        <v>42</v>
      </c>
      <c r="Q1" t="s">
        <v>43</v>
      </c>
      <c r="S1" t="s">
        <v>44</v>
      </c>
      <c r="V1" t="s">
        <v>47</v>
      </c>
      <c r="W1" t="s">
        <v>42</v>
      </c>
      <c r="Y1" t="s">
        <v>36</v>
      </c>
      <c r="AA1" t="s">
        <v>35</v>
      </c>
      <c r="AC1" t="s">
        <v>39</v>
      </c>
      <c r="AE1" s="4" t="s">
        <v>40</v>
      </c>
      <c r="AF1" s="4"/>
      <c r="AG1" t="s">
        <v>44</v>
      </c>
      <c r="AI1" t="s">
        <v>49</v>
      </c>
    </row>
    <row r="2" spans="1:36" x14ac:dyDescent="0.2">
      <c r="A2" t="s">
        <v>0</v>
      </c>
      <c r="B2">
        <v>40</v>
      </c>
      <c r="C2" t="s">
        <v>0</v>
      </c>
      <c r="D2">
        <v>40</v>
      </c>
      <c r="E2" t="s">
        <v>0</v>
      </c>
      <c r="F2">
        <v>40</v>
      </c>
      <c r="G2" t="s">
        <v>0</v>
      </c>
      <c r="H2">
        <v>40</v>
      </c>
      <c r="I2" t="s">
        <v>0</v>
      </c>
      <c r="J2">
        <v>40</v>
      </c>
      <c r="K2" t="s">
        <v>0</v>
      </c>
      <c r="L2">
        <v>40</v>
      </c>
      <c r="M2" t="s">
        <v>0</v>
      </c>
      <c r="N2">
        <v>40</v>
      </c>
      <c r="O2" t="s">
        <v>0</v>
      </c>
      <c r="P2">
        <v>40</v>
      </c>
      <c r="Q2" t="s">
        <v>0</v>
      </c>
      <c r="R2">
        <v>40</v>
      </c>
      <c r="S2" t="s">
        <v>0</v>
      </c>
      <c r="T2">
        <v>40</v>
      </c>
      <c r="W2" t="s">
        <v>0</v>
      </c>
      <c r="X2">
        <v>40</v>
      </c>
      <c r="Y2" t="s">
        <v>0</v>
      </c>
      <c r="Z2">
        <v>40</v>
      </c>
      <c r="AA2" t="s">
        <v>0</v>
      </c>
      <c r="AB2">
        <v>40</v>
      </c>
      <c r="AC2" t="s">
        <v>0</v>
      </c>
      <c r="AD2">
        <v>40</v>
      </c>
      <c r="AE2" s="4" t="s">
        <v>0</v>
      </c>
      <c r="AF2" s="4">
        <v>40</v>
      </c>
      <c r="AG2" t="s">
        <v>0</v>
      </c>
      <c r="AH2">
        <v>40</v>
      </c>
      <c r="AI2" t="s">
        <v>0</v>
      </c>
      <c r="AJ2">
        <v>40</v>
      </c>
    </row>
    <row r="3" spans="1:36" x14ac:dyDescent="0.2">
      <c r="A3" t="s">
        <v>1</v>
      </c>
      <c r="B3">
        <v>14</v>
      </c>
      <c r="C3" t="s">
        <v>1</v>
      </c>
      <c r="D3">
        <v>14</v>
      </c>
      <c r="E3" t="s">
        <v>1</v>
      </c>
      <c r="F3">
        <v>14</v>
      </c>
      <c r="G3" t="s">
        <v>1</v>
      </c>
      <c r="H3">
        <v>14</v>
      </c>
      <c r="I3" t="s">
        <v>1</v>
      </c>
      <c r="J3">
        <v>14</v>
      </c>
      <c r="K3" t="s">
        <v>1</v>
      </c>
      <c r="L3">
        <v>14</v>
      </c>
      <c r="M3" t="s">
        <v>1</v>
      </c>
      <c r="N3">
        <v>14</v>
      </c>
      <c r="O3" t="s">
        <v>1</v>
      </c>
      <c r="P3">
        <v>14</v>
      </c>
      <c r="Q3" t="s">
        <v>1</v>
      </c>
      <c r="R3">
        <v>14</v>
      </c>
      <c r="S3" t="s">
        <v>1</v>
      </c>
      <c r="T3">
        <v>14</v>
      </c>
      <c r="W3" t="s">
        <v>1</v>
      </c>
      <c r="X3">
        <v>14</v>
      </c>
      <c r="Y3" t="s">
        <v>1</v>
      </c>
      <c r="Z3">
        <v>14</v>
      </c>
      <c r="AA3" t="s">
        <v>1</v>
      </c>
      <c r="AB3">
        <v>14</v>
      </c>
      <c r="AC3" t="s">
        <v>1</v>
      </c>
      <c r="AD3">
        <v>14</v>
      </c>
      <c r="AE3" s="4" t="s">
        <v>1</v>
      </c>
      <c r="AF3" s="4">
        <v>14</v>
      </c>
      <c r="AG3" t="s">
        <v>1</v>
      </c>
      <c r="AH3">
        <v>14</v>
      </c>
      <c r="AI3" t="s">
        <v>1</v>
      </c>
      <c r="AJ3">
        <v>14</v>
      </c>
    </row>
    <row r="4" spans="1:36" x14ac:dyDescent="0.2">
      <c r="A4" t="s">
        <v>2</v>
      </c>
      <c r="B4">
        <v>0.5</v>
      </c>
      <c r="C4" t="s">
        <v>2</v>
      </c>
      <c r="D4">
        <v>0.5</v>
      </c>
      <c r="E4" t="s">
        <v>2</v>
      </c>
      <c r="F4">
        <v>0.5</v>
      </c>
      <c r="G4" t="s">
        <v>2</v>
      </c>
      <c r="H4">
        <v>0.5</v>
      </c>
      <c r="I4" t="s">
        <v>2</v>
      </c>
      <c r="J4">
        <v>0.5</v>
      </c>
      <c r="K4" t="s">
        <v>2</v>
      </c>
      <c r="L4">
        <v>0.5</v>
      </c>
      <c r="M4" t="s">
        <v>2</v>
      </c>
      <c r="N4">
        <v>0.5</v>
      </c>
      <c r="O4" t="s">
        <v>2</v>
      </c>
      <c r="P4">
        <v>0.5</v>
      </c>
      <c r="Q4" t="s">
        <v>2</v>
      </c>
      <c r="R4">
        <v>0.5</v>
      </c>
      <c r="S4" t="s">
        <v>2</v>
      </c>
      <c r="T4">
        <v>0.5</v>
      </c>
      <c r="W4" t="s">
        <v>2</v>
      </c>
      <c r="X4">
        <v>0.5</v>
      </c>
      <c r="Y4" t="s">
        <v>2</v>
      </c>
      <c r="Z4">
        <v>0.5</v>
      </c>
      <c r="AA4" t="s">
        <v>2</v>
      </c>
      <c r="AB4">
        <v>0.5</v>
      </c>
      <c r="AC4" t="s">
        <v>2</v>
      </c>
      <c r="AD4">
        <v>0.5</v>
      </c>
      <c r="AE4" s="4" t="s">
        <v>2</v>
      </c>
      <c r="AF4" s="4">
        <v>0.5</v>
      </c>
      <c r="AG4" t="s">
        <v>2</v>
      </c>
      <c r="AH4">
        <v>0.5</v>
      </c>
      <c r="AI4" t="s">
        <v>2</v>
      </c>
      <c r="AJ4">
        <v>0.5</v>
      </c>
    </row>
    <row r="5" spans="1:36" x14ac:dyDescent="0.2">
      <c r="A5" t="s">
        <v>3</v>
      </c>
      <c r="B5">
        <v>2020</v>
      </c>
      <c r="C5" t="s">
        <v>3</v>
      </c>
      <c r="D5">
        <v>2020</v>
      </c>
      <c r="E5" t="s">
        <v>3</v>
      </c>
      <c r="F5">
        <v>2020</v>
      </c>
      <c r="G5" t="s">
        <v>3</v>
      </c>
      <c r="H5">
        <v>2020</v>
      </c>
      <c r="I5" t="s">
        <v>3</v>
      </c>
      <c r="J5">
        <v>2020</v>
      </c>
      <c r="K5" t="s">
        <v>3</v>
      </c>
      <c r="L5">
        <v>2020</v>
      </c>
      <c r="M5" t="s">
        <v>3</v>
      </c>
      <c r="N5">
        <v>2020</v>
      </c>
      <c r="O5" t="s">
        <v>3</v>
      </c>
      <c r="P5">
        <v>2020</v>
      </c>
      <c r="Q5" t="s">
        <v>3</v>
      </c>
      <c r="R5">
        <v>2020</v>
      </c>
      <c r="S5" t="s">
        <v>3</v>
      </c>
      <c r="T5">
        <v>2020</v>
      </c>
      <c r="W5" t="s">
        <v>3</v>
      </c>
      <c r="X5">
        <v>2020</v>
      </c>
      <c r="Y5" t="s">
        <v>3</v>
      </c>
      <c r="Z5">
        <v>2020</v>
      </c>
      <c r="AA5" t="s">
        <v>3</v>
      </c>
      <c r="AB5">
        <v>2020</v>
      </c>
      <c r="AC5" t="s">
        <v>3</v>
      </c>
      <c r="AD5">
        <v>2020</v>
      </c>
      <c r="AE5" s="4" t="s">
        <v>3</v>
      </c>
      <c r="AF5" s="4">
        <v>2020</v>
      </c>
      <c r="AG5" t="s">
        <v>3</v>
      </c>
      <c r="AH5">
        <v>2020</v>
      </c>
      <c r="AI5" t="s">
        <v>3</v>
      </c>
      <c r="AJ5">
        <v>2020</v>
      </c>
    </row>
    <row r="6" spans="1:36" x14ac:dyDescent="0.2">
      <c r="A6" t="s">
        <v>4</v>
      </c>
      <c r="B6">
        <v>0.5</v>
      </c>
      <c r="C6" t="s">
        <v>4</v>
      </c>
      <c r="D6">
        <v>0.5</v>
      </c>
      <c r="E6" t="s">
        <v>4</v>
      </c>
      <c r="F6">
        <v>0.5</v>
      </c>
      <c r="G6" t="s">
        <v>4</v>
      </c>
      <c r="H6">
        <v>0.5</v>
      </c>
      <c r="I6" t="s">
        <v>4</v>
      </c>
      <c r="J6">
        <v>0.5</v>
      </c>
      <c r="K6" t="s">
        <v>4</v>
      </c>
      <c r="L6">
        <v>0.5</v>
      </c>
      <c r="M6" t="s">
        <v>4</v>
      </c>
      <c r="N6">
        <v>0.5</v>
      </c>
      <c r="O6" t="s">
        <v>4</v>
      </c>
      <c r="P6">
        <v>0.5</v>
      </c>
      <c r="Q6" t="s">
        <v>4</v>
      </c>
      <c r="R6">
        <v>0.5</v>
      </c>
      <c r="S6" t="s">
        <v>4</v>
      </c>
      <c r="T6">
        <v>0.5</v>
      </c>
      <c r="W6" t="s">
        <v>4</v>
      </c>
      <c r="X6">
        <v>0.1</v>
      </c>
      <c r="Y6" t="s">
        <v>4</v>
      </c>
      <c r="Z6">
        <v>0.1</v>
      </c>
      <c r="AA6" t="s">
        <v>4</v>
      </c>
      <c r="AB6">
        <f>Z6</f>
        <v>0.1</v>
      </c>
      <c r="AC6" t="s">
        <v>4</v>
      </c>
      <c r="AD6">
        <f>AB6</f>
        <v>0.1</v>
      </c>
      <c r="AE6" s="4" t="s">
        <v>4</v>
      </c>
      <c r="AF6" s="4">
        <f>AD6</f>
        <v>0.1</v>
      </c>
      <c r="AG6" t="s">
        <v>4</v>
      </c>
      <c r="AH6">
        <f>AF6</f>
        <v>0.1</v>
      </c>
      <c r="AI6" t="s">
        <v>4</v>
      </c>
      <c r="AJ6">
        <f>AH6</f>
        <v>0.1</v>
      </c>
    </row>
    <row r="7" spans="1:36" x14ac:dyDescent="0.2">
      <c r="A7" t="s">
        <v>5</v>
      </c>
      <c r="B7">
        <v>365</v>
      </c>
      <c r="C7" t="s">
        <v>5</v>
      </c>
      <c r="D7">
        <v>365</v>
      </c>
      <c r="E7" t="s">
        <v>5</v>
      </c>
      <c r="F7">
        <v>365</v>
      </c>
      <c r="G7" t="s">
        <v>5</v>
      </c>
      <c r="H7">
        <v>365</v>
      </c>
      <c r="I7" t="s">
        <v>5</v>
      </c>
      <c r="J7">
        <v>365</v>
      </c>
      <c r="K7" t="s">
        <v>5</v>
      </c>
      <c r="L7">
        <v>365</v>
      </c>
      <c r="M7" t="s">
        <v>5</v>
      </c>
      <c r="N7">
        <v>365</v>
      </c>
      <c r="O7" t="s">
        <v>5</v>
      </c>
      <c r="P7">
        <v>365</v>
      </c>
      <c r="Q7" t="s">
        <v>5</v>
      </c>
      <c r="R7">
        <v>365</v>
      </c>
      <c r="S7" t="s">
        <v>5</v>
      </c>
      <c r="T7">
        <v>365</v>
      </c>
      <c r="W7" t="s">
        <v>5</v>
      </c>
      <c r="X7">
        <f>0.2*R7</f>
        <v>73</v>
      </c>
      <c r="Y7" t="s">
        <v>5</v>
      </c>
      <c r="Z7">
        <f>0.2*T7</f>
        <v>73</v>
      </c>
      <c r="AA7" t="s">
        <v>5</v>
      </c>
      <c r="AB7">
        <f>Z7</f>
        <v>73</v>
      </c>
      <c r="AC7" t="s">
        <v>5</v>
      </c>
      <c r="AD7">
        <f>AB7</f>
        <v>73</v>
      </c>
      <c r="AE7" s="4" t="s">
        <v>5</v>
      </c>
      <c r="AF7" s="4">
        <f>AD7</f>
        <v>73</v>
      </c>
      <c r="AG7" t="s">
        <v>5</v>
      </c>
      <c r="AH7">
        <f>AF7</f>
        <v>73</v>
      </c>
      <c r="AI7" t="s">
        <v>5</v>
      </c>
      <c r="AJ7">
        <f>AH7</f>
        <v>73</v>
      </c>
    </row>
    <row r="8" spans="1:36" x14ac:dyDescent="0.2">
      <c r="A8" t="s">
        <v>6</v>
      </c>
      <c r="B8">
        <v>0.5</v>
      </c>
      <c r="C8" t="s">
        <v>6</v>
      </c>
      <c r="D8">
        <v>0.5</v>
      </c>
      <c r="E8" t="s">
        <v>6</v>
      </c>
      <c r="F8">
        <v>0.5</v>
      </c>
      <c r="G8" t="s">
        <v>6</v>
      </c>
      <c r="H8">
        <v>0.5</v>
      </c>
      <c r="I8" t="s">
        <v>6</v>
      </c>
      <c r="J8">
        <v>0.5</v>
      </c>
      <c r="K8" t="s">
        <v>6</v>
      </c>
      <c r="L8">
        <v>0.5</v>
      </c>
      <c r="M8" t="s">
        <v>6</v>
      </c>
      <c r="N8">
        <v>0.5</v>
      </c>
      <c r="O8" t="s">
        <v>6</v>
      </c>
      <c r="P8">
        <v>0.5</v>
      </c>
      <c r="Q8" t="s">
        <v>6</v>
      </c>
      <c r="R8">
        <v>0.5</v>
      </c>
      <c r="S8" t="s">
        <v>6</v>
      </c>
      <c r="T8">
        <v>0.5</v>
      </c>
      <c r="W8" t="s">
        <v>6</v>
      </c>
      <c r="X8">
        <v>0.5</v>
      </c>
      <c r="Y8" t="s">
        <v>6</v>
      </c>
      <c r="Z8">
        <v>0.5</v>
      </c>
      <c r="AA8" t="s">
        <v>6</v>
      </c>
      <c r="AB8">
        <v>0.5</v>
      </c>
      <c r="AC8" t="s">
        <v>6</v>
      </c>
      <c r="AD8">
        <v>0.5</v>
      </c>
      <c r="AE8" s="4" t="s">
        <v>6</v>
      </c>
      <c r="AF8" s="4">
        <v>0.5</v>
      </c>
      <c r="AG8" t="s">
        <v>6</v>
      </c>
      <c r="AH8">
        <v>0.5</v>
      </c>
      <c r="AI8" t="s">
        <v>6</v>
      </c>
      <c r="AJ8">
        <v>0.5</v>
      </c>
    </row>
    <row r="9" spans="1:36" x14ac:dyDescent="0.2">
      <c r="A9" t="s">
        <v>7</v>
      </c>
      <c r="B9">
        <v>3.3000000000000002E-2</v>
      </c>
      <c r="C9" t="s">
        <v>7</v>
      </c>
      <c r="D9">
        <v>0.223</v>
      </c>
      <c r="E9" t="s">
        <v>7</v>
      </c>
      <c r="F9">
        <v>0.15</v>
      </c>
      <c r="G9" t="s">
        <v>7</v>
      </c>
      <c r="H9">
        <v>0</v>
      </c>
      <c r="I9" t="s">
        <v>7</v>
      </c>
      <c r="J9">
        <v>0</v>
      </c>
      <c r="K9" t="s">
        <v>7</v>
      </c>
      <c r="L9">
        <v>0</v>
      </c>
      <c r="M9" t="s">
        <v>7</v>
      </c>
      <c r="N9">
        <v>0</v>
      </c>
      <c r="O9" t="s">
        <v>7</v>
      </c>
      <c r="P9">
        <v>0.39700000000000002</v>
      </c>
      <c r="Q9" t="s">
        <v>7</v>
      </c>
      <c r="R9">
        <v>0.28100000000000003</v>
      </c>
      <c r="S9" t="s">
        <v>7</v>
      </c>
      <c r="T9">
        <v>0</v>
      </c>
      <c r="W9" t="s">
        <v>7</v>
      </c>
      <c r="X9">
        <v>0.39700000000000002</v>
      </c>
      <c r="Y9" t="s">
        <v>7</v>
      </c>
      <c r="Z9">
        <v>0.223</v>
      </c>
      <c r="AA9" t="s">
        <v>7</v>
      </c>
      <c r="AB9">
        <v>3.3000000000000002E-2</v>
      </c>
      <c r="AC9" t="s">
        <v>7</v>
      </c>
      <c r="AD9">
        <v>0</v>
      </c>
      <c r="AE9" s="4" t="s">
        <v>7</v>
      </c>
      <c r="AF9" s="4">
        <v>0</v>
      </c>
      <c r="AG9" t="s">
        <v>7</v>
      </c>
      <c r="AH9">
        <v>0</v>
      </c>
      <c r="AI9" t="s">
        <v>7</v>
      </c>
      <c r="AJ9">
        <v>0</v>
      </c>
    </row>
    <row r="10" spans="1:36" x14ac:dyDescent="0.2">
      <c r="A10" t="s">
        <v>8</v>
      </c>
      <c r="B10">
        <f>EXP(-B9*(B5-1993))</f>
        <v>0.41024530225904399</v>
      </c>
      <c r="C10" t="s">
        <v>8</v>
      </c>
      <c r="D10">
        <f>EXP(-D9*(D5-1993))</f>
        <v>2.427241139859526E-3</v>
      </c>
      <c r="E10" t="s">
        <v>8</v>
      </c>
      <c r="F10">
        <f>EXP(-F9*(F5-1993))</f>
        <v>1.7422374639493515E-2</v>
      </c>
      <c r="G10" t="s">
        <v>8</v>
      </c>
      <c r="H10">
        <f>EXP(-H9*(H5-1993))</f>
        <v>1</v>
      </c>
      <c r="I10" t="s">
        <v>8</v>
      </c>
      <c r="J10">
        <f>EXP(-J9*(J5-1993))</f>
        <v>1</v>
      </c>
      <c r="K10" t="s">
        <v>8</v>
      </c>
      <c r="L10">
        <f>EXP(-L9*(L5-1993))</f>
        <v>1</v>
      </c>
      <c r="M10" t="s">
        <v>8</v>
      </c>
      <c r="N10">
        <f>EXP(-N9*(N5-1993))</f>
        <v>1</v>
      </c>
      <c r="O10" t="s">
        <v>8</v>
      </c>
      <c r="P10">
        <f>EXP(-P9*(P5-1993))</f>
        <v>2.2120627803489172E-5</v>
      </c>
      <c r="Q10" t="s">
        <v>8</v>
      </c>
      <c r="R10">
        <f>EXP(-R9*(R5-1993))</f>
        <v>5.0699977406720709E-4</v>
      </c>
      <c r="S10" t="s">
        <v>8</v>
      </c>
      <c r="T10">
        <f>EXP(-T9*(T5-1993))</f>
        <v>1</v>
      </c>
      <c r="W10" t="s">
        <v>8</v>
      </c>
      <c r="X10">
        <f>EXP(-X9*(X5-1993))</f>
        <v>2.2120627803489172E-5</v>
      </c>
      <c r="Y10" t="s">
        <v>8</v>
      </c>
      <c r="Z10">
        <f>EXP(-Z9*(Z5-1993))</f>
        <v>2.427241139859526E-3</v>
      </c>
      <c r="AA10" t="s">
        <v>8</v>
      </c>
      <c r="AB10">
        <f>EXP(-AB9*(AB5-1993))</f>
        <v>0.41024530225904399</v>
      </c>
      <c r="AC10" t="s">
        <v>8</v>
      </c>
      <c r="AD10">
        <f>EXP(-AD9*(AD5-1993))</f>
        <v>1</v>
      </c>
      <c r="AE10" s="4" t="s">
        <v>8</v>
      </c>
      <c r="AF10" s="4">
        <f>EXP(-AF9*(AF5-1993))</f>
        <v>1</v>
      </c>
      <c r="AG10" t="s">
        <v>8</v>
      </c>
      <c r="AH10">
        <f>EXP(-AH9*(AH5-1993))</f>
        <v>1</v>
      </c>
      <c r="AI10" t="s">
        <v>8</v>
      </c>
      <c r="AJ10">
        <f>EXP(-AJ9*(AJ5-1993))</f>
        <v>1</v>
      </c>
    </row>
    <row r="11" spans="1:36" x14ac:dyDescent="0.2">
      <c r="A11" t="s">
        <v>9</v>
      </c>
      <c r="B11">
        <v>100</v>
      </c>
      <c r="C11" t="s">
        <v>13</v>
      </c>
      <c r="D11">
        <v>1.127E-4</v>
      </c>
      <c r="E11" t="s">
        <v>13</v>
      </c>
      <c r="F11">
        <v>4.102E-4</v>
      </c>
      <c r="G11" t="s">
        <v>13</v>
      </c>
      <c r="H11">
        <v>7.9999999999999996E-7</v>
      </c>
      <c r="I11" t="s">
        <v>13</v>
      </c>
      <c r="J11">
        <v>1.50145E-2</v>
      </c>
      <c r="K11" t="s">
        <v>13</v>
      </c>
      <c r="L11">
        <v>1.214E-4</v>
      </c>
      <c r="M11" t="s">
        <v>13</v>
      </c>
      <c r="N11">
        <v>9.1299999999999997E-5</v>
      </c>
      <c r="O11" t="s">
        <v>13</v>
      </c>
      <c r="P11">
        <v>1.049E-3</v>
      </c>
      <c r="Q11" t="s">
        <v>13</v>
      </c>
      <c r="R11">
        <v>2.3499999999999999E-4</v>
      </c>
      <c r="S11" t="s">
        <v>13</v>
      </c>
      <c r="T11">
        <v>4.99E-5</v>
      </c>
      <c r="W11" t="s">
        <v>13</v>
      </c>
      <c r="X11">
        <v>1.049E-3</v>
      </c>
      <c r="Y11" t="s">
        <v>13</v>
      </c>
      <c r="Z11">
        <v>1.127E-4</v>
      </c>
      <c r="AA11" t="s">
        <v>9</v>
      </c>
      <c r="AB11">
        <v>100</v>
      </c>
      <c r="AC11" t="s">
        <v>13</v>
      </c>
      <c r="AD11">
        <v>7.9999999999999996E-7</v>
      </c>
      <c r="AE11" s="4" t="s">
        <v>13</v>
      </c>
      <c r="AF11" s="4">
        <v>1.50145E-2</v>
      </c>
      <c r="AG11" t="s">
        <v>13</v>
      </c>
      <c r="AH11">
        <v>4.99E-5</v>
      </c>
      <c r="AI11" t="s">
        <v>13</v>
      </c>
      <c r="AJ11">
        <v>9.1299999999999997E-5</v>
      </c>
    </row>
    <row r="12" spans="1:36" x14ac:dyDescent="0.2">
      <c r="A12" t="s">
        <v>10</v>
      </c>
      <c r="B12">
        <v>0.1</v>
      </c>
      <c r="C12" t="s">
        <v>14</v>
      </c>
      <c r="D12">
        <v>0.23</v>
      </c>
      <c r="E12" t="s">
        <v>14</v>
      </c>
      <c r="F12">
        <v>0.23</v>
      </c>
      <c r="G12" t="s">
        <v>14</v>
      </c>
      <c r="H12">
        <v>0.4</v>
      </c>
      <c r="I12" t="s">
        <v>14</v>
      </c>
      <c r="J12">
        <v>0.38</v>
      </c>
      <c r="K12" t="s">
        <v>14</v>
      </c>
      <c r="L12">
        <v>0.38</v>
      </c>
      <c r="M12" t="s">
        <v>14</v>
      </c>
      <c r="N12">
        <v>0.38</v>
      </c>
      <c r="O12" t="s">
        <v>14</v>
      </c>
      <c r="P12">
        <v>0.23</v>
      </c>
      <c r="Q12" t="s">
        <v>14</v>
      </c>
      <c r="R12">
        <v>0.23</v>
      </c>
      <c r="S12" t="s">
        <v>14</v>
      </c>
      <c r="T12">
        <v>0.23</v>
      </c>
      <c r="W12" t="s">
        <v>14</v>
      </c>
      <c r="X12">
        <v>0.23</v>
      </c>
      <c r="Y12" t="s">
        <v>14</v>
      </c>
      <c r="Z12">
        <v>0.23</v>
      </c>
      <c r="AA12" t="s">
        <v>10</v>
      </c>
      <c r="AB12">
        <v>0.1</v>
      </c>
      <c r="AC12" t="s">
        <v>14</v>
      </c>
      <c r="AD12">
        <v>0.4</v>
      </c>
      <c r="AE12" s="4" t="s">
        <v>14</v>
      </c>
      <c r="AF12" s="4">
        <v>0.38</v>
      </c>
      <c r="AG12" t="s">
        <v>14</v>
      </c>
      <c r="AH12">
        <v>0.23</v>
      </c>
      <c r="AI12" t="s">
        <v>14</v>
      </c>
      <c r="AJ12">
        <v>0.38</v>
      </c>
    </row>
    <row r="13" spans="1:36" x14ac:dyDescent="0.2">
      <c r="A13" t="s">
        <v>11</v>
      </c>
      <c r="B13">
        <v>0.09</v>
      </c>
      <c r="C13" t="s">
        <v>15</v>
      </c>
      <c r="D13">
        <f>D6/D12</f>
        <v>2.1739130434782608</v>
      </c>
      <c r="E13" t="s">
        <v>15</v>
      </c>
      <c r="F13">
        <f>F6/F12</f>
        <v>2.1739130434782608</v>
      </c>
      <c r="G13" t="s">
        <v>15</v>
      </c>
      <c r="H13">
        <f>H6/H12</f>
        <v>1.25</v>
      </c>
      <c r="I13" t="s">
        <v>15</v>
      </c>
      <c r="J13">
        <f>J6/J12</f>
        <v>1.3157894736842106</v>
      </c>
      <c r="K13" t="s">
        <v>15</v>
      </c>
      <c r="L13">
        <f>L6/L12</f>
        <v>1.3157894736842106</v>
      </c>
      <c r="M13" t="s">
        <v>15</v>
      </c>
      <c r="N13">
        <f>N6/N12</f>
        <v>1.3157894736842106</v>
      </c>
      <c r="O13" t="s">
        <v>15</v>
      </c>
      <c r="P13">
        <f>P6/P12</f>
        <v>2.1739130434782608</v>
      </c>
      <c r="Q13" t="s">
        <v>15</v>
      </c>
      <c r="R13">
        <f>R6/R12</f>
        <v>2.1739130434782608</v>
      </c>
      <c r="S13" t="s">
        <v>15</v>
      </c>
      <c r="T13">
        <f>T6/T12</f>
        <v>2.1739130434782608</v>
      </c>
      <c r="W13" t="s">
        <v>15</v>
      </c>
      <c r="X13">
        <f>X6/X12</f>
        <v>0.43478260869565216</v>
      </c>
      <c r="Y13" t="s">
        <v>15</v>
      </c>
      <c r="Z13">
        <f>Z6/Z12</f>
        <v>0.43478260869565216</v>
      </c>
      <c r="AA13" t="s">
        <v>11</v>
      </c>
      <c r="AB13">
        <v>0.09</v>
      </c>
      <c r="AC13" t="s">
        <v>15</v>
      </c>
      <c r="AD13">
        <f>AD6/AD12</f>
        <v>0.25</v>
      </c>
      <c r="AE13" s="4" t="s">
        <v>15</v>
      </c>
      <c r="AF13" s="4">
        <f>AF6/AF12</f>
        <v>0.26315789473684209</v>
      </c>
      <c r="AG13" t="s">
        <v>15</v>
      </c>
      <c r="AH13">
        <f>AH6/AH12</f>
        <v>0.43478260869565216</v>
      </c>
      <c r="AI13" t="s">
        <v>15</v>
      </c>
      <c r="AJ13">
        <f>AJ6/AJ12</f>
        <v>0.26315789473684209</v>
      </c>
    </row>
    <row r="14" spans="1:36" x14ac:dyDescent="0.2">
      <c r="A14" t="s">
        <v>12</v>
      </c>
      <c r="B14">
        <f>(B11/B12)^B13</f>
        <v>1.8620871366628673</v>
      </c>
      <c r="C14" t="s">
        <v>16</v>
      </c>
      <c r="D14">
        <v>0.3</v>
      </c>
      <c r="E14" t="s">
        <v>16</v>
      </c>
      <c r="F14">
        <v>0.2</v>
      </c>
      <c r="G14" t="s">
        <v>16</v>
      </c>
      <c r="H14">
        <v>0.47</v>
      </c>
      <c r="I14" t="s">
        <v>16</v>
      </c>
      <c r="J14">
        <v>0.24</v>
      </c>
      <c r="K14" t="s">
        <v>16</v>
      </c>
      <c r="L14">
        <v>0.24</v>
      </c>
      <c r="M14" t="s">
        <v>16</v>
      </c>
      <c r="N14">
        <v>0.24</v>
      </c>
      <c r="O14" t="s">
        <v>16</v>
      </c>
      <c r="P14">
        <v>0.2</v>
      </c>
      <c r="Q14" t="s">
        <v>16</v>
      </c>
      <c r="R14">
        <v>0.2</v>
      </c>
      <c r="S14" t="s">
        <v>16</v>
      </c>
      <c r="T14">
        <v>0.2</v>
      </c>
      <c r="W14" t="s">
        <v>16</v>
      </c>
      <c r="X14">
        <v>0.2</v>
      </c>
      <c r="Y14" t="s">
        <v>16</v>
      </c>
      <c r="Z14">
        <v>0.3</v>
      </c>
      <c r="AA14" t="s">
        <v>12</v>
      </c>
      <c r="AB14">
        <f>(AB11/AB12)^AB13</f>
        <v>1.8620871366628673</v>
      </c>
      <c r="AC14" t="s">
        <v>16</v>
      </c>
      <c r="AD14">
        <v>0.47</v>
      </c>
      <c r="AE14" s="4" t="s">
        <v>16</v>
      </c>
      <c r="AF14" s="4">
        <v>0.24</v>
      </c>
      <c r="AG14" t="s">
        <v>16</v>
      </c>
      <c r="AH14">
        <v>0.2</v>
      </c>
      <c r="AI14" t="s">
        <v>16</v>
      </c>
      <c r="AJ14">
        <v>0.24</v>
      </c>
    </row>
    <row r="15" spans="1:36" x14ac:dyDescent="0.2">
      <c r="A15" t="s">
        <v>13</v>
      </c>
      <c r="B15">
        <v>6.3400000000000001E-4</v>
      </c>
      <c r="C15" t="s">
        <v>37</v>
      </c>
      <c r="D15">
        <v>60</v>
      </c>
      <c r="E15" t="s">
        <v>37</v>
      </c>
      <c r="F15">
        <v>60</v>
      </c>
      <c r="G15" t="s">
        <v>37</v>
      </c>
      <c r="H15">
        <v>0</v>
      </c>
      <c r="I15" t="s">
        <v>37</v>
      </c>
      <c r="J15">
        <v>10</v>
      </c>
      <c r="K15" t="s">
        <v>37</v>
      </c>
      <c r="L15">
        <v>10</v>
      </c>
      <c r="M15" t="s">
        <v>37</v>
      </c>
      <c r="N15">
        <v>10</v>
      </c>
      <c r="O15" t="s">
        <v>37</v>
      </c>
      <c r="P15">
        <v>60</v>
      </c>
      <c r="Q15" t="s">
        <v>37</v>
      </c>
      <c r="R15">
        <v>60</v>
      </c>
      <c r="S15" t="s">
        <v>37</v>
      </c>
      <c r="T15">
        <v>30</v>
      </c>
      <c r="W15" t="s">
        <v>37</v>
      </c>
      <c r="X15">
        <v>60</v>
      </c>
      <c r="Y15" t="s">
        <v>37</v>
      </c>
      <c r="Z15">
        <v>60</v>
      </c>
      <c r="AA15" t="s">
        <v>13</v>
      </c>
      <c r="AB15">
        <v>6.3400000000000001E-4</v>
      </c>
      <c r="AC15" t="s">
        <v>37</v>
      </c>
      <c r="AD15">
        <v>0</v>
      </c>
      <c r="AE15" s="4" t="s">
        <v>37</v>
      </c>
      <c r="AF15" s="4">
        <v>10</v>
      </c>
      <c r="AG15" t="s">
        <v>37</v>
      </c>
      <c r="AH15">
        <v>30</v>
      </c>
      <c r="AI15" t="s">
        <v>37</v>
      </c>
      <c r="AJ15">
        <v>10</v>
      </c>
    </row>
    <row r="16" spans="1:36" x14ac:dyDescent="0.2">
      <c r="A16" t="s">
        <v>14</v>
      </c>
      <c r="B16">
        <v>0.17</v>
      </c>
      <c r="C16" t="s">
        <v>17</v>
      </c>
      <c r="D16">
        <f>EXP(-D14/0.00008617*(1/(D2+D15+273)-1/298))</f>
        <v>10.476127007651691</v>
      </c>
      <c r="E16" t="s">
        <v>17</v>
      </c>
      <c r="F16">
        <f>EXP(-F14/0.00008617*(1/(F2+F15+273)-1/298))</f>
        <v>4.7877761461441652</v>
      </c>
      <c r="G16" t="s">
        <v>17</v>
      </c>
      <c r="H16">
        <f>EXP((-H14/0.00008617)*(1/(H2+H15+273)-1/298))</f>
        <v>2.4040314066929205</v>
      </c>
      <c r="I16" t="s">
        <v>17</v>
      </c>
      <c r="J16">
        <f>EXP((-J14/0.00008617)*(1/(J2+J15+273)-1/298))</f>
        <v>2.0614228462383903</v>
      </c>
      <c r="K16" t="s">
        <v>17</v>
      </c>
      <c r="L16">
        <f>EXP(-L14/0.00008617*(1/(L2+L15+273)-1/298))</f>
        <v>2.0614228462383903</v>
      </c>
      <c r="M16" t="s">
        <v>17</v>
      </c>
      <c r="N16">
        <f>EXP(-N14/0.00008617*(1/(N2+N15+273)-1/298))</f>
        <v>2.0614228462383903</v>
      </c>
      <c r="O16" t="s">
        <v>17</v>
      </c>
      <c r="P16">
        <f>EXP(-P14/0.00008617*(1/(P2+P15+273)-1/298))</f>
        <v>4.7877761461441652</v>
      </c>
      <c r="Q16" t="s">
        <v>17</v>
      </c>
      <c r="R16">
        <f>EXP(-R14/0.00008617*(1/(R2+R15+273)-1/298))</f>
        <v>4.7877761461441652</v>
      </c>
      <c r="S16" t="s">
        <v>17</v>
      </c>
      <c r="T16">
        <f>EXP(-T14/0.00008617*(1/(T2+T15+273)-1/298))</f>
        <v>2.7782572522109406</v>
      </c>
      <c r="W16" t="s">
        <v>17</v>
      </c>
      <c r="X16">
        <f>EXP(-X14/0.00008617*(1/(X2+X15+273)-1/298))</f>
        <v>4.7877761461441652</v>
      </c>
      <c r="Y16" t="s">
        <v>17</v>
      </c>
      <c r="Z16">
        <f>EXP(-Z14/0.00008617*(1/(Z2+Z15+273)-1/298))</f>
        <v>10.476127007651691</v>
      </c>
      <c r="AA16" t="s">
        <v>14</v>
      </c>
      <c r="AB16">
        <v>0.17</v>
      </c>
      <c r="AC16" t="s">
        <v>17</v>
      </c>
      <c r="AD16">
        <f>EXP((-AD14/0.00008617)*(1/(AD2+AD15+273)-1/298))</f>
        <v>2.4040314066929205</v>
      </c>
      <c r="AE16" s="4" t="s">
        <v>17</v>
      </c>
      <c r="AF16" s="4">
        <f>EXP((-AF14/0.00008617)*(1/(AF2+AF15+273)-1/298))</f>
        <v>2.0614228462383903</v>
      </c>
      <c r="AG16" t="s">
        <v>17</v>
      </c>
      <c r="AH16">
        <f>EXP(-AH14/0.00008617*(1/(AH2+AH15+273)-1/298))</f>
        <v>2.7782572522109406</v>
      </c>
      <c r="AI16" t="s">
        <v>17</v>
      </c>
      <c r="AJ16">
        <f>EXP(-AJ14/0.00008617*(1/(AJ2+AJ15+273)-1/298))</f>
        <v>2.0614228462383903</v>
      </c>
    </row>
    <row r="17" spans="1:36" x14ac:dyDescent="0.2">
      <c r="A17" t="s">
        <v>15</v>
      </c>
      <c r="B17">
        <f>B6/B16</f>
        <v>2.9411764705882351</v>
      </c>
      <c r="C17" t="s">
        <v>38</v>
      </c>
      <c r="D17">
        <v>0.28999999999999998</v>
      </c>
      <c r="E17" t="s">
        <v>38</v>
      </c>
      <c r="F17">
        <v>0.28999999999999998</v>
      </c>
      <c r="G17" t="s">
        <v>21</v>
      </c>
      <c r="H17">
        <v>1.7999999999999999E-6</v>
      </c>
      <c r="I17" t="s">
        <v>21</v>
      </c>
      <c r="J17">
        <v>8.5062999999999996E-3</v>
      </c>
      <c r="K17" t="s">
        <v>21</v>
      </c>
      <c r="L17">
        <v>1.4990000000000001E-4</v>
      </c>
      <c r="M17" t="s">
        <v>21</v>
      </c>
      <c r="N17">
        <v>4.1599999999999997E-4</v>
      </c>
      <c r="O17" t="s">
        <v>38</v>
      </c>
      <c r="Q17" t="s">
        <v>38</v>
      </c>
      <c r="R17">
        <v>0.5</v>
      </c>
      <c r="S17" t="s">
        <v>45</v>
      </c>
      <c r="T17" s="1">
        <v>0.28999999999999998</v>
      </c>
      <c r="W17" t="s">
        <v>38</v>
      </c>
      <c r="X17">
        <v>0.5</v>
      </c>
      <c r="Y17" t="s">
        <v>38</v>
      </c>
      <c r="Z17">
        <v>0.28999999999999998</v>
      </c>
      <c r="AA17" t="s">
        <v>15</v>
      </c>
      <c r="AB17">
        <f>AB6/AB16</f>
        <v>0.58823529411764708</v>
      </c>
      <c r="AC17" t="s">
        <v>21</v>
      </c>
      <c r="AD17">
        <v>1.7999999999999999E-6</v>
      </c>
      <c r="AE17" s="4" t="s">
        <v>21</v>
      </c>
      <c r="AF17" s="4">
        <v>8.5062999999999996E-3</v>
      </c>
      <c r="AG17" t="s">
        <v>45</v>
      </c>
      <c r="AH17" s="1">
        <v>0.28999999999999998</v>
      </c>
      <c r="AI17" t="s">
        <v>21</v>
      </c>
      <c r="AJ17">
        <v>4.1599999999999997E-4</v>
      </c>
    </row>
    <row r="18" spans="1:36" x14ac:dyDescent="0.2">
      <c r="A18" t="s">
        <v>16</v>
      </c>
      <c r="B18">
        <v>0.3</v>
      </c>
      <c r="C18" t="s">
        <v>18</v>
      </c>
      <c r="D18">
        <f>D17^2.43/0.185</f>
        <v>0.26696566317835924</v>
      </c>
      <c r="E18" t="s">
        <v>18</v>
      </c>
      <c r="F18">
        <f>F17^2.43/0.185</f>
        <v>0.26696566317835924</v>
      </c>
      <c r="G18" t="s">
        <v>22</v>
      </c>
      <c r="H18">
        <v>0.6</v>
      </c>
      <c r="I18" t="s">
        <v>22</v>
      </c>
      <c r="J18">
        <v>0.62</v>
      </c>
      <c r="K18" t="s">
        <v>22</v>
      </c>
      <c r="L18">
        <v>0.62</v>
      </c>
      <c r="M18" t="s">
        <v>22</v>
      </c>
      <c r="N18">
        <v>0.62</v>
      </c>
      <c r="O18" t="s">
        <v>18</v>
      </c>
      <c r="P18">
        <v>1</v>
      </c>
      <c r="Q18" t="s">
        <v>18</v>
      </c>
      <c r="R18">
        <f>0.21*EXP(0.31*R17)</f>
        <v>0.24520817183207624</v>
      </c>
      <c r="S18" t="s">
        <v>46</v>
      </c>
      <c r="T18">
        <f>(T17/0.29)^0.39</f>
        <v>1</v>
      </c>
      <c r="W18" t="s">
        <v>18</v>
      </c>
      <c r="X18">
        <v>1</v>
      </c>
      <c r="Y18" t="s">
        <v>18</v>
      </c>
      <c r="Z18">
        <f>Z17^2.43/0.185</f>
        <v>0.26696566317835924</v>
      </c>
      <c r="AA18" t="s">
        <v>16</v>
      </c>
      <c r="AB18">
        <v>0.3</v>
      </c>
      <c r="AC18" t="s">
        <v>22</v>
      </c>
      <c r="AD18">
        <v>0.6</v>
      </c>
      <c r="AE18" s="4" t="s">
        <v>22</v>
      </c>
      <c r="AF18" s="4">
        <v>0.62</v>
      </c>
      <c r="AG18" t="s">
        <v>46</v>
      </c>
      <c r="AH18">
        <f>(AH17/0.29)^0.39</f>
        <v>1</v>
      </c>
      <c r="AI18" t="s">
        <v>22</v>
      </c>
      <c r="AJ18">
        <v>0.62</v>
      </c>
    </row>
    <row r="19" spans="1:36" x14ac:dyDescent="0.2">
      <c r="A19" t="s">
        <v>17</v>
      </c>
      <c r="B19">
        <f>EXP(-(B18/0.00008617)*(1/(B2+273)-1/298))</f>
        <v>1.750464384826425</v>
      </c>
      <c r="C19" t="s">
        <v>21</v>
      </c>
      <c r="D19">
        <v>6.0800000000000003E-4</v>
      </c>
      <c r="E19" t="s">
        <v>21</v>
      </c>
      <c r="F19">
        <v>9.8799999999999995E-4</v>
      </c>
      <c r="G19" t="s">
        <v>23</v>
      </c>
      <c r="H19">
        <f>(1-H6)/H18</f>
        <v>0.83333333333333337</v>
      </c>
      <c r="I19" t="s">
        <v>23</v>
      </c>
      <c r="J19">
        <f>(1-J6)/J18</f>
        <v>0.80645161290322587</v>
      </c>
      <c r="K19" t="s">
        <v>23</v>
      </c>
      <c r="L19">
        <f>(1-L6)/L18</f>
        <v>0.80645161290322587</v>
      </c>
      <c r="M19" t="s">
        <v>23</v>
      </c>
      <c r="N19">
        <f>(1-N6)/N18</f>
        <v>0.80645161290322587</v>
      </c>
      <c r="O19" t="s">
        <v>21</v>
      </c>
      <c r="P19">
        <v>4.6739999999999998E-4</v>
      </c>
      <c r="Q19" t="s">
        <v>21</v>
      </c>
      <c r="R19">
        <v>1.6569999999999999E-4</v>
      </c>
      <c r="S19" t="s">
        <v>21</v>
      </c>
      <c r="T19">
        <v>4.5199999999999998E-4</v>
      </c>
      <c r="W19" t="s">
        <v>21</v>
      </c>
      <c r="X19">
        <v>4.6739999999999998E-4</v>
      </c>
      <c r="Y19" t="s">
        <v>21</v>
      </c>
      <c r="Z19">
        <v>6.0800000000000003E-4</v>
      </c>
      <c r="AA19" t="s">
        <v>17</v>
      </c>
      <c r="AB19">
        <f>EXP(-(AB18/0.00008617)*(1/(AB2+273)-1/298))</f>
        <v>1.750464384826425</v>
      </c>
      <c r="AC19" t="s">
        <v>23</v>
      </c>
      <c r="AD19">
        <f>(1-AD6)/AD18</f>
        <v>1.5</v>
      </c>
      <c r="AE19" s="4" t="s">
        <v>23</v>
      </c>
      <c r="AF19" s="4">
        <f>(1-AF6)/AF18</f>
        <v>1.4516129032258065</v>
      </c>
      <c r="AG19" t="s">
        <v>21</v>
      </c>
      <c r="AH19">
        <v>4.5199999999999998E-4</v>
      </c>
      <c r="AI19" t="s">
        <v>23</v>
      </c>
      <c r="AJ19">
        <f>(1-AJ6)/AJ18</f>
        <v>1.4516129032258065</v>
      </c>
    </row>
    <row r="20" spans="1:36" x14ac:dyDescent="0.2">
      <c r="A20" t="s">
        <v>19</v>
      </c>
      <c r="B20">
        <v>0.6</v>
      </c>
      <c r="C20" t="s">
        <v>22</v>
      </c>
      <c r="D20">
        <v>0.77</v>
      </c>
      <c r="E20" t="s">
        <v>22</v>
      </c>
      <c r="F20">
        <v>0.77</v>
      </c>
      <c r="G20" t="s">
        <v>24</v>
      </c>
      <c r="H20">
        <v>0.08</v>
      </c>
      <c r="I20" t="s">
        <v>24</v>
      </c>
      <c r="J20">
        <v>0.24</v>
      </c>
      <c r="K20" t="s">
        <v>24</v>
      </c>
      <c r="L20">
        <v>0.24</v>
      </c>
      <c r="M20" t="s">
        <v>24</v>
      </c>
      <c r="N20">
        <v>0.24</v>
      </c>
      <c r="O20" t="s">
        <v>22</v>
      </c>
      <c r="P20">
        <v>0.77</v>
      </c>
      <c r="Q20" t="s">
        <v>22</v>
      </c>
      <c r="R20">
        <v>0.77</v>
      </c>
      <c r="S20" t="s">
        <v>22</v>
      </c>
      <c r="T20">
        <v>0.77</v>
      </c>
      <c r="W20" t="s">
        <v>22</v>
      </c>
      <c r="X20">
        <v>0.77</v>
      </c>
      <c r="Y20" t="s">
        <v>22</v>
      </c>
      <c r="Z20">
        <v>0.77</v>
      </c>
      <c r="AA20" t="s">
        <v>19</v>
      </c>
      <c r="AB20">
        <v>0.6</v>
      </c>
      <c r="AC20" t="s">
        <v>24</v>
      </c>
      <c r="AD20">
        <v>0.08</v>
      </c>
      <c r="AE20" s="4" t="s">
        <v>24</v>
      </c>
      <c r="AF20" s="4">
        <v>0.24</v>
      </c>
      <c r="AG20" t="s">
        <v>22</v>
      </c>
      <c r="AH20">
        <v>0.77</v>
      </c>
      <c r="AI20" t="s">
        <v>24</v>
      </c>
      <c r="AJ20">
        <v>0.24</v>
      </c>
    </row>
    <row r="21" spans="1:36" x14ac:dyDescent="0.2">
      <c r="A21" t="s">
        <v>20</v>
      </c>
      <c r="B21">
        <v>7</v>
      </c>
      <c r="C21" t="s">
        <v>23</v>
      </c>
      <c r="D21">
        <f>(1-D6)/D20</f>
        <v>0.64935064935064934</v>
      </c>
      <c r="E21" t="s">
        <v>23</v>
      </c>
      <c r="F21">
        <f>(1-F6)/F20</f>
        <v>0.64935064935064934</v>
      </c>
      <c r="G21" t="s">
        <v>25</v>
      </c>
      <c r="H21">
        <f>EXP((-H20/0.00008617)*(1/(H3+273)-1/298))</f>
        <v>0.88744687049516813</v>
      </c>
      <c r="I21" t="s">
        <v>25</v>
      </c>
      <c r="J21">
        <f>EXP((-J20/0.00008617)*(1/(J3+273)-1/298))</f>
        <v>0.69891938603078596</v>
      </c>
      <c r="K21" t="s">
        <v>25</v>
      </c>
      <c r="L21">
        <f>EXP((-L20/0.00008617)*(1/(L3+273)-1/298))</f>
        <v>0.69891938603078596</v>
      </c>
      <c r="M21" t="s">
        <v>25</v>
      </c>
      <c r="N21">
        <f>EXP((-N20/0.00008617)*(1/(N3+273)-1/298))</f>
        <v>0.69891938603078596</v>
      </c>
      <c r="O21" t="s">
        <v>23</v>
      </c>
      <c r="P21">
        <f>(1-P6)/P20</f>
        <v>0.64935064935064934</v>
      </c>
      <c r="Q21" t="s">
        <v>23</v>
      </c>
      <c r="R21">
        <f>(1-R6)/R20</f>
        <v>0.64935064935064934</v>
      </c>
      <c r="S21" t="s">
        <v>23</v>
      </c>
      <c r="T21">
        <f>(1-T6)/T20</f>
        <v>0.64935064935064934</v>
      </c>
      <c r="W21" t="s">
        <v>23</v>
      </c>
      <c r="X21">
        <f>(1-X6)/X20</f>
        <v>1.1688311688311688</v>
      </c>
      <c r="Y21" t="s">
        <v>23</v>
      </c>
      <c r="Z21">
        <f>(1-Z6)/Z20</f>
        <v>1.1688311688311688</v>
      </c>
      <c r="AA21" t="s">
        <v>20</v>
      </c>
      <c r="AB21">
        <v>7</v>
      </c>
      <c r="AC21" t="s">
        <v>25</v>
      </c>
      <c r="AD21">
        <f>EXP((-AD20/0.00008617)*(1/(AD3+273)-1/298))</f>
        <v>0.88744687049516813</v>
      </c>
      <c r="AE21" s="4" t="s">
        <v>25</v>
      </c>
      <c r="AF21" s="4">
        <f>EXP((-AF20/0.00008617)*(1/(AF3+273)-1/298))</f>
        <v>0.69891938603078596</v>
      </c>
      <c r="AG21" t="s">
        <v>23</v>
      </c>
      <c r="AH21">
        <f>(1-AH6)/AH20</f>
        <v>1.1688311688311688</v>
      </c>
      <c r="AI21" t="s">
        <v>25</v>
      </c>
      <c r="AJ21">
        <f>EXP((-AJ20/0.00008617)*(1/(AJ3+273)-1/298))</f>
        <v>0.69891938603078596</v>
      </c>
    </row>
    <row r="22" spans="1:36" x14ac:dyDescent="0.2">
      <c r="A22" t="s">
        <v>18</v>
      </c>
      <c r="B22">
        <f>(B8/B20)^B21</f>
        <v>0.27908164723365353</v>
      </c>
      <c r="C22" t="s">
        <v>24</v>
      </c>
      <c r="D22">
        <v>0.4</v>
      </c>
      <c r="E22" t="s">
        <v>24</v>
      </c>
      <c r="F22">
        <v>0.3</v>
      </c>
      <c r="G22" t="s">
        <v>26</v>
      </c>
      <c r="H22">
        <v>2.9999999999999999E-7</v>
      </c>
      <c r="I22" t="s">
        <v>26</v>
      </c>
      <c r="J22">
        <v>8.7950000000000007E-3</v>
      </c>
      <c r="K22" t="s">
        <v>26</v>
      </c>
      <c r="L22">
        <v>5.1799999999999999E-5</v>
      </c>
      <c r="M22" t="s">
        <v>26</v>
      </c>
      <c r="N22">
        <v>1.022E-4</v>
      </c>
      <c r="O22" t="s">
        <v>24</v>
      </c>
      <c r="P22">
        <v>0.3</v>
      </c>
      <c r="Q22" t="s">
        <v>24</v>
      </c>
      <c r="R22">
        <v>0.3</v>
      </c>
      <c r="S22" t="s">
        <v>24</v>
      </c>
      <c r="T22">
        <v>0.2</v>
      </c>
      <c r="W22" t="s">
        <v>24</v>
      </c>
      <c r="X22">
        <v>0.3</v>
      </c>
      <c r="Y22" t="s">
        <v>24</v>
      </c>
      <c r="Z22">
        <v>0.4</v>
      </c>
      <c r="AA22" t="s">
        <v>18</v>
      </c>
      <c r="AB22">
        <f>(AB8/AB20)^AB21</f>
        <v>0.27908164723365353</v>
      </c>
      <c r="AC22" t="s">
        <v>26</v>
      </c>
      <c r="AD22">
        <v>2.9999999999999999E-7</v>
      </c>
      <c r="AE22" s="4" t="s">
        <v>26</v>
      </c>
      <c r="AF22" s="4">
        <v>8.7950000000000007E-3</v>
      </c>
      <c r="AG22" t="s">
        <v>24</v>
      </c>
      <c r="AH22">
        <v>0.2</v>
      </c>
      <c r="AI22" t="s">
        <v>26</v>
      </c>
      <c r="AJ22">
        <v>1.022E-4</v>
      </c>
    </row>
    <row r="23" spans="1:36" x14ac:dyDescent="0.2">
      <c r="A23" t="s">
        <v>21</v>
      </c>
      <c r="B23">
        <v>3.5100000000000002E-4</v>
      </c>
      <c r="C23" t="s">
        <v>25</v>
      </c>
      <c r="D23">
        <f>EXP(-D22/0.00008617*(1/(D3+273)-1/298))</f>
        <v>0.55044231312358938</v>
      </c>
      <c r="E23" t="s">
        <v>25</v>
      </c>
      <c r="F23">
        <f>EXP(-F22/0.00008617*(1/(F3+273)-1/298))</f>
        <v>0.63904855683312856</v>
      </c>
      <c r="G23" t="s">
        <v>27</v>
      </c>
      <c r="H23">
        <v>413</v>
      </c>
      <c r="I23" t="s">
        <v>27</v>
      </c>
      <c r="J23">
        <v>312</v>
      </c>
      <c r="K23" t="s">
        <v>27</v>
      </c>
      <c r="L23">
        <v>312</v>
      </c>
      <c r="M23" t="s">
        <v>27</v>
      </c>
      <c r="N23">
        <v>312</v>
      </c>
      <c r="O23" t="s">
        <v>25</v>
      </c>
      <c r="P23">
        <f>EXP(-P22/0.00008617*(1/(P3+273)-1/298))</f>
        <v>0.63904855683312856</v>
      </c>
      <c r="Q23" t="s">
        <v>25</v>
      </c>
      <c r="R23">
        <f>EXP(-R22/0.00008617*(1/(R3+273)-1/298))</f>
        <v>0.63904855683312856</v>
      </c>
      <c r="S23" t="s">
        <v>25</v>
      </c>
      <c r="T23">
        <f>EXP(-T22/0.00008617*(1/(T3+273)-1/298))</f>
        <v>0.7419179962257213</v>
      </c>
      <c r="W23" t="s">
        <v>25</v>
      </c>
      <c r="X23">
        <f>EXP(-X22/0.00008617*(1/(X3+273)-1/298))</f>
        <v>0.63904855683312856</v>
      </c>
      <c r="Y23" t="s">
        <v>25</v>
      </c>
      <c r="Z23">
        <f>EXP(-Z22/0.00008617*(1/(Z3+273)-1/298))</f>
        <v>0.55044231312358938</v>
      </c>
      <c r="AA23" t="s">
        <v>21</v>
      </c>
      <c r="AB23">
        <v>3.5100000000000002E-4</v>
      </c>
      <c r="AC23" t="s">
        <v>27</v>
      </c>
      <c r="AD23">
        <v>413</v>
      </c>
      <c r="AE23" s="4" t="s">
        <v>27</v>
      </c>
      <c r="AF23" s="4">
        <v>312</v>
      </c>
      <c r="AG23" t="s">
        <v>25</v>
      </c>
      <c r="AH23">
        <f>EXP(-AH22/0.00008617*(1/(AH3+273)-1/298))</f>
        <v>0.7419179962257213</v>
      </c>
      <c r="AI23" t="s">
        <v>27</v>
      </c>
      <c r="AJ23">
        <v>312</v>
      </c>
    </row>
    <row r="24" spans="1:36" x14ac:dyDescent="0.2">
      <c r="A24" t="s">
        <v>22</v>
      </c>
      <c r="B24">
        <v>0.83</v>
      </c>
      <c r="C24" t="s">
        <v>26</v>
      </c>
      <c r="D24">
        <v>7.3999999999999999E-4</v>
      </c>
      <c r="E24" t="s">
        <v>26</v>
      </c>
      <c r="F24">
        <v>3.1999999999999999E-5</v>
      </c>
      <c r="G24" t="s">
        <v>28</v>
      </c>
      <c r="H24">
        <f>H7/H23</f>
        <v>0.88377723970944311</v>
      </c>
      <c r="I24" t="s">
        <v>28</v>
      </c>
      <c r="J24">
        <f>J7/J23</f>
        <v>1.1698717948717949</v>
      </c>
      <c r="K24" t="s">
        <v>28</v>
      </c>
      <c r="L24">
        <f>L7/L23</f>
        <v>1.1698717948717949</v>
      </c>
      <c r="M24" t="s">
        <v>28</v>
      </c>
      <c r="N24">
        <f>N7/N23</f>
        <v>1.1698717948717949</v>
      </c>
      <c r="O24" t="s">
        <v>26</v>
      </c>
      <c r="P24">
        <v>2.2499999999999999E-4</v>
      </c>
      <c r="Q24" t="s">
        <v>26</v>
      </c>
      <c r="R24">
        <v>1.6000000000000001E-4</v>
      </c>
      <c r="S24" t="s">
        <v>26</v>
      </c>
      <c r="T24">
        <v>1.4219999999999999E-4</v>
      </c>
      <c r="W24" t="s">
        <v>26</v>
      </c>
      <c r="X24">
        <v>2.2499999999999999E-4</v>
      </c>
      <c r="Y24" t="s">
        <v>26</v>
      </c>
      <c r="Z24">
        <v>7.3999999999999999E-4</v>
      </c>
      <c r="AA24" t="s">
        <v>22</v>
      </c>
      <c r="AB24">
        <v>0.83</v>
      </c>
      <c r="AC24" t="s">
        <v>28</v>
      </c>
      <c r="AD24">
        <f>AD7/AD23</f>
        <v>0.17675544794188863</v>
      </c>
      <c r="AE24" s="4" t="s">
        <v>28</v>
      </c>
      <c r="AF24" s="4">
        <f>AF7/AF23</f>
        <v>0.23397435897435898</v>
      </c>
      <c r="AG24" t="s">
        <v>26</v>
      </c>
      <c r="AH24">
        <v>1.4219999999999999E-4</v>
      </c>
      <c r="AI24" t="s">
        <v>28</v>
      </c>
      <c r="AJ24">
        <f>AJ7/AJ23</f>
        <v>0.23397435897435898</v>
      </c>
    </row>
    <row r="25" spans="1:36" x14ac:dyDescent="0.2">
      <c r="A25" t="s">
        <v>23</v>
      </c>
      <c r="B25">
        <f>(1-B6)/B24</f>
        <v>0.60240963855421692</v>
      </c>
      <c r="C25" t="s">
        <v>27</v>
      </c>
      <c r="D25">
        <v>736.84</v>
      </c>
      <c r="E25" t="s">
        <v>27</v>
      </c>
      <c r="F25">
        <v>736.82</v>
      </c>
      <c r="G25" t="s">
        <v>29</v>
      </c>
      <c r="H25">
        <v>8.94</v>
      </c>
      <c r="I25" t="s">
        <v>29</v>
      </c>
      <c r="J25">
        <v>21.94</v>
      </c>
      <c r="K25" t="s">
        <v>29</v>
      </c>
      <c r="L25">
        <v>21.94</v>
      </c>
      <c r="M25" t="s">
        <v>29</v>
      </c>
      <c r="N25">
        <v>21.94</v>
      </c>
      <c r="O25" t="s">
        <v>27</v>
      </c>
      <c r="P25">
        <v>754.38</v>
      </c>
      <c r="Q25" t="s">
        <v>27</v>
      </c>
      <c r="R25">
        <v>754.38</v>
      </c>
      <c r="S25" t="s">
        <v>27</v>
      </c>
      <c r="T25">
        <v>1140.3499999999999</v>
      </c>
      <c r="W25" t="s">
        <v>27</v>
      </c>
      <c r="X25">
        <v>754.38</v>
      </c>
      <c r="Y25" t="s">
        <v>27</v>
      </c>
      <c r="Z25">
        <v>736.84</v>
      </c>
      <c r="AA25" t="s">
        <v>23</v>
      </c>
      <c r="AB25">
        <f>(1-AB6)/AB24</f>
        <v>1.0843373493975905</v>
      </c>
      <c r="AC25" t="s">
        <v>29</v>
      </c>
      <c r="AD25">
        <v>8.94</v>
      </c>
      <c r="AE25" s="4" t="s">
        <v>29</v>
      </c>
      <c r="AF25" s="4">
        <v>21.94</v>
      </c>
      <c r="AG25" t="s">
        <v>27</v>
      </c>
      <c r="AH25">
        <v>1140.3499999999999</v>
      </c>
      <c r="AI25" t="s">
        <v>29</v>
      </c>
      <c r="AJ25">
        <v>21.94</v>
      </c>
    </row>
    <row r="26" spans="1:36" x14ac:dyDescent="0.2">
      <c r="A26" t="s">
        <v>24</v>
      </c>
      <c r="B26">
        <v>0.3</v>
      </c>
      <c r="C26" t="s">
        <v>28</v>
      </c>
      <c r="D26">
        <f>D7/D25</f>
        <v>0.495358558167309</v>
      </c>
      <c r="E26" t="s">
        <v>28</v>
      </c>
      <c r="F26">
        <f>F7/F25</f>
        <v>0.49537200401726333</v>
      </c>
      <c r="G26" t="s">
        <v>30</v>
      </c>
      <c r="H26">
        <f>((H2+H15-H3)/H25)^2</f>
        <v>8.458077463978098</v>
      </c>
      <c r="I26" t="s">
        <v>30</v>
      </c>
      <c r="J26">
        <f>((J2+J15-J3)/J25)^2</f>
        <v>2.6923514781757487</v>
      </c>
      <c r="K26" t="s">
        <v>30</v>
      </c>
      <c r="L26">
        <f>((L2+L15-L3)/L25)^2</f>
        <v>2.6923514781757487</v>
      </c>
      <c r="M26" t="s">
        <v>30</v>
      </c>
      <c r="N26">
        <f>((N2+N15-N3)/N25)^2</f>
        <v>2.6923514781757487</v>
      </c>
      <c r="O26" t="s">
        <v>28</v>
      </c>
      <c r="P26">
        <f>P7/P25</f>
        <v>0.48384103502213738</v>
      </c>
      <c r="Q26" t="s">
        <v>28</v>
      </c>
      <c r="R26">
        <f>R7/R25</f>
        <v>0.48384103502213738</v>
      </c>
      <c r="S26" t="s">
        <v>28</v>
      </c>
      <c r="T26">
        <f>T7/T25</f>
        <v>0.32007716929013025</v>
      </c>
      <c r="W26" t="s">
        <v>28</v>
      </c>
      <c r="X26">
        <f>X7/X25</f>
        <v>9.6768207004427481E-2</v>
      </c>
      <c r="Y26" t="s">
        <v>28</v>
      </c>
      <c r="Z26">
        <f>Z7/Z25</f>
        <v>9.9071711633461804E-2</v>
      </c>
      <c r="AA26" t="s">
        <v>24</v>
      </c>
      <c r="AB26">
        <v>0.3</v>
      </c>
      <c r="AC26" t="s">
        <v>30</v>
      </c>
      <c r="AD26">
        <f>((AD2+AD15-AD3)/AD25)^2</f>
        <v>8.458077463978098</v>
      </c>
      <c r="AE26" s="4" t="s">
        <v>30</v>
      </c>
      <c r="AF26" s="4">
        <f>((AF2+AF15-AF3)/AF25)^2</f>
        <v>2.6923514781757487</v>
      </c>
      <c r="AG26" t="s">
        <v>28</v>
      </c>
      <c r="AH26">
        <f>AH7/AH25</f>
        <v>6.401543385802605E-2</v>
      </c>
      <c r="AI26" t="s">
        <v>30</v>
      </c>
      <c r="AJ26">
        <f>((AJ2+AJ15-AJ3)/AJ25)^2</f>
        <v>2.6923514781757487</v>
      </c>
    </row>
    <row r="27" spans="1:36" x14ac:dyDescent="0.2">
      <c r="A27" t="s">
        <v>25</v>
      </c>
      <c r="B27">
        <f>EXP(-B26/0.00008617*(1/(B3+273)-1/298))</f>
        <v>0.63904855683312856</v>
      </c>
      <c r="C27" t="s">
        <v>29</v>
      </c>
      <c r="D27">
        <v>80</v>
      </c>
      <c r="E27" t="s">
        <v>29</v>
      </c>
      <c r="F27">
        <v>80</v>
      </c>
      <c r="G27" t="s">
        <v>33</v>
      </c>
      <c r="H27">
        <v>1.9999999999999999E-7</v>
      </c>
      <c r="I27" t="s">
        <v>33</v>
      </c>
      <c r="J27">
        <v>8.4979999999999995E-4</v>
      </c>
      <c r="K27" t="s">
        <v>33</v>
      </c>
      <c r="L27">
        <v>3.8600000000000003E-5</v>
      </c>
      <c r="M27" t="s">
        <v>33</v>
      </c>
      <c r="N27">
        <v>1.8199999999999999E-5</v>
      </c>
      <c r="O27" t="s">
        <v>29</v>
      </c>
      <c r="P27">
        <v>80</v>
      </c>
      <c r="Q27" t="s">
        <v>29</v>
      </c>
      <c r="R27">
        <v>80</v>
      </c>
      <c r="S27" t="s">
        <v>29</v>
      </c>
      <c r="T27">
        <v>86</v>
      </c>
      <c r="W27" t="s">
        <v>29</v>
      </c>
      <c r="X27">
        <v>80</v>
      </c>
      <c r="Y27" t="s">
        <v>29</v>
      </c>
      <c r="Z27">
        <v>80</v>
      </c>
      <c r="AA27" t="s">
        <v>25</v>
      </c>
      <c r="AB27">
        <f>EXP(-AB26/0.00008617*(1/(AB3+273)-1/298))</f>
        <v>0.63904855683312856</v>
      </c>
      <c r="AC27" t="s">
        <v>33</v>
      </c>
      <c r="AD27">
        <v>1.9999999999999999E-7</v>
      </c>
      <c r="AE27" s="4" t="s">
        <v>33</v>
      </c>
      <c r="AF27" s="4">
        <v>8.4979999999999995E-4</v>
      </c>
      <c r="AG27" t="s">
        <v>29</v>
      </c>
      <c r="AH27">
        <v>86</v>
      </c>
      <c r="AI27" t="s">
        <v>33</v>
      </c>
      <c r="AJ27">
        <v>1.8199999999999999E-5</v>
      </c>
    </row>
    <row r="28" spans="1:36" x14ac:dyDescent="0.2">
      <c r="A28" t="s">
        <v>26</v>
      </c>
      <c r="B28">
        <v>8.2999999999999998E-5</v>
      </c>
      <c r="C28" t="s">
        <v>30</v>
      </c>
      <c r="D28">
        <f>((D2+D15-D3)/D27)^2</f>
        <v>1.1556249999999999</v>
      </c>
      <c r="E28" t="s">
        <v>30</v>
      </c>
      <c r="F28">
        <f>((F2+F15-F3)/F27)^2</f>
        <v>1.1556249999999999</v>
      </c>
      <c r="G28" t="s">
        <v>34</v>
      </c>
      <c r="H28">
        <f>H10*(H11*H13*H16+H17*H19*H21+H22*H24*H26)+H27</f>
        <v>6.1777186187446349E-6</v>
      </c>
      <c r="I28" t="s">
        <v>34</v>
      </c>
      <c r="J28">
        <f>J10*(J11*J13*J16+J17*J19*J21+J22*J24*J26)+J27</f>
        <v>7.4071302394353208E-2</v>
      </c>
      <c r="K28" t="s">
        <v>34</v>
      </c>
      <c r="L28">
        <f>L10*(L11*L13*L16+L17*L19*L21+L22*L24*L26)+L27</f>
        <v>6.1553028486934565E-4</v>
      </c>
      <c r="M28" t="s">
        <v>34</v>
      </c>
      <c r="N28">
        <f>N10*(N11*N13*N16+N17*N19*N21+N22*N24*N26)+N27</f>
        <v>8.2221812146035945E-4</v>
      </c>
      <c r="O28" t="s">
        <v>30</v>
      </c>
      <c r="P28">
        <f>((P2+P15-P3)/P27)^2</f>
        <v>1.1556249999999999</v>
      </c>
      <c r="Q28" t="s">
        <v>30</v>
      </c>
      <c r="R28">
        <f>((R2+R15-R3)/R27)^2</f>
        <v>1.1556249999999999</v>
      </c>
      <c r="S28" t="s">
        <v>30</v>
      </c>
      <c r="T28">
        <f>((T2+T15-T3)/T27)^2</f>
        <v>0.42401297998918341</v>
      </c>
      <c r="W28" t="s">
        <v>30</v>
      </c>
      <c r="X28">
        <f>((X2+X15-X3)/X27)^2</f>
        <v>1.1556249999999999</v>
      </c>
      <c r="Y28" t="s">
        <v>30</v>
      </c>
      <c r="Z28">
        <f>((Z2+Z15-Z3)/Z27)^2</f>
        <v>1.1556249999999999</v>
      </c>
      <c r="AA28" t="s">
        <v>26</v>
      </c>
      <c r="AB28">
        <v>8.2999999999999998E-5</v>
      </c>
      <c r="AC28" t="s">
        <v>34</v>
      </c>
      <c r="AD28">
        <f>AD10*(AD11*AD13*AD16+AD17*AD19*AD21+AD22*AD24*AD26)+AD27</f>
        <v>3.5254162129373301E-6</v>
      </c>
      <c r="AE28" s="4" t="s">
        <v>34</v>
      </c>
      <c r="AF28" s="4">
        <f>AF10*(AF11*AF13*AF16+AF17*AF19*AF21+AF22*AF24*AF26)+AF27</f>
        <v>2.3165349476797964E-2</v>
      </c>
      <c r="AG28" t="s">
        <v>30</v>
      </c>
      <c r="AH28">
        <f>((AH2+AH15-AH3)/AH27)^2</f>
        <v>0.42401297998918341</v>
      </c>
      <c r="AI28" t="s">
        <v>34</v>
      </c>
      <c r="AJ28">
        <f>AJ10*(AJ11*AJ13*AJ16+AJ17*AJ19*AJ21+AJ22*AJ24*AJ26)+AJ27</f>
        <v>5.5416551408408088E-4</v>
      </c>
    </row>
    <row r="29" spans="1:36" x14ac:dyDescent="0.2">
      <c r="A29" t="s">
        <v>27</v>
      </c>
      <c r="B29">
        <v>1140.3499999999999</v>
      </c>
      <c r="C29" t="s">
        <v>31</v>
      </c>
      <c r="D29">
        <v>2.1000000000000001E-4</v>
      </c>
      <c r="E29" t="s">
        <v>31</v>
      </c>
      <c r="F29">
        <v>2.1000000000000001E-4</v>
      </c>
      <c r="H29">
        <f>H28-H27</f>
        <v>5.9777186187446351E-6</v>
      </c>
      <c r="J29">
        <f>J28-J27</f>
        <v>7.3221502394353211E-2</v>
      </c>
      <c r="O29" t="s">
        <v>31</v>
      </c>
      <c r="P29">
        <v>1.5E-3</v>
      </c>
      <c r="Q29" t="s">
        <v>31</v>
      </c>
      <c r="R29">
        <v>1.5E-3</v>
      </c>
      <c r="S29" t="s">
        <v>31</v>
      </c>
      <c r="T29">
        <v>8.8999999999999995E-4</v>
      </c>
      <c r="W29" t="s">
        <v>31</v>
      </c>
      <c r="X29">
        <v>1.5E-3</v>
      </c>
      <c r="Y29" t="s">
        <v>31</v>
      </c>
      <c r="Z29">
        <v>2.1000000000000001E-4</v>
      </c>
      <c r="AA29" t="s">
        <v>27</v>
      </c>
      <c r="AB29">
        <v>1140.3499999999999</v>
      </c>
      <c r="AD29">
        <f>AD28-AD27</f>
        <v>3.3254162129373304E-6</v>
      </c>
      <c r="AE29" s="4"/>
      <c r="AF29" s="4">
        <f>AF28-AF27</f>
        <v>2.2315549476797963E-2</v>
      </c>
      <c r="AG29" t="s">
        <v>31</v>
      </c>
      <c r="AH29">
        <v>8.8999999999999995E-4</v>
      </c>
      <c r="AJ29">
        <f>AJ28-AJ27</f>
        <v>5.3596551408408087E-4</v>
      </c>
    </row>
    <row r="30" spans="1:36" x14ac:dyDescent="0.2">
      <c r="A30" t="s">
        <v>28</v>
      </c>
      <c r="B30">
        <f>B7/B29</f>
        <v>0.32007716929013025</v>
      </c>
      <c r="C30" t="s">
        <v>32</v>
      </c>
      <c r="D30">
        <f>((D2+D15-D3)/44)^2.26</f>
        <v>4.5474030731965112</v>
      </c>
      <c r="E30" t="s">
        <v>32</v>
      </c>
      <c r="F30">
        <f>((F2+F15-F3)/44)^2.26</f>
        <v>4.5474030731965112</v>
      </c>
      <c r="O30" t="s">
        <v>32</v>
      </c>
      <c r="P30">
        <f>((P2+P15-P3)/44)^2.26</f>
        <v>4.5474030731965112</v>
      </c>
      <c r="Q30" t="s">
        <v>32</v>
      </c>
      <c r="R30">
        <f>((R2+R15-R3)/44)^2.26</f>
        <v>4.5474030731965112</v>
      </c>
      <c r="S30" t="s">
        <v>32</v>
      </c>
      <c r="T30">
        <f>((T2+T15-T3)/44)^2.26</f>
        <v>1.7246536511918495</v>
      </c>
      <c r="W30" t="s">
        <v>32</v>
      </c>
      <c r="X30">
        <f>((X2+X15-X3)/44)^2.26</f>
        <v>4.5474030731965112</v>
      </c>
      <c r="Y30" t="s">
        <v>32</v>
      </c>
      <c r="Z30">
        <f>((Z2+Z15-Z3)/44)^2.26</f>
        <v>4.5474030731965112</v>
      </c>
      <c r="AA30" t="s">
        <v>28</v>
      </c>
      <c r="AB30">
        <f>AB7/AB29</f>
        <v>6.401543385802605E-2</v>
      </c>
      <c r="AG30" t="s">
        <v>32</v>
      </c>
      <c r="AH30">
        <f>((AH2+AH15-AH3)/44)^2.26</f>
        <v>1.7246536511918495</v>
      </c>
    </row>
    <row r="31" spans="1:36" x14ac:dyDescent="0.2">
      <c r="A31" t="s">
        <v>29</v>
      </c>
      <c r="B31">
        <v>21</v>
      </c>
      <c r="C31" t="s">
        <v>33</v>
      </c>
      <c r="D31">
        <v>3.16E-3</v>
      </c>
      <c r="E31" t="s">
        <v>33</v>
      </c>
      <c r="F31">
        <v>2.2599999999999999E-3</v>
      </c>
      <c r="O31" t="s">
        <v>33</v>
      </c>
      <c r="P31">
        <v>4.5409999999999999E-2</v>
      </c>
      <c r="Q31" t="s">
        <v>33</v>
      </c>
      <c r="R31">
        <v>8.8990000000000007E-3</v>
      </c>
      <c r="S31" t="s">
        <v>33</v>
      </c>
      <c r="T31">
        <v>5.2590000000000004E-4</v>
      </c>
      <c r="W31" t="s">
        <v>33</v>
      </c>
      <c r="X31">
        <v>4.5409999999999999E-2</v>
      </c>
      <c r="Y31" t="s">
        <v>33</v>
      </c>
      <c r="Z31">
        <v>3.16E-3</v>
      </c>
      <c r="AA31" t="s">
        <v>29</v>
      </c>
      <c r="AB31">
        <v>21</v>
      </c>
      <c r="AG31" t="s">
        <v>33</v>
      </c>
      <c r="AH31">
        <v>5.2590000000000004E-4</v>
      </c>
    </row>
    <row r="32" spans="1:36" x14ac:dyDescent="0.2">
      <c r="A32" t="s">
        <v>30</v>
      </c>
      <c r="B32">
        <f>((B2-B3)/B31)^2</f>
        <v>1.5328798185941044</v>
      </c>
      <c r="C32" t="s">
        <v>34</v>
      </c>
      <c r="D32">
        <f>D10*(D11*D13*D16*D18+D19*D21*D23+D24*D26*D28)+D29*D30+D31</f>
        <v>4.1181735002985206E-3</v>
      </c>
      <c r="E32" t="s">
        <v>34</v>
      </c>
      <c r="F32">
        <f>F10*(F11*F13*F16*F18+F19*F21*F23+F24*F26*F28)+F29*F30+F31</f>
        <v>3.2422747005345261E-3</v>
      </c>
      <c r="O32" t="s">
        <v>34</v>
      </c>
      <c r="P32">
        <f>P10*(P11*P13*P16*P18+P19*P21*P23+P24*P26*P28)+P29*P30+P31</f>
        <v>5.2231353200809905E-2</v>
      </c>
      <c r="Q32" t="s">
        <v>34</v>
      </c>
      <c r="R32">
        <f>R10*(R11*R13*R16*R18+R19*R21*R23+R24*R26*R28)+R29*R30+R31</f>
        <v>1.5720488907501228E-2</v>
      </c>
      <c r="S32" t="s">
        <v>34</v>
      </c>
      <c r="T32">
        <f>T10*(T11*T13*T16*T18+T19*T21*T23+T24*T26*T28)+T29*T30+T31</f>
        <v>2.599278953606861E-3</v>
      </c>
      <c r="W32" t="s">
        <v>34</v>
      </c>
      <c r="X32">
        <f>X10*(X11*X13*X16*X18+X19*X21*X23+X24*X26*X28)+X29*X30+X31</f>
        <v>5.2231161192661663E-2</v>
      </c>
      <c r="Y32" t="s">
        <v>34</v>
      </c>
      <c r="Z32">
        <f>Z10*(Z11*Z13*Z16*Z18+Z19*Z21*Z23+Z24*Z26*Z28)+Z29*Z30+Z31</f>
        <v>4.1164423874594088E-3</v>
      </c>
      <c r="AA32" t="s">
        <v>30</v>
      </c>
      <c r="AB32">
        <f>((AB2-AB3)/AB31)^2</f>
        <v>1.5328798185941044</v>
      </c>
      <c r="AG32" t="s">
        <v>34</v>
      </c>
      <c r="AH32">
        <f>AH10*(AH11*AH13*AH16*AH18+AH19*AH21*AH23+AH24*AH26*AH28)+AH29*AH30+AH31</f>
        <v>2.5169415896364898E-3</v>
      </c>
    </row>
    <row r="33" spans="1:34" x14ac:dyDescent="0.2">
      <c r="A33" t="s">
        <v>31</v>
      </c>
      <c r="B33">
        <v>9.5E-4</v>
      </c>
      <c r="D33">
        <f>D32-D31</f>
        <v>9.5817350029852059E-4</v>
      </c>
      <c r="F33">
        <f>F32-F31</f>
        <v>9.8227470053452622E-4</v>
      </c>
      <c r="P33" s="2">
        <f>P32-P31</f>
        <v>6.8213532008099056E-3</v>
      </c>
      <c r="R33">
        <f>R32-R31</f>
        <v>6.8214889075012275E-3</v>
      </c>
      <c r="T33">
        <f>T32-T31</f>
        <v>2.0733789536068609E-3</v>
      </c>
      <c r="X33">
        <f>X32-X31</f>
        <v>6.8211611926616636E-3</v>
      </c>
      <c r="Z33">
        <f>Z32-Z31</f>
        <v>9.564423874594088E-4</v>
      </c>
      <c r="AA33" t="s">
        <v>31</v>
      </c>
      <c r="AB33">
        <v>9.5E-4</v>
      </c>
      <c r="AH33">
        <f>AH32-AH31</f>
        <v>1.9910415896364896E-3</v>
      </c>
    </row>
    <row r="34" spans="1:34" x14ac:dyDescent="0.2">
      <c r="A34" t="s">
        <v>32</v>
      </c>
      <c r="B34">
        <f>((B2-B3)/44)^2.26</f>
        <v>0.30453465258122364</v>
      </c>
      <c r="D34">
        <f>D32/10^6</f>
        <v>4.1181735002985203E-9</v>
      </c>
      <c r="P34">
        <f>P32/10^6</f>
        <v>5.2231353200809902E-8</v>
      </c>
      <c r="AA34" t="s">
        <v>32</v>
      </c>
      <c r="AB34">
        <f>((AB2-AB3)/44)^2.26</f>
        <v>0.30453465258122364</v>
      </c>
    </row>
    <row r="35" spans="1:34" x14ac:dyDescent="0.2">
      <c r="A35" t="s">
        <v>33</v>
      </c>
      <c r="B35">
        <v>2.5900000000000001E-4</v>
      </c>
      <c r="AA35" t="s">
        <v>33</v>
      </c>
      <c r="AB35">
        <v>2.5900000000000001E-4</v>
      </c>
    </row>
    <row r="36" spans="1:34" x14ac:dyDescent="0.2">
      <c r="A36" t="s">
        <v>34</v>
      </c>
      <c r="B36">
        <f>B10*B14*(B15*B17*B19*B22+B23*B25*B27+B28*B30*B32)+B33*B34+B35</f>
        <v>1.3785264806911732E-3</v>
      </c>
      <c r="AA36" t="s">
        <v>34</v>
      </c>
      <c r="AB36">
        <f>AB10*AB14*(AB15*AB17*AB19*AB22+AB23*AB25*AB27+AB28*AB30*AB32)+AB33*AB34+AB35</f>
        <v>8.7950844218532382E-4</v>
      </c>
    </row>
    <row r="37" spans="1:34" x14ac:dyDescent="0.2">
      <c r="B37">
        <f>B36-B35</f>
        <v>1.1195264806911731E-3</v>
      </c>
      <c r="AB37">
        <f>AB36-AB35</f>
        <v>6.2050844218532381E-4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6A50-D67C-A241-8B81-145174D9959D}">
  <dimension ref="A1:B15"/>
  <sheetViews>
    <sheetView zoomScaleNormal="100" workbookViewId="0">
      <selection activeCell="B11" sqref="B11"/>
    </sheetView>
  </sheetViews>
  <sheetFormatPr baseColWidth="10" defaultRowHeight="16" x14ac:dyDescent="0.2"/>
  <cols>
    <col min="1" max="1" width="20" bestFit="1" customWidth="1"/>
    <col min="2" max="2" width="12.1640625" bestFit="1" customWidth="1"/>
  </cols>
  <sheetData>
    <row r="1" spans="1:2" x14ac:dyDescent="0.2">
      <c r="A1" t="s">
        <v>50</v>
      </c>
      <c r="B1">
        <f>Calcs!B36</f>
        <v>1.3785264806911732E-3</v>
      </c>
    </row>
    <row r="2" spans="1:2" x14ac:dyDescent="0.2">
      <c r="A2" t="s">
        <v>51</v>
      </c>
      <c r="B2">
        <f>Calcs!D32</f>
        <v>4.1181735002985206E-3</v>
      </c>
    </row>
    <row r="3" spans="1:2" x14ac:dyDescent="0.2">
      <c r="A3" t="s">
        <v>52</v>
      </c>
      <c r="B3">
        <f>Calcs!F32</f>
        <v>3.2422747005345261E-3</v>
      </c>
    </row>
    <row r="4" spans="1:2" x14ac:dyDescent="0.2">
      <c r="A4" t="s">
        <v>53</v>
      </c>
      <c r="B4">
        <f>Calcs!H28</f>
        <v>6.1777186187446349E-6</v>
      </c>
    </row>
    <row r="5" spans="1:2" x14ac:dyDescent="0.2">
      <c r="A5" t="s">
        <v>55</v>
      </c>
      <c r="B5">
        <f>3*Calcs!L28</f>
        <v>1.8465908546080371E-3</v>
      </c>
    </row>
    <row r="6" spans="1:2" x14ac:dyDescent="0.2">
      <c r="A6" t="s">
        <v>54</v>
      </c>
      <c r="B6">
        <f>Calcs!N28</f>
        <v>8.2221812146035945E-4</v>
      </c>
    </row>
    <row r="7" spans="1:2" x14ac:dyDescent="0.2">
      <c r="A7" t="s">
        <v>56</v>
      </c>
      <c r="B7">
        <f>Calcs!P32</f>
        <v>5.2231353200809905E-2</v>
      </c>
    </row>
    <row r="8" spans="1:2" x14ac:dyDescent="0.2">
      <c r="A8" t="s">
        <v>57</v>
      </c>
      <c r="B8">
        <f>Calcs!R32</f>
        <v>1.5720488907501228E-2</v>
      </c>
    </row>
    <row r="9" spans="1:2" x14ac:dyDescent="0.2">
      <c r="A9" t="s">
        <v>58</v>
      </c>
      <c r="B9">
        <f>Calcs!T32</f>
        <v>2.599278953606861E-3</v>
      </c>
    </row>
    <row r="10" spans="1:2" x14ac:dyDescent="0.2">
      <c r="A10" t="s">
        <v>59</v>
      </c>
      <c r="B10">
        <f>Calcs!X33</f>
        <v>6.8211611926616636E-3</v>
      </c>
    </row>
    <row r="11" spans="1:2" x14ac:dyDescent="0.2">
      <c r="A11" t="s">
        <v>60</v>
      </c>
      <c r="B11">
        <f>Calcs!Z33</f>
        <v>9.564423874594088E-4</v>
      </c>
    </row>
    <row r="12" spans="1:2" x14ac:dyDescent="0.2">
      <c r="A12" t="s">
        <v>61</v>
      </c>
      <c r="B12">
        <f>Calcs!AB37</f>
        <v>6.2050844218532381E-4</v>
      </c>
    </row>
    <row r="13" spans="1:2" x14ac:dyDescent="0.2">
      <c r="A13" t="s">
        <v>62</v>
      </c>
      <c r="B13">
        <f>Calcs!AD29</f>
        <v>3.3254162129373304E-6</v>
      </c>
    </row>
    <row r="14" spans="1:2" x14ac:dyDescent="0.2">
      <c r="A14" t="s">
        <v>64</v>
      </c>
      <c r="B14">
        <f>Calcs!AH33</f>
        <v>1.9910415896364896E-3</v>
      </c>
    </row>
    <row r="15" spans="1:2" x14ac:dyDescent="0.2">
      <c r="A15" t="s">
        <v>63</v>
      </c>
      <c r="B15">
        <f>Calcs!AJ29</f>
        <v>5.3596551408408087E-4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Value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2021-04-09T14:36:55Z</dcterms:created>
  <dcterms:modified xsi:type="dcterms:W3CDTF">2021-04-27T23:45:37Z</dcterms:modified>
</cp:coreProperties>
</file>