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lioune Ndoye\Downloads\"/>
    </mc:Choice>
  </mc:AlternateContent>
  <xr:revisionPtr revIDLastSave="0" documentId="13_ncr:1_{7CC6317E-F6AD-485A-8D80-C4FAE3445ECE}" xr6:coauthVersionLast="46" xr6:coauthVersionMax="46" xr10:uidLastSave="{00000000-0000-0000-0000-000000000000}"/>
  <bookViews>
    <workbookView xWindow="-120" yWindow="-120" windowWidth="20730" windowHeight="11160" firstSheet="4" activeTab="9" xr2:uid="{00000000-000D-0000-FFFF-FFFF00000000}"/>
  </bookViews>
  <sheets>
    <sheet name="Enoncé" sheetId="2" r:id="rId1"/>
    <sheet name="Triangles" sheetId="1" r:id="rId2"/>
    <sheet name="Chain ladder" sheetId="3" r:id="rId3"/>
    <sheet name="Bornhuetter- ferguson(paiement)" sheetId="4" r:id="rId4"/>
    <sheet name="Synthèse" sheetId="6" r:id="rId5"/>
    <sheet name="Feuil2" sheetId="7" r:id="rId6"/>
    <sheet name="Bornhuetter-ferguson(chargesin" sheetId="5" r:id="rId7"/>
    <sheet name="Log normale" sheetId="10" r:id="rId8"/>
    <sheet name="Mack" sheetId="8" r:id="rId9"/>
    <sheet name="quantiles" sheetId="9"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8" i="10" l="1"/>
  <c r="J28" i="10"/>
  <c r="I28" i="10"/>
  <c r="H28" i="10"/>
  <c r="G28" i="10"/>
  <c r="F28" i="10"/>
  <c r="E28" i="10"/>
  <c r="D28" i="10"/>
  <c r="C28" i="10"/>
  <c r="O28" i="10" s="1"/>
  <c r="P28" i="10" s="1"/>
  <c r="Q28" i="10" s="1"/>
  <c r="R28" i="10" s="1"/>
  <c r="S28" i="10" s="1"/>
  <c r="T28" i="10" s="1"/>
  <c r="U28" i="10" s="1"/>
  <c r="V28" i="10" s="1"/>
  <c r="W28" i="10" s="1"/>
  <c r="X28" i="10" s="1"/>
  <c r="K27" i="10"/>
  <c r="J27" i="10"/>
  <c r="I27" i="10"/>
  <c r="H27" i="10"/>
  <c r="G27" i="10"/>
  <c r="F27" i="10"/>
  <c r="E27" i="10"/>
  <c r="D27" i="10"/>
  <c r="C27" i="10"/>
  <c r="O27" i="10" s="1"/>
  <c r="K26" i="10"/>
  <c r="J26" i="10"/>
  <c r="I26" i="10"/>
  <c r="H26" i="10"/>
  <c r="G26" i="10"/>
  <c r="F26" i="10"/>
  <c r="E26" i="10"/>
  <c r="D26" i="10"/>
  <c r="C26" i="10"/>
  <c r="O26" i="10" s="1"/>
  <c r="P26" i="10" s="1"/>
  <c r="K25" i="10"/>
  <c r="J25" i="10"/>
  <c r="I25" i="10"/>
  <c r="H25" i="10"/>
  <c r="G25" i="10"/>
  <c r="F25" i="10"/>
  <c r="E25" i="10"/>
  <c r="D25" i="10"/>
  <c r="C25" i="10"/>
  <c r="O25" i="10" s="1"/>
  <c r="P25" i="10" s="1"/>
  <c r="Q25" i="10" s="1"/>
  <c r="O24" i="10"/>
  <c r="P24" i="10" s="1"/>
  <c r="Q24" i="10" s="1"/>
  <c r="R24" i="10" s="1"/>
  <c r="K24" i="10"/>
  <c r="J24" i="10"/>
  <c r="I24" i="10"/>
  <c r="H24" i="10"/>
  <c r="G24" i="10"/>
  <c r="F24" i="10"/>
  <c r="E24" i="10"/>
  <c r="D24" i="10"/>
  <c r="C24" i="10"/>
  <c r="K23" i="10"/>
  <c r="J23" i="10"/>
  <c r="I23" i="10"/>
  <c r="H23" i="10"/>
  <c r="G23" i="10"/>
  <c r="F23" i="10"/>
  <c r="E23" i="10"/>
  <c r="D23" i="10"/>
  <c r="C23" i="10"/>
  <c r="O23" i="10" s="1"/>
  <c r="P23" i="10" s="1"/>
  <c r="Q23" i="10" s="1"/>
  <c r="R23" i="10" s="1"/>
  <c r="S23" i="10" s="1"/>
  <c r="O22" i="10"/>
  <c r="P22" i="10" s="1"/>
  <c r="Q22" i="10" s="1"/>
  <c r="R22" i="10" s="1"/>
  <c r="S22" i="10" s="1"/>
  <c r="T22" i="10" s="1"/>
  <c r="K22" i="10"/>
  <c r="J22" i="10"/>
  <c r="I22" i="10"/>
  <c r="H22" i="10"/>
  <c r="G22" i="10"/>
  <c r="F22" i="10"/>
  <c r="E22" i="10"/>
  <c r="D22" i="10"/>
  <c r="C22" i="10"/>
  <c r="K21" i="10"/>
  <c r="J21" i="10"/>
  <c r="I21" i="10"/>
  <c r="H21" i="10"/>
  <c r="G21" i="10"/>
  <c r="F21" i="10"/>
  <c r="E21" i="10"/>
  <c r="D21" i="10"/>
  <c r="C21" i="10"/>
  <c r="O21" i="10" s="1"/>
  <c r="P21" i="10" s="1"/>
  <c r="Q21" i="10" s="1"/>
  <c r="R21" i="10" s="1"/>
  <c r="S21" i="10" s="1"/>
  <c r="T21" i="10" s="1"/>
  <c r="U21" i="10" s="1"/>
  <c r="O20" i="10"/>
  <c r="P20" i="10" s="1"/>
  <c r="Q20" i="10" s="1"/>
  <c r="R20" i="10" s="1"/>
  <c r="S20" i="10" s="1"/>
  <c r="T20" i="10" s="1"/>
  <c r="U20" i="10" s="1"/>
  <c r="V20" i="10" s="1"/>
  <c r="W20" i="10" s="1"/>
  <c r="X20" i="10" s="1"/>
  <c r="Y20" i="10" s="1"/>
  <c r="P3" i="10" s="1"/>
  <c r="K20" i="10"/>
  <c r="J20" i="10"/>
  <c r="I20" i="10"/>
  <c r="H20" i="10"/>
  <c r="G20" i="10"/>
  <c r="F20" i="10"/>
  <c r="E20" i="10"/>
  <c r="D20" i="10"/>
  <c r="C20" i="10"/>
  <c r="A20" i="10"/>
  <c r="A21" i="10" s="1"/>
  <c r="A22" i="10" s="1"/>
  <c r="A23" i="10" s="1"/>
  <c r="A24" i="10" s="1"/>
  <c r="A25" i="10" s="1"/>
  <c r="A26" i="10" s="1"/>
  <c r="A27" i="10" s="1"/>
  <c r="A28" i="10" s="1"/>
  <c r="Y19" i="10"/>
  <c r="K19" i="10"/>
  <c r="J19" i="10"/>
  <c r="I19" i="10"/>
  <c r="H19" i="10"/>
  <c r="G19" i="10"/>
  <c r="F19" i="10"/>
  <c r="E19" i="10"/>
  <c r="D19" i="10"/>
  <c r="C19" i="10"/>
  <c r="O19" i="10" s="1"/>
  <c r="P19" i="10" s="1"/>
  <c r="Q19" i="10" s="1"/>
  <c r="R19" i="10" s="1"/>
  <c r="S19" i="10" s="1"/>
  <c r="T19" i="10" s="1"/>
  <c r="U19" i="10" s="1"/>
  <c r="V19" i="10" s="1"/>
  <c r="W19" i="10" s="1"/>
  <c r="N11" i="10"/>
  <c r="A5" i="10"/>
  <c r="A6" i="10" s="1"/>
  <c r="A7" i="10" s="1"/>
  <c r="A8" i="10" s="1"/>
  <c r="A9" i="10" s="1"/>
  <c r="A10" i="10" s="1"/>
  <c r="A11" i="10" s="1"/>
  <c r="A12" i="10" s="1"/>
  <c r="A13" i="10" s="1"/>
  <c r="Q3" i="10"/>
  <c r="N3" i="10"/>
  <c r="P2" i="10"/>
  <c r="E6" i="8"/>
  <c r="E7" i="8" s="1"/>
  <c r="E8" i="8" s="1"/>
  <c r="E9" i="8" s="1"/>
  <c r="E10" i="8" s="1"/>
  <c r="E11" i="8" s="1"/>
  <c r="E12" i="8" s="1"/>
  <c r="E13" i="8" s="1"/>
  <c r="E5" i="8"/>
  <c r="G13" i="6"/>
  <c r="G28" i="5"/>
  <c r="N2" i="10" l="1"/>
  <c r="X19" i="10"/>
  <c r="Q2" i="10" s="1"/>
  <c r="N4" i="10"/>
  <c r="V21" i="10"/>
  <c r="W21" i="10" s="1"/>
  <c r="X21" i="10" s="1"/>
  <c r="N5" i="10"/>
  <c r="U22" i="10"/>
  <c r="V22" i="10" s="1"/>
  <c r="W22" i="10" s="1"/>
  <c r="X22" i="10" s="1"/>
  <c r="N8" i="10"/>
  <c r="R25" i="10"/>
  <c r="S25" i="10" s="1"/>
  <c r="T25" i="10" s="1"/>
  <c r="U25" i="10" s="1"/>
  <c r="V25" i="10" s="1"/>
  <c r="W25" i="10" s="1"/>
  <c r="X25" i="10" s="1"/>
  <c r="N10" i="10"/>
  <c r="P27" i="10"/>
  <c r="Q27" i="10" s="1"/>
  <c r="R27" i="10" s="1"/>
  <c r="S27" i="10" s="1"/>
  <c r="T27" i="10" s="1"/>
  <c r="U27" i="10" s="1"/>
  <c r="V27" i="10" s="1"/>
  <c r="W27" i="10" s="1"/>
  <c r="X27" i="10" s="1"/>
  <c r="N6" i="10"/>
  <c r="T23" i="10"/>
  <c r="U23" i="10" s="1"/>
  <c r="V23" i="10" s="1"/>
  <c r="W23" i="10" s="1"/>
  <c r="X23" i="10" s="1"/>
  <c r="N7" i="10"/>
  <c r="S24" i="10"/>
  <c r="T24" i="10" s="1"/>
  <c r="U24" i="10" s="1"/>
  <c r="V24" i="10" s="1"/>
  <c r="W24" i="10" s="1"/>
  <c r="X24" i="10" s="1"/>
  <c r="N9" i="10"/>
  <c r="Q26" i="10"/>
  <c r="R26" i="10" s="1"/>
  <c r="S26" i="10" s="1"/>
  <c r="T26" i="10" s="1"/>
  <c r="U26" i="10" s="1"/>
  <c r="V26" i="10" s="1"/>
  <c r="W26" i="10" s="1"/>
  <c r="X26" i="10" s="1"/>
  <c r="Q11" i="10"/>
  <c r="Y28" i="10"/>
  <c r="P11" i="10" s="1"/>
  <c r="Q9" i="10" l="1"/>
  <c r="Y26" i="10"/>
  <c r="P9" i="10" s="1"/>
  <c r="Q7" i="10"/>
  <c r="Y24" i="10"/>
  <c r="P7" i="10" s="1"/>
  <c r="Y23" i="10"/>
  <c r="P6" i="10" s="1"/>
  <c r="Q6" i="10"/>
  <c r="Y27" i="10"/>
  <c r="P10" i="10" s="1"/>
  <c r="Q10" i="10"/>
  <c r="Y25" i="10"/>
  <c r="P8" i="10" s="1"/>
  <c r="Q8" i="10"/>
  <c r="Q5" i="10"/>
  <c r="Y22" i="10"/>
  <c r="P5" i="10" s="1"/>
  <c r="Y21" i="10"/>
  <c r="Q4" i="10"/>
  <c r="P4" i="10" l="1"/>
  <c r="Y29" i="10"/>
  <c r="C13" i="6" l="1"/>
  <c r="T7" i="3"/>
  <c r="T6" i="3"/>
  <c r="T5" i="3"/>
  <c r="T4" i="3"/>
  <c r="M15" i="4"/>
  <c r="B88" i="3" l="1"/>
  <c r="J89" i="3" l="1"/>
  <c r="I89" i="3"/>
  <c r="I90" i="3"/>
  <c r="H89" i="3"/>
  <c r="H90" i="3"/>
  <c r="H91" i="3"/>
  <c r="G89" i="3"/>
  <c r="G90" i="3"/>
  <c r="G91" i="3"/>
  <c r="G92" i="3"/>
  <c r="F89" i="3"/>
  <c r="F90" i="3"/>
  <c r="F91" i="3"/>
  <c r="F92" i="3"/>
  <c r="F93" i="3"/>
  <c r="E89" i="3"/>
  <c r="E90" i="3"/>
  <c r="E91" i="3"/>
  <c r="E92" i="3"/>
  <c r="E93" i="3"/>
  <c r="E94" i="3"/>
  <c r="D89" i="3"/>
  <c r="D90" i="3"/>
  <c r="D91" i="3"/>
  <c r="D92" i="3"/>
  <c r="D93" i="3"/>
  <c r="D94" i="3"/>
  <c r="D95" i="3"/>
  <c r="C89" i="3"/>
  <c r="C90" i="3"/>
  <c r="C91" i="3"/>
  <c r="C92" i="3"/>
  <c r="C93" i="3"/>
  <c r="C94" i="3"/>
  <c r="C95" i="3"/>
  <c r="C96" i="3"/>
  <c r="K88" i="3"/>
  <c r="J88" i="3"/>
  <c r="I88" i="3"/>
  <c r="H88" i="3"/>
  <c r="G88" i="3"/>
  <c r="F88" i="3"/>
  <c r="E88" i="3"/>
  <c r="D88" i="3"/>
  <c r="C88" i="3"/>
  <c r="B89" i="3"/>
  <c r="B90" i="3"/>
  <c r="B91" i="3"/>
  <c r="B92" i="3"/>
  <c r="B93" i="3"/>
  <c r="B94" i="3"/>
  <c r="B95" i="3"/>
  <c r="B96" i="3"/>
  <c r="B97" i="3"/>
  <c r="A89" i="3"/>
  <c r="A90" i="3" s="1"/>
  <c r="A91" i="3" s="1"/>
  <c r="A92" i="3" s="1"/>
  <c r="A93" i="3" s="1"/>
  <c r="A94" i="3" s="1"/>
  <c r="A95" i="3" s="1"/>
  <c r="A96" i="3" s="1"/>
  <c r="A97" i="3" s="1"/>
  <c r="I7" i="5"/>
  <c r="J7" i="5" s="1"/>
  <c r="K7" i="5" s="1"/>
  <c r="M7" i="5" s="1"/>
  <c r="E11" i="5"/>
  <c r="F11" i="5" s="1"/>
  <c r="G11" i="5" s="1"/>
  <c r="H11" i="5" s="1"/>
  <c r="I11" i="5" s="1"/>
  <c r="J11" i="5" s="1"/>
  <c r="K11" i="5" s="1"/>
  <c r="M11" i="5" s="1"/>
  <c r="M4" i="5"/>
  <c r="G26" i="5"/>
  <c r="C25" i="5"/>
  <c r="D25" i="5" s="1"/>
  <c r="C26" i="5" s="1"/>
  <c r="J16" i="5"/>
  <c r="K5" i="5" s="1"/>
  <c r="M5" i="5" s="1"/>
  <c r="I16" i="5"/>
  <c r="J6" i="5" s="1"/>
  <c r="K6" i="5" s="1"/>
  <c r="M6" i="5" s="1"/>
  <c r="H16" i="5"/>
  <c r="G16" i="5"/>
  <c r="H8" i="5" s="1"/>
  <c r="I8" i="5" s="1"/>
  <c r="J8" i="5" s="1"/>
  <c r="K8" i="5" s="1"/>
  <c r="M8" i="5" s="1"/>
  <c r="F16" i="5"/>
  <c r="G9" i="5" s="1"/>
  <c r="H9" i="5" s="1"/>
  <c r="I9" i="5" s="1"/>
  <c r="J9" i="5" s="1"/>
  <c r="K9" i="5" s="1"/>
  <c r="M9" i="5" s="1"/>
  <c r="E16" i="5"/>
  <c r="D16" i="5"/>
  <c r="C16" i="5"/>
  <c r="D12" i="5" s="1"/>
  <c r="E12" i="5" s="1"/>
  <c r="B16" i="5"/>
  <c r="C13" i="5" s="1"/>
  <c r="D13" i="5" s="1"/>
  <c r="E13" i="5" s="1"/>
  <c r="F13" i="5" s="1"/>
  <c r="G31" i="4"/>
  <c r="G30" i="4"/>
  <c r="G29" i="4"/>
  <c r="I28" i="4"/>
  <c r="J28" i="4"/>
  <c r="K28" i="4"/>
  <c r="L28" i="4"/>
  <c r="M28" i="4"/>
  <c r="N28" i="4"/>
  <c r="O28" i="4"/>
  <c r="P28" i="4"/>
  <c r="H28" i="4"/>
  <c r="G28" i="4"/>
  <c r="I27" i="4"/>
  <c r="H27" i="4"/>
  <c r="G27" i="4"/>
  <c r="H26" i="4"/>
  <c r="I26" i="4"/>
  <c r="J26" i="4"/>
  <c r="K26" i="4"/>
  <c r="L26" i="4"/>
  <c r="M26" i="4"/>
  <c r="N26" i="4"/>
  <c r="O26" i="4"/>
  <c r="P26" i="4"/>
  <c r="G26" i="4"/>
  <c r="P25" i="4"/>
  <c r="O25" i="4"/>
  <c r="N25" i="4"/>
  <c r="M25" i="4"/>
  <c r="L25" i="4"/>
  <c r="K25" i="4"/>
  <c r="J25" i="4"/>
  <c r="I25" i="4"/>
  <c r="H25" i="4"/>
  <c r="M14" i="4"/>
  <c r="M13" i="4"/>
  <c r="M12" i="4"/>
  <c r="M11" i="4"/>
  <c r="M10" i="4"/>
  <c r="M9" i="4"/>
  <c r="M8" i="4"/>
  <c r="M7" i="4"/>
  <c r="M6" i="4"/>
  <c r="M5" i="4"/>
  <c r="M4" i="4"/>
  <c r="C28" i="4"/>
  <c r="J27" i="4" s="1"/>
  <c r="D27" i="4"/>
  <c r="C27" i="4"/>
  <c r="D26" i="4"/>
  <c r="C26" i="4"/>
  <c r="D25" i="4"/>
  <c r="C25" i="4"/>
  <c r="F12" i="5" l="1"/>
  <c r="G12" i="5" s="1"/>
  <c r="H12" i="5" s="1"/>
  <c r="I12" i="5" s="1"/>
  <c r="J12" i="5" s="1"/>
  <c r="K12" i="5" s="1"/>
  <c r="M12" i="5" s="1"/>
  <c r="G13" i="5"/>
  <c r="H13" i="5" s="1"/>
  <c r="I13" i="5" s="1"/>
  <c r="J13" i="5" s="1"/>
  <c r="K13" i="5" s="1"/>
  <c r="M13" i="5" s="1"/>
  <c r="D26" i="5"/>
  <c r="C27" i="5" s="1"/>
  <c r="H27" i="5"/>
  <c r="G27" i="5"/>
  <c r="J17" i="5"/>
  <c r="F10" i="5"/>
  <c r="G10" i="5" s="1"/>
  <c r="H10" i="5" s="1"/>
  <c r="I10" i="5" s="1"/>
  <c r="J10" i="5" s="1"/>
  <c r="K10" i="5" s="1"/>
  <c r="M10" i="5" s="1"/>
  <c r="M14" i="5" s="1"/>
  <c r="D28" i="4"/>
  <c r="C29" i="4" s="1"/>
  <c r="H25" i="5" l="1"/>
  <c r="H26" i="5" s="1"/>
  <c r="I17" i="5"/>
  <c r="I27" i="5"/>
  <c r="D27" i="5"/>
  <c r="C28" i="5" s="1"/>
  <c r="H28" i="5"/>
  <c r="D29" i="4"/>
  <c r="C30" i="4" s="1"/>
  <c r="K27" i="4"/>
  <c r="J27" i="5" l="1"/>
  <c r="D28" i="5"/>
  <c r="C29" i="5" s="1"/>
  <c r="I25" i="5"/>
  <c r="I26" i="5" s="1"/>
  <c r="H17" i="5"/>
  <c r="I28" i="5"/>
  <c r="D30" i="4"/>
  <c r="C31" i="4" s="1"/>
  <c r="L27" i="4"/>
  <c r="J25" i="5" l="1"/>
  <c r="J26" i="5" s="1"/>
  <c r="G17" i="5"/>
  <c r="K27" i="5"/>
  <c r="D29" i="5"/>
  <c r="C30" i="5" s="1"/>
  <c r="J28" i="5"/>
  <c r="D31" i="4"/>
  <c r="C32" i="4" s="1"/>
  <c r="M27" i="4"/>
  <c r="L27" i="5" l="1"/>
  <c r="D30" i="5"/>
  <c r="C31" i="5" s="1"/>
  <c r="K25" i="5"/>
  <c r="K26" i="5" s="1"/>
  <c r="K28" i="5" s="1"/>
  <c r="F17" i="5"/>
  <c r="D32" i="4"/>
  <c r="C33" i="4" s="1"/>
  <c r="N27" i="4"/>
  <c r="L25" i="5" l="1"/>
  <c r="L26" i="5" s="1"/>
  <c r="E17" i="5"/>
  <c r="D31" i="5"/>
  <c r="C32" i="5" s="1"/>
  <c r="M27" i="5"/>
  <c r="L28" i="5"/>
  <c r="D33" i="4"/>
  <c r="C34" i="4" s="1"/>
  <c r="O27" i="4"/>
  <c r="M25" i="5" l="1"/>
  <c r="M26" i="5" s="1"/>
  <c r="M28" i="5" s="1"/>
  <c r="D17" i="5"/>
  <c r="D32" i="5"/>
  <c r="C33" i="5" s="1"/>
  <c r="N27" i="5"/>
  <c r="D34" i="4"/>
  <c r="P27" i="4"/>
  <c r="O27" i="5" l="1"/>
  <c r="D33" i="5"/>
  <c r="C34" i="5" s="1"/>
  <c r="N25" i="5"/>
  <c r="N26" i="5" s="1"/>
  <c r="N28" i="5" s="1"/>
  <c r="C17" i="5"/>
  <c r="B17" i="4"/>
  <c r="C17" i="4"/>
  <c r="D17" i="4"/>
  <c r="E17" i="4"/>
  <c r="F17" i="4"/>
  <c r="G17" i="4"/>
  <c r="H17" i="4"/>
  <c r="I17" i="4"/>
  <c r="J17" i="4"/>
  <c r="J16" i="4"/>
  <c r="I16" i="4"/>
  <c r="H16" i="4"/>
  <c r="G16" i="4"/>
  <c r="F16" i="4"/>
  <c r="G9" i="4" s="1"/>
  <c r="H9" i="4" s="1"/>
  <c r="I9" i="4" s="1"/>
  <c r="J9" i="4" s="1"/>
  <c r="K9" i="4" s="1"/>
  <c r="E16" i="4"/>
  <c r="F10" i="4" s="1"/>
  <c r="G10" i="4" s="1"/>
  <c r="H10" i="4" s="1"/>
  <c r="I10" i="4" s="1"/>
  <c r="J10" i="4" s="1"/>
  <c r="K10" i="4" s="1"/>
  <c r="D16" i="4"/>
  <c r="E11" i="4" s="1"/>
  <c r="F11" i="4" s="1"/>
  <c r="G11" i="4" s="1"/>
  <c r="H11" i="4" s="1"/>
  <c r="I11" i="4" s="1"/>
  <c r="J11" i="4" s="1"/>
  <c r="K11" i="4" s="1"/>
  <c r="C16" i="4"/>
  <c r="D12" i="4" s="1"/>
  <c r="E12" i="4" s="1"/>
  <c r="F12" i="4" s="1"/>
  <c r="G12" i="4" s="1"/>
  <c r="H12" i="4" s="1"/>
  <c r="I12" i="4" s="1"/>
  <c r="J12" i="4" s="1"/>
  <c r="K12" i="4" s="1"/>
  <c r="B16" i="4"/>
  <c r="C13" i="4"/>
  <c r="D13" i="4" s="1"/>
  <c r="E13" i="4" s="1"/>
  <c r="F13" i="4" s="1"/>
  <c r="G13" i="4" s="1"/>
  <c r="H13" i="4" s="1"/>
  <c r="I13" i="4" s="1"/>
  <c r="J13" i="4" s="1"/>
  <c r="K13" i="4" s="1"/>
  <c r="H8" i="4"/>
  <c r="I8" i="4" s="1"/>
  <c r="J8" i="4" s="1"/>
  <c r="K8" i="4" s="1"/>
  <c r="I7" i="4"/>
  <c r="J7" i="4" s="1"/>
  <c r="K7" i="4" s="1"/>
  <c r="J6" i="4"/>
  <c r="K6" i="4" s="1"/>
  <c r="K5" i="4"/>
  <c r="A5" i="4"/>
  <c r="A6" i="4" s="1"/>
  <c r="A7" i="4" s="1"/>
  <c r="A8" i="4" s="1"/>
  <c r="A9" i="4" s="1"/>
  <c r="A10" i="4" s="1"/>
  <c r="A11" i="4" s="1"/>
  <c r="A12" i="4" s="1"/>
  <c r="A13" i="4" s="1"/>
  <c r="O25" i="5" l="1"/>
  <c r="O26" i="5" s="1"/>
  <c r="B17" i="5"/>
  <c r="P25" i="5" s="1"/>
  <c r="P26" i="5" s="1"/>
  <c r="P27" i="5"/>
  <c r="P28" i="5" s="1"/>
  <c r="D34" i="5"/>
  <c r="O28" i="5"/>
  <c r="H80" i="3"/>
  <c r="I80" i="3"/>
  <c r="J80" i="3"/>
  <c r="F79" i="3"/>
  <c r="H79" i="3"/>
  <c r="I79" i="3"/>
  <c r="I70" i="3"/>
  <c r="H70" i="3"/>
  <c r="H71" i="3"/>
  <c r="G70" i="3"/>
  <c r="G79" i="3" s="1"/>
  <c r="G71" i="3"/>
  <c r="G80" i="3" s="1"/>
  <c r="G72" i="3"/>
  <c r="F70" i="3"/>
  <c r="F71" i="3"/>
  <c r="F72" i="3"/>
  <c r="F73" i="3"/>
  <c r="E70" i="3"/>
  <c r="E80" i="3" s="1"/>
  <c r="E71" i="3"/>
  <c r="E72" i="3"/>
  <c r="E73" i="3"/>
  <c r="E74" i="3"/>
  <c r="D70" i="3"/>
  <c r="D71" i="3"/>
  <c r="D72" i="3"/>
  <c r="D73" i="3"/>
  <c r="D74" i="3"/>
  <c r="D75" i="3"/>
  <c r="D69" i="3"/>
  <c r="D80" i="3" s="1"/>
  <c r="E69" i="3"/>
  <c r="F69" i="3"/>
  <c r="F80" i="3" s="1"/>
  <c r="G69" i="3"/>
  <c r="H69" i="3"/>
  <c r="I69" i="3"/>
  <c r="J69" i="3"/>
  <c r="J79" i="3" s="1"/>
  <c r="C70" i="3"/>
  <c r="C71" i="3"/>
  <c r="C72" i="3"/>
  <c r="C73" i="3"/>
  <c r="C74" i="3"/>
  <c r="C75" i="3"/>
  <c r="C76" i="3"/>
  <c r="C69" i="3"/>
  <c r="C80" i="3" s="1"/>
  <c r="B70" i="3"/>
  <c r="B71" i="3"/>
  <c r="B72" i="3"/>
  <c r="B73" i="3"/>
  <c r="B74" i="3"/>
  <c r="B75" i="3"/>
  <c r="B76" i="3"/>
  <c r="B77" i="3"/>
  <c r="B69" i="3"/>
  <c r="B80" i="3" s="1"/>
  <c r="C47" i="3"/>
  <c r="D47" i="3"/>
  <c r="E47" i="3"/>
  <c r="F47" i="3"/>
  <c r="G47" i="3"/>
  <c r="H47" i="3"/>
  <c r="I47" i="3"/>
  <c r="C48" i="3"/>
  <c r="D48" i="3"/>
  <c r="E48" i="3"/>
  <c r="F48" i="3"/>
  <c r="G48" i="3"/>
  <c r="H48" i="3"/>
  <c r="C50" i="3"/>
  <c r="D50" i="3"/>
  <c r="E50" i="3"/>
  <c r="F50" i="3"/>
  <c r="C52" i="3"/>
  <c r="D52" i="3"/>
  <c r="C53" i="3"/>
  <c r="C51" i="3"/>
  <c r="D51" i="3"/>
  <c r="E51" i="3"/>
  <c r="C49" i="3"/>
  <c r="D49" i="3"/>
  <c r="E49" i="3"/>
  <c r="F49" i="3"/>
  <c r="G49" i="3"/>
  <c r="B53" i="3"/>
  <c r="B52" i="3"/>
  <c r="B51" i="3"/>
  <c r="B50" i="3"/>
  <c r="B49" i="3"/>
  <c r="B48" i="3"/>
  <c r="B47" i="3"/>
  <c r="B54" i="3"/>
  <c r="C46" i="3"/>
  <c r="D46" i="3"/>
  <c r="E46" i="3"/>
  <c r="F46" i="3"/>
  <c r="G46" i="3"/>
  <c r="H46" i="3"/>
  <c r="I46" i="3"/>
  <c r="J46" i="3"/>
  <c r="B46" i="3"/>
  <c r="C45" i="3"/>
  <c r="D45" i="3"/>
  <c r="E45" i="3"/>
  <c r="E56" i="3" s="1"/>
  <c r="F45" i="3"/>
  <c r="F56" i="3" s="1"/>
  <c r="G45" i="3"/>
  <c r="H45" i="3"/>
  <c r="I45" i="3"/>
  <c r="J45" i="3"/>
  <c r="K45" i="3"/>
  <c r="B45" i="3"/>
  <c r="G29" i="5" l="1"/>
  <c r="G31" i="5" s="1"/>
  <c r="B56" i="3"/>
  <c r="E79" i="3"/>
  <c r="D56" i="3"/>
  <c r="C56" i="3"/>
  <c r="D79" i="3"/>
  <c r="B79" i="3"/>
  <c r="C79" i="3"/>
  <c r="H56" i="3"/>
  <c r="G56" i="3"/>
  <c r="M22" i="3"/>
  <c r="N4" i="3"/>
  <c r="H26" i="3"/>
  <c r="I26" i="3" s="1"/>
  <c r="J26" i="3" s="1"/>
  <c r="F28" i="3"/>
  <c r="G28" i="3" s="1"/>
  <c r="H28" i="3" s="1"/>
  <c r="I28" i="3" s="1"/>
  <c r="J28" i="3" s="1"/>
  <c r="J34" i="3"/>
  <c r="K23" i="3" s="1"/>
  <c r="M23" i="3" s="1"/>
  <c r="I34" i="3"/>
  <c r="J24" i="3" s="1"/>
  <c r="H34" i="3"/>
  <c r="I25" i="3" s="1"/>
  <c r="G34" i="3"/>
  <c r="F34" i="3"/>
  <c r="G27" i="3" s="1"/>
  <c r="H27" i="3" s="1"/>
  <c r="E34" i="3"/>
  <c r="C34" i="3"/>
  <c r="D30" i="3" s="1"/>
  <c r="D34" i="3"/>
  <c r="E29" i="3" s="1"/>
  <c r="F29" i="3" s="1"/>
  <c r="G29" i="3" s="1"/>
  <c r="H29" i="3" s="1"/>
  <c r="I29" i="3" s="1"/>
  <c r="J29" i="3" s="1"/>
  <c r="B34" i="3"/>
  <c r="C31" i="3" s="1"/>
  <c r="D31" i="3" s="1"/>
  <c r="E31" i="3" s="1"/>
  <c r="F31" i="3" s="1"/>
  <c r="G31" i="3" s="1"/>
  <c r="H31" i="3" s="1"/>
  <c r="I31" i="3" s="1"/>
  <c r="J31" i="3" s="1"/>
  <c r="K31" i="3" s="1"/>
  <c r="M31" i="3" s="1"/>
  <c r="K5" i="3"/>
  <c r="N5" i="3" s="1"/>
  <c r="E11" i="3"/>
  <c r="J16" i="3"/>
  <c r="I16" i="3"/>
  <c r="J6" i="3" s="1"/>
  <c r="K6" i="3" s="1"/>
  <c r="N6" i="3" s="1"/>
  <c r="H16" i="3"/>
  <c r="I7" i="3" s="1"/>
  <c r="J7" i="3" s="1"/>
  <c r="K7" i="3" s="1"/>
  <c r="N7" i="3" s="1"/>
  <c r="G16" i="3"/>
  <c r="H8" i="3" s="1"/>
  <c r="I8" i="3" s="1"/>
  <c r="J8" i="3" s="1"/>
  <c r="K8" i="3" s="1"/>
  <c r="N8" i="3" s="1"/>
  <c r="F16" i="3"/>
  <c r="G9" i="3" s="1"/>
  <c r="E16" i="3"/>
  <c r="F10" i="3" s="1"/>
  <c r="G10" i="3" s="1"/>
  <c r="H10" i="3" s="1"/>
  <c r="I10" i="3" s="1"/>
  <c r="J10" i="3" s="1"/>
  <c r="K10" i="3" s="1"/>
  <c r="N10" i="3" s="1"/>
  <c r="D16" i="3"/>
  <c r="C16" i="3"/>
  <c r="D12" i="3" s="1"/>
  <c r="E12" i="3" s="1"/>
  <c r="B16" i="3"/>
  <c r="C13" i="3" s="1"/>
  <c r="A22" i="3"/>
  <c r="A5" i="3"/>
  <c r="A23" i="3" s="1"/>
  <c r="F35" i="1"/>
  <c r="A35" i="1"/>
  <c r="A19" i="1"/>
  <c r="A5" i="1"/>
  <c r="A36" i="1" s="1"/>
  <c r="F12" i="3" l="1"/>
  <c r="F11" i="3"/>
  <c r="I27" i="3"/>
  <c r="D13" i="3"/>
  <c r="E13" i="3" s="1"/>
  <c r="F13" i="3" s="1"/>
  <c r="G13" i="3" s="1"/>
  <c r="H13" i="3" s="1"/>
  <c r="I13" i="3" s="1"/>
  <c r="J13" i="3" s="1"/>
  <c r="K13" i="3" s="1"/>
  <c r="N13" i="3" s="1"/>
  <c r="H9" i="3"/>
  <c r="I9" i="3" s="1"/>
  <c r="J9" i="3" s="1"/>
  <c r="K9" i="3" s="1"/>
  <c r="N9" i="3" s="1"/>
  <c r="K24" i="3"/>
  <c r="M24" i="3" s="1"/>
  <c r="K28" i="3"/>
  <c r="M28" i="3" s="1"/>
  <c r="J27" i="3"/>
  <c r="K27" i="3" s="1"/>
  <c r="M27" i="3" s="1"/>
  <c r="K29" i="3"/>
  <c r="M29" i="3" s="1"/>
  <c r="E30" i="3"/>
  <c r="F30" i="3" s="1"/>
  <c r="G30" i="3" s="1"/>
  <c r="H30" i="3" s="1"/>
  <c r="I30" i="3" s="1"/>
  <c r="J30" i="3" s="1"/>
  <c r="K30" i="3" s="1"/>
  <c r="M30" i="3" s="1"/>
  <c r="G11" i="3"/>
  <c r="H11" i="3" s="1"/>
  <c r="I11" i="3" s="1"/>
  <c r="J11" i="3" s="1"/>
  <c r="K11" i="3" s="1"/>
  <c r="N11" i="3" s="1"/>
  <c r="K26" i="3"/>
  <c r="M26" i="3" s="1"/>
  <c r="G12" i="3"/>
  <c r="H12" i="3" s="1"/>
  <c r="I12" i="3" s="1"/>
  <c r="J12" i="3" s="1"/>
  <c r="K12" i="3" s="1"/>
  <c r="N12" i="3" s="1"/>
  <c r="J25" i="3"/>
  <c r="K25" i="3" s="1"/>
  <c r="M25" i="3" s="1"/>
  <c r="A6" i="3"/>
  <c r="F36" i="1"/>
  <c r="A20" i="1"/>
  <c r="A6" i="1"/>
  <c r="M32" i="3" l="1"/>
  <c r="M33" i="3" s="1"/>
  <c r="N14" i="3"/>
  <c r="N15" i="3" s="1"/>
  <c r="A7" i="3"/>
  <c r="A24" i="3"/>
  <c r="A7" i="1"/>
  <c r="A37" i="1"/>
  <c r="F37" i="1"/>
  <c r="A21" i="1"/>
  <c r="O13" i="3" l="1"/>
  <c r="A25" i="3"/>
  <c r="A8" i="3"/>
  <c r="A8" i="1"/>
  <c r="F38" i="1"/>
  <c r="A22" i="1"/>
  <c r="A38" i="1"/>
  <c r="A26" i="3" l="1"/>
  <c r="A9" i="3"/>
  <c r="A9" i="1"/>
  <c r="F39" i="1"/>
  <c r="A23" i="1"/>
  <c r="A39" i="1"/>
  <c r="A10" i="3" l="1"/>
  <c r="A27" i="3"/>
  <c r="A10" i="1"/>
  <c r="A40" i="1"/>
  <c r="F40" i="1"/>
  <c r="A24" i="1"/>
  <c r="A11" i="3" l="1"/>
  <c r="A28" i="3"/>
  <c r="A11" i="1"/>
  <c r="A41" i="1"/>
  <c r="F41" i="1"/>
  <c r="A25" i="1"/>
  <c r="A29" i="3" l="1"/>
  <c r="A12" i="3"/>
  <c r="A12" i="1"/>
  <c r="F42" i="1"/>
  <c r="A26" i="1"/>
  <c r="A42" i="1"/>
  <c r="A13" i="3" l="1"/>
  <c r="A31" i="3" s="1"/>
  <c r="A30" i="3"/>
  <c r="A13" i="1"/>
  <c r="F43" i="1"/>
  <c r="A27" i="1"/>
  <c r="A43" i="1"/>
  <c r="A44" i="1" l="1"/>
  <c r="F44" i="1"/>
  <c r="A28" i="1"/>
</calcChain>
</file>

<file path=xl/sharedStrings.xml><?xml version="1.0" encoding="utf-8"?>
<sst xmlns="http://schemas.openxmlformats.org/spreadsheetml/2006/main" count="428" uniqueCount="283">
  <si>
    <t>Année de</t>
  </si>
  <si>
    <t>Délai de développement</t>
  </si>
  <si>
    <t>survenance</t>
  </si>
  <si>
    <t>432 782</t>
  </si>
  <si>
    <t>898 124</t>
  </si>
  <si>
    <t>997 331</t>
  </si>
  <si>
    <t>1 027 219</t>
  </si>
  <si>
    <t>1 035 496</t>
  </si>
  <si>
    <t>1 030 840</t>
  </si>
  <si>
    <t>1 038 087</t>
  </si>
  <si>
    <t>1 042 345</t>
  </si>
  <si>
    <t>1 042 297</t>
  </si>
  <si>
    <t>1 039 601</t>
  </si>
  <si>
    <t>441 759</t>
  </si>
  <si>
    <t>913 991</t>
  </si>
  <si>
    <t>1 022 900</t>
  </si>
  <si>
    <t>1 077 197</t>
  </si>
  <si>
    <t>1 093 877</t>
  </si>
  <si>
    <t>1 105 416</t>
  </si>
  <si>
    <t>1 106 969</t>
  </si>
  <si>
    <t>1 113 688</t>
  </si>
  <si>
    <t>1 128 980</t>
  </si>
  <si>
    <t>419 449</t>
  </si>
  <si>
    <t>848 016</t>
  </si>
  <si>
    <t>925 269</t>
  </si>
  <si>
    <t>979 045</t>
  </si>
  <si>
    <t>1 001 307</t>
  </si>
  <si>
    <t>1 018 956</t>
  </si>
  <si>
    <t>1 042 093</t>
  </si>
  <si>
    <t>1 041 417</t>
  </si>
  <si>
    <t>407 962</t>
  </si>
  <si>
    <t>876 043</t>
  </si>
  <si>
    <t>999 854</t>
  </si>
  <si>
    <t>1 118 598</t>
  </si>
  <si>
    <t>1 231 642</t>
  </si>
  <si>
    <t>1 227 681</t>
  </si>
  <si>
    <t>1 244 795</t>
  </si>
  <si>
    <t>432 585</t>
  </si>
  <si>
    <t>847 593</t>
  </si>
  <si>
    <t>961 562</t>
  </si>
  <si>
    <t>1 009 070</t>
  </si>
  <si>
    <t>1 117 569</t>
  </si>
  <si>
    <t>1 124 601</t>
  </si>
  <si>
    <t>409 188</t>
  </si>
  <si>
    <t>864 592</t>
  </si>
  <si>
    <t>960 768</t>
  </si>
  <si>
    <t>1 040 363</t>
  </si>
  <si>
    <t>1 064 804</t>
  </si>
  <si>
    <t>424 180</t>
  </si>
  <si>
    <t>864 312</t>
  </si>
  <si>
    <t>977 930</t>
  </si>
  <si>
    <t>1 026 643</t>
  </si>
  <si>
    <t>442 586</t>
  </si>
  <si>
    <t>905 978</t>
  </si>
  <si>
    <t>1 016 550</t>
  </si>
  <si>
    <t>455 111</t>
  </si>
  <si>
    <t>955 309</t>
  </si>
  <si>
    <t>462 761</t>
  </si>
  <si>
    <t>1 245 296</t>
  </si>
  <si>
    <t>1 393 172</t>
  </si>
  <si>
    <t>1 283 063</t>
  </si>
  <si>
    <t>1 222 759</t>
  </si>
  <si>
    <t>1 164 264</t>
  </si>
  <si>
    <t>1 105 788</t>
  </si>
  <si>
    <t>1 095 652</t>
  </si>
  <si>
    <t>1 089 077</t>
  </si>
  <si>
    <t>1 081 644</t>
  </si>
  <si>
    <t>1 077 726</t>
  </si>
  <si>
    <t>1 457 612</t>
  </si>
  <si>
    <t>1 650 747</t>
  </si>
  <si>
    <t>1 481 550</t>
  </si>
  <si>
    <t>1 380 109</t>
  </si>
  <si>
    <t>1 339 858</t>
  </si>
  <si>
    <t>1 289 025</t>
  </si>
  <si>
    <t>1 266 666</t>
  </si>
  <si>
    <t>1 256 568</t>
  </si>
  <si>
    <t>1 247 416</t>
  </si>
  <si>
    <t>1 516 436</t>
  </si>
  <si>
    <t>1 449 934</t>
  </si>
  <si>
    <t>1 291 319</t>
  </si>
  <si>
    <t>1 203 932</t>
  </si>
  <si>
    <t>1 153 978</t>
  </si>
  <si>
    <t>1 095 327</t>
  </si>
  <si>
    <t>1 070 724</t>
  </si>
  <si>
    <t>1 061 630</t>
  </si>
  <si>
    <t>1 556 421</t>
  </si>
  <si>
    <t>1 660 104</t>
  </si>
  <si>
    <t>1 593 591</t>
  </si>
  <si>
    <t>1 522 083</t>
  </si>
  <si>
    <t>1 476 118</t>
  </si>
  <si>
    <t>1 449 604</t>
  </si>
  <si>
    <t>1 427 291</t>
  </si>
  <si>
    <t>1 278 959</t>
  </si>
  <si>
    <t>1 387 655</t>
  </si>
  <si>
    <t>1 320 005</t>
  </si>
  <si>
    <t>1 239 109</t>
  </si>
  <si>
    <t>1 206 974</t>
  </si>
  <si>
    <t>1 175 470</t>
  </si>
  <si>
    <t>1 084 325</t>
  </si>
  <si>
    <t>1 327 360</t>
  </si>
  <si>
    <t>1 282 673</t>
  </si>
  <si>
    <t>1 226 133</t>
  </si>
  <si>
    <t>1 198 003</t>
  </si>
  <si>
    <t>1 318 756</t>
  </si>
  <si>
    <t>1 640 878</t>
  </si>
  <si>
    <t>1 496 936</t>
  </si>
  <si>
    <t>1 365 069</t>
  </si>
  <si>
    <t>1 141 778</t>
  </si>
  <si>
    <t>1 367 948</t>
  </si>
  <si>
    <t>1 330 510</t>
  </si>
  <si>
    <t>1 467 315</t>
  </si>
  <si>
    <t>1 732 294</t>
  </si>
  <si>
    <t>1 327 945</t>
  </si>
  <si>
    <t>Année de survenance</t>
  </si>
  <si>
    <t>Primes Acquises</t>
  </si>
  <si>
    <t>2 299 983</t>
  </si>
  <si>
    <t>2 429 825</t>
  </si>
  <si>
    <t>2 587 198</t>
  </si>
  <si>
    <t>2 592 068</t>
  </si>
  <si>
    <t>2 667 143</t>
  </si>
  <si>
    <t>2 673 058</t>
  </si>
  <si>
    <t>2 643 847</t>
  </si>
  <si>
    <t>2 668 657</t>
  </si>
  <si>
    <t>2 704 462</t>
  </si>
  <si>
    <t>2 797 157</t>
  </si>
  <si>
    <t>IBNR</t>
  </si>
  <si>
    <t>33 189</t>
  </si>
  <si>
    <t>165 945</t>
  </si>
  <si>
    <t>Provisions pour IBNR comptables</t>
  </si>
  <si>
    <t>Préliminaires</t>
  </si>
  <si>
    <r>
      <t xml:space="preserve">Données </t>
    </r>
    <r>
      <rPr>
        <i/>
        <sz val="11"/>
        <color theme="1"/>
        <rFont val="Calibri"/>
        <family val="2"/>
        <scheme val="minor"/>
      </rPr>
      <t>:</t>
    </r>
  </si>
  <si>
    <r>
      <t xml:space="preserve">Logiciels utilisés : </t>
    </r>
    <r>
      <rPr>
        <i/>
        <sz val="11"/>
        <color theme="1"/>
        <rFont val="Calibri"/>
        <family val="2"/>
        <scheme val="minor"/>
      </rPr>
      <t>les 2 parties devront être réalisées sur Excel</t>
    </r>
  </si>
  <si>
    <r>
      <t xml:space="preserve">Output </t>
    </r>
    <r>
      <rPr>
        <i/>
        <sz val="11"/>
        <color theme="1"/>
        <rFont val="Calibri"/>
        <family val="2"/>
        <scheme val="minor"/>
      </rPr>
      <t>: Le sujet pourra être traité seul ou par groupe (3 personnes maximum). Chaque groupe devra rendre un dossier nommé : Nom_Prenom_Eleve1-Nom Prénom_Eleve2 …comprenant :</t>
    </r>
  </si>
  <si>
    <r>
      <t>·</t>
    </r>
    <r>
      <rPr>
        <sz val="7"/>
        <color theme="1"/>
        <rFont val="Times New Roman"/>
        <family val="1"/>
      </rPr>
      <t xml:space="preserve">         </t>
    </r>
    <r>
      <rPr>
        <i/>
        <sz val="11"/>
        <color theme="1"/>
        <rFont val="Calibri"/>
        <family val="2"/>
        <scheme val="minor"/>
      </rPr>
      <t>Les fichiers de calculs : Fichier Excel</t>
    </r>
  </si>
  <si>
    <t>La clarté de vos travaux (fichiers Excel), la logique de votre démarche et la qualité de vos commentaires seront les éléments clés de la notation. La partie I et II compteront chacune pour moitié dans la note de cette épreuve.</t>
  </si>
  <si>
    <t>Les données utiles pour les applications numériques sont dans l'onglet triangles.</t>
  </si>
  <si>
    <r>
      <t>·</t>
    </r>
    <r>
      <rPr>
        <sz val="7"/>
        <color theme="1"/>
        <rFont val="Times New Roman"/>
        <family val="1"/>
      </rPr>
      <t xml:space="preserve">         </t>
    </r>
    <r>
      <rPr>
        <i/>
        <sz val="11"/>
        <color theme="1"/>
        <rFont val="Calibri"/>
        <family val="2"/>
        <scheme val="minor"/>
      </rPr>
      <t>Un rapport de 10 pages maximum présentant votre démarche et présentant les résultats.</t>
    </r>
  </si>
  <si>
    <t>Paiements cumulés des sinistres</t>
  </si>
  <si>
    <t>Charges cumulées des sinistres connus (paiements + provisions dossier à dossier)</t>
  </si>
  <si>
    <t>Sujet</t>
  </si>
  <si>
    <t>Partie 1 : Méthodes déterministes de calcul des provisions</t>
  </si>
  <si>
    <t>A partir de ces données,</t>
  </si>
  <si>
    <r>
      <t>2.</t>
    </r>
    <r>
      <rPr>
        <sz val="7"/>
        <color theme="1"/>
        <rFont val="Times New Roman"/>
        <family val="1"/>
      </rPr>
      <t xml:space="preserve">       </t>
    </r>
    <r>
      <rPr>
        <sz val="11"/>
        <color theme="1"/>
        <rFont val="Calibri"/>
        <family val="2"/>
        <scheme val="minor"/>
      </rPr>
      <t>Commentez   les   différents   phénomènes   que   vous   observez   dans   les   triangles   de développement des paiements, des charges de sinistres, des provisions, …</t>
    </r>
  </si>
  <si>
    <r>
      <t>·</t>
    </r>
    <r>
      <rPr>
        <sz val="7"/>
        <color theme="1"/>
        <rFont val="Times New Roman"/>
        <family val="1"/>
      </rPr>
      <t xml:space="preserve">         </t>
    </r>
    <r>
      <rPr>
        <sz val="11"/>
        <color theme="1"/>
        <rFont val="Calibri"/>
        <family val="2"/>
        <scheme val="minor"/>
      </rPr>
      <t>la méthode de Chain Ladder sur les charges de sinistres connus ;</t>
    </r>
  </si>
  <si>
    <r>
      <t>·</t>
    </r>
    <r>
      <rPr>
        <sz val="7"/>
        <color theme="1"/>
        <rFont val="Times New Roman"/>
        <family val="1"/>
      </rPr>
      <t xml:space="preserve">         </t>
    </r>
    <r>
      <rPr>
        <sz val="11"/>
        <color theme="1"/>
        <rFont val="Calibri"/>
        <family val="2"/>
        <scheme val="minor"/>
      </rPr>
      <t>la méthode de Chain Ladder sur les paiements de sinistres (avec une prise en compte du Tail Factor le cas échéant) ;</t>
    </r>
  </si>
  <si>
    <r>
      <t>·</t>
    </r>
    <r>
      <rPr>
        <sz val="7"/>
        <color theme="1"/>
        <rFont val="Times New Roman"/>
        <family val="1"/>
      </rPr>
      <t xml:space="preserve">         </t>
    </r>
    <r>
      <rPr>
        <sz val="11"/>
        <color theme="1"/>
        <rFont val="Calibri"/>
        <family val="2"/>
        <scheme val="minor"/>
      </rPr>
      <t>la méthode de Bornhuetter Ferguson sur les paiements ;</t>
    </r>
  </si>
  <si>
    <r>
      <t>·</t>
    </r>
    <r>
      <rPr>
        <sz val="7"/>
        <color theme="1"/>
        <rFont val="Times New Roman"/>
        <family val="1"/>
      </rPr>
      <t xml:space="preserve">         </t>
    </r>
    <r>
      <rPr>
        <sz val="11"/>
        <color theme="1"/>
        <rFont val="Calibri"/>
        <family val="2"/>
        <scheme val="minor"/>
      </rPr>
      <t>la méthode de Bornhuetter Ferguson sur les charges de sinistres connus ;</t>
    </r>
  </si>
  <si>
    <r>
      <t>·</t>
    </r>
    <r>
      <rPr>
        <sz val="7"/>
        <color theme="1"/>
        <rFont val="Times New Roman"/>
        <family val="1"/>
      </rPr>
      <t xml:space="preserve">         </t>
    </r>
    <r>
      <rPr>
        <sz val="11"/>
        <color theme="1"/>
        <rFont val="Calibri"/>
        <family val="2"/>
        <scheme val="minor"/>
      </rPr>
      <t>toutes autres méthodes vues en cours que vous jugeriez intéressantes et applicables, …</t>
    </r>
  </si>
  <si>
    <r>
      <t>3.</t>
    </r>
    <r>
      <rPr>
        <sz val="7"/>
        <color theme="1"/>
        <rFont val="Times New Roman"/>
        <family val="1"/>
      </rPr>
      <t xml:space="preserve">       </t>
    </r>
    <r>
      <rPr>
        <sz val="11"/>
        <color theme="1"/>
        <rFont val="Calibri"/>
        <family val="2"/>
        <scheme val="minor"/>
      </rPr>
      <t>Produisez une démarche de calcul des provisions Best Estimate (non escomptées) sur cette branche, en utilisant les méthodes classiques de provisionnement vues en cours, à savoir :</t>
    </r>
  </si>
  <si>
    <t>Pour chacune des  méthodes  ci-dessus,  construisez  sur Excel  un  modèle d’estimation en détaillant le plus possible votre approche.</t>
  </si>
  <si>
    <r>
      <t>4.</t>
    </r>
    <r>
      <rPr>
        <sz val="7"/>
        <color theme="1"/>
        <rFont val="Times New Roman"/>
        <family val="1"/>
      </rPr>
      <t xml:space="preserve">       </t>
    </r>
    <r>
      <rPr>
        <sz val="11"/>
        <color theme="1"/>
        <rFont val="Calibri"/>
        <family val="2"/>
        <scheme val="minor"/>
      </rPr>
      <t>Argumentez le choix de la charge ultime retenue par exercice de survenance.</t>
    </r>
  </si>
  <si>
    <r>
      <t>1.</t>
    </r>
    <r>
      <rPr>
        <sz val="7"/>
        <color theme="1"/>
        <rFont val="Times New Roman"/>
        <family val="1"/>
      </rPr>
      <t xml:space="preserve">       </t>
    </r>
    <r>
      <rPr>
        <sz val="11"/>
        <color theme="1"/>
        <rFont val="Calibri"/>
        <family val="2"/>
        <scheme val="minor"/>
      </rPr>
      <t>Présenter une synthèse des provisions comptabilisées par exercice de survenance sur cette branche.</t>
    </r>
  </si>
  <si>
    <r>
      <t>5.</t>
    </r>
    <r>
      <rPr>
        <sz val="7"/>
        <color theme="1"/>
        <rFont val="Times New Roman"/>
        <family val="1"/>
      </rPr>
      <t xml:space="preserve">       </t>
    </r>
    <r>
      <rPr>
        <sz val="11"/>
        <color theme="1"/>
        <rFont val="Calibri"/>
        <family val="2"/>
        <scheme val="minor"/>
      </rPr>
      <t xml:space="preserve">Présentez un tableau synthétique des résultats incluant </t>
    </r>
    <r>
      <rPr>
        <u/>
        <sz val="11"/>
        <color theme="1"/>
        <rFont val="Calibri"/>
        <family val="2"/>
        <scheme val="minor"/>
      </rPr>
      <t>entre autres</t>
    </r>
    <r>
      <rPr>
        <sz val="11"/>
        <color theme="1"/>
        <rFont val="Calibri"/>
        <family val="2"/>
        <scheme val="minor"/>
      </rPr>
      <t>, les charges ultimes issues des différentes méthodes, la charges ultime retenue par exercice de survenance, les provisions totales, les provisions pour IBNR, les ratios S/P ultimes résultant de vos calculs.</t>
    </r>
  </si>
  <si>
    <t>Partie 2 : Méthodes stochastiques de calcul des provisions</t>
  </si>
  <si>
    <t>Dans cette partie, vous utiliserez par simplification le triangle des paiements et les résultats issus de la méthode de Chain Ladder appliquée aux paiements.</t>
  </si>
  <si>
    <t>Le  Directeur  Général  souhaite  également  connaitre  le   niveau  de  suffisance  des  provisions comptabilisées.</t>
  </si>
  <si>
    <r>
      <t>6.</t>
    </r>
    <r>
      <rPr>
        <sz val="7"/>
        <color theme="1"/>
        <rFont val="Times New Roman"/>
        <family val="1"/>
      </rPr>
      <t xml:space="preserve">       </t>
    </r>
    <r>
      <rPr>
        <sz val="11"/>
        <color theme="1"/>
        <rFont val="Calibri"/>
        <family val="2"/>
        <scheme val="minor"/>
      </rPr>
      <t>Dans  l’hypothèse de  l’utilisation  du  modèle de  Mack,  estimez  l’erreur  de  prédiction  du montant total des provisions sur la branche.</t>
    </r>
  </si>
  <si>
    <r>
      <t>7.</t>
    </r>
    <r>
      <rPr>
        <sz val="7"/>
        <color theme="1"/>
        <rFont val="Times New Roman"/>
        <family val="1"/>
      </rPr>
      <t xml:space="preserve">       </t>
    </r>
    <r>
      <rPr>
        <sz val="11"/>
        <color theme="1"/>
        <rFont val="Calibri"/>
        <family val="2"/>
        <scheme val="minor"/>
      </rPr>
      <t>En supposant que le montant total des sinistres survenus et restant à payer suive une distribution Lognormale, calculer les quantile à 50%, 75%, 80%, 90%, 95%, 99%, 99,5% de la distribution obtenue.</t>
    </r>
  </si>
  <si>
    <r>
      <t>8.</t>
    </r>
    <r>
      <rPr>
        <sz val="7"/>
        <color theme="1"/>
        <rFont val="Times New Roman"/>
        <family val="1"/>
      </rPr>
      <t xml:space="preserve">       </t>
    </r>
    <r>
      <rPr>
        <sz val="11"/>
        <color theme="1"/>
        <rFont val="Calibri"/>
        <family val="2"/>
        <scheme val="minor"/>
      </rPr>
      <t>Quelle est la probabilité que le montant des provisions comptabilisées soit insuffisant pour payer les sinistres survenus mais non encore réglés ?</t>
    </r>
  </si>
  <si>
    <t>Actuariat non vie</t>
  </si>
  <si>
    <t>Master 2e année ASSURANCE ET ANALYSE FINANCIERE</t>
  </si>
  <si>
    <t>Projet Provisionnement 1</t>
  </si>
  <si>
    <t>Dans le cadre de sa clôture des comptes au 31/12/2019, le Directeur Général d'une société d'assurance vous demande de formuler une opinion sur le niveau des provisions de la branche RC Automobile dont les statistiques de développement sont présentées dans l'onglet "Triangles".</t>
  </si>
  <si>
    <t>coeff de passage</t>
  </si>
  <si>
    <t>Provision</t>
  </si>
  <si>
    <t>0-1</t>
  </si>
  <si>
    <t>1-2</t>
  </si>
  <si>
    <t>2-3</t>
  </si>
  <si>
    <t>3-4</t>
  </si>
  <si>
    <t>4-5</t>
  </si>
  <si>
    <t>5-6</t>
  </si>
  <si>
    <t>6-7</t>
  </si>
  <si>
    <t>7-8</t>
  </si>
  <si>
    <t>8-9</t>
  </si>
  <si>
    <t>Moyenne</t>
  </si>
  <si>
    <t>Ecart-type</t>
  </si>
  <si>
    <t>CDR</t>
  </si>
  <si>
    <t>Primes acquises</t>
  </si>
  <si>
    <t>Sinistre utlime</t>
  </si>
  <si>
    <t>S/P (loss ratio)</t>
  </si>
  <si>
    <t>CDF</t>
  </si>
  <si>
    <t>1-1/CDF</t>
  </si>
  <si>
    <t>perte initale ultime</t>
  </si>
  <si>
    <t>provision</t>
  </si>
  <si>
    <t>somme provision</t>
  </si>
  <si>
    <t>SOMME net</t>
  </si>
  <si>
    <t>PROVISION + IBNR</t>
  </si>
  <si>
    <t>Sinistre ultime</t>
  </si>
  <si>
    <t>S/P (Loss ratio)</t>
  </si>
  <si>
    <t>perte initiale ultime</t>
  </si>
  <si>
    <t>Somme net</t>
  </si>
  <si>
    <t>Année</t>
  </si>
  <si>
    <t xml:space="preserve">provision </t>
  </si>
  <si>
    <t xml:space="preserve">Question 1 : </t>
  </si>
  <si>
    <t xml:space="preserve">On a une provision pour </t>
  </si>
  <si>
    <t>Si on a surprovisionner ou sous provisionner</t>
  </si>
  <si>
    <t>Combien on a provisionner?</t>
  </si>
  <si>
    <t xml:space="preserve">Que l'on a vu en cours </t>
  </si>
  <si>
    <t>explication</t>
  </si>
  <si>
    <t>diapo 183</t>
  </si>
  <si>
    <t>comparaison ibnr et quantile</t>
  </si>
  <si>
    <t>On répond à la question à partir de la précédente</t>
  </si>
  <si>
    <t>Montant total des sinistres à partir de 2010</t>
  </si>
  <si>
    <t>Montants des règlements</t>
  </si>
  <si>
    <t>Réserves requises</t>
  </si>
  <si>
    <t>Réserves requises + IBNR</t>
  </si>
  <si>
    <t>Chain Ladder</t>
  </si>
  <si>
    <t>Bornhuetter- ferguson</t>
  </si>
  <si>
    <t>GLM</t>
  </si>
  <si>
    <t>Paiements cumulés</t>
  </si>
  <si>
    <t>Charges cumulés</t>
  </si>
  <si>
    <t>Total</t>
  </si>
  <si>
    <t>Triangle</t>
  </si>
  <si>
    <t>Méthode</t>
  </si>
  <si>
    <t>Mack</t>
  </si>
  <si>
    <t>Annee</t>
  </si>
  <si>
    <t>Developpement</t>
  </si>
  <si>
    <t>Montant</t>
  </si>
  <si>
    <t>NA</t>
  </si>
  <si>
    <t xml:space="preserve">        Latest Dev,To,Date  Ultimate    IBNR Mack,S,E CV(IBNR)</t>
  </si>
  <si>
    <t xml:space="preserve">                Totals</t>
  </si>
  <si>
    <t>2010 1,039,601       1,000 1,039,601       0        0      NaN</t>
  </si>
  <si>
    <t>Latest:   10,105,461,00</t>
  </si>
  <si>
    <t>2011 1,128,980       1,003 1,126,060  -2,920    5,464   -1,871</t>
  </si>
  <si>
    <t>Dev:               0,89</t>
  </si>
  <si>
    <t>2012 1,041,417       0,996 1,046,067   4,650   13,555    2,915</t>
  </si>
  <si>
    <t>Ultimate: 11,400,776,22</t>
  </si>
  <si>
    <t>2013 1,244,795       0,992 1,254,395   9,600   16,060    1,673</t>
  </si>
  <si>
    <t>IBNR:      1,295,315,22</t>
  </si>
  <si>
    <t>2014 1,124,601       0,981 1,145,957  21,356   18,869    0,884</t>
  </si>
  <si>
    <t>Mack,S,E     180,189,43</t>
  </si>
  <si>
    <t>2015 1,064,804       0,976 1,090,490  25,686   21,366    0,832</t>
  </si>
  <si>
    <t>CV(IBNR):          0,14</t>
  </si>
  <si>
    <t>2016 1,026,643       0,933 1,100,721  74,078   56,175    0,758</t>
  </si>
  <si>
    <t>2017 1,016,550       0,877 1,158,762 142,212   66,921    0,471</t>
  </si>
  <si>
    <t>2018   955,309       0,783 1,219,826 264,517   71,173    0,269</t>
  </si>
  <si>
    <t>2019   462,761       0,380 1,218,898 756,137   78,444    0,104</t>
  </si>
  <si>
    <t>q50</t>
  </si>
  <si>
    <t>q75</t>
  </si>
  <si>
    <t>q80</t>
  </si>
  <si>
    <t>q90</t>
  </si>
  <si>
    <t>q95</t>
  </si>
  <si>
    <t>q99</t>
  </si>
  <si>
    <t>q99_5</t>
  </si>
  <si>
    <t>La probabilité est de 50%</t>
  </si>
  <si>
    <t>Lastest</t>
  </si>
  <si>
    <t>LDF</t>
  </si>
  <si>
    <t>Ultimate</t>
  </si>
  <si>
    <t>Paiements non cumulés des sinistres</t>
  </si>
  <si>
    <t>Paiements cumulés des sinistres d'après l'estimation par un  GLM</t>
  </si>
  <si>
    <t>Cout ultime</t>
  </si>
  <si>
    <t>Provisions</t>
  </si>
  <si>
    <t>Développement</t>
  </si>
  <si>
    <t>Statistique LR pour Analyse de Type 3</t>
  </si>
  <si>
    <t>Source</t>
  </si>
  <si>
    <t>DDL</t>
  </si>
  <si>
    <t>Khi-2</t>
  </si>
  <si>
    <t>Pr &gt; khi-2</t>
  </si>
  <si>
    <t>&lt;,0001</t>
  </si>
  <si>
    <t>Critères d'évaluation de l'adéquation</t>
  </si>
  <si>
    <t>Critère</t>
  </si>
  <si>
    <t>Valeur</t>
  </si>
  <si>
    <t>Valeur/DDL</t>
  </si>
  <si>
    <t>Ecart</t>
  </si>
  <si>
    <t>Déviance normalisée</t>
  </si>
  <si>
    <t>Khi2 de Pearson</t>
  </si>
  <si>
    <t>Pearson normalisé X2</t>
  </si>
  <si>
    <t>Log-vraisemblance</t>
  </si>
  <si>
    <t>Log-vraisemblance complète</t>
  </si>
  <si>
    <t>AIC (préférer les petites valeurs)</t>
  </si>
  <si>
    <t>AICC (préférer les petites valeurs)</t>
  </si>
  <si>
    <t>BIC (préférer les petites valeurs)</t>
  </si>
  <si>
    <t>Analyse des paramètres estimés du maximum de vraisemblance</t>
  </si>
  <si>
    <t>Paramètre</t>
  </si>
  <si>
    <t>Estimation</t>
  </si>
  <si>
    <t>Erreur</t>
  </si>
  <si>
    <t>Intervalle de confiance</t>
  </si>
  <si>
    <t>Khi-2 de Wald</t>
  </si>
  <si>
    <t>type</t>
  </si>
  <si>
    <t>de Wald à95%</t>
  </si>
  <si>
    <t>Intercept</t>
  </si>
  <si>
    <t>,</t>
  </si>
  <si>
    <t>Echelle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</si>
</sst>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 #,##0.00_)\ &quot;€&quot;_ ;_ * \(#,##0.00\)\ &quot;€&quot;_ ;_ * &quot;-&quot;??_)\ &quot;€&quot;_ ;_ @_ "/>
    <numFmt numFmtId="165" formatCode="#,##0.00\ &quot;€&quot;"/>
    <numFmt numFmtId="166" formatCode="#,##0.0000000000"/>
    <numFmt numFmtId="167" formatCode="#,##0.0000"/>
    <numFmt numFmtId="168" formatCode="#,##0\ &quot;€&quot;"/>
    <numFmt numFmtId="169" formatCode="#,##0.0000\ &quot;€&quot;"/>
    <numFmt numFmtId="171" formatCode="_-* #,##0_-;\-* #,##0_-;_-* &quot;-&quot;??_-;_-@_-"/>
    <numFmt numFmtId="172" formatCode="0.0000"/>
    <numFmt numFmtId="173" formatCode="_-* #,##0.0000_-;\-* #,##0.0000_-;_-* &quot;-&quot;??_-;_-@_-"/>
  </numFmts>
  <fonts count="39" x14ac:knownFonts="1">
    <font>
      <sz val="11"/>
      <color theme="1"/>
      <name val="Calibri"/>
      <family val="2"/>
      <scheme val="minor"/>
    </font>
    <font>
      <b/>
      <sz val="8"/>
      <name val="Times New Roman"/>
      <family val="1"/>
    </font>
    <font>
      <sz val="8"/>
      <name val="Times New Roman"/>
      <family val="1"/>
    </font>
    <font>
      <b/>
      <sz val="11"/>
      <color theme="1"/>
      <name val="Calibri"/>
      <family val="2"/>
      <scheme val="minor"/>
    </font>
    <font>
      <b/>
      <sz val="8"/>
      <color theme="0"/>
      <name val="Times New Roman"/>
      <family val="1"/>
    </font>
    <font>
      <b/>
      <sz val="8"/>
      <color theme="0"/>
      <name val="Book Antiqua"/>
      <family val="1"/>
    </font>
    <font>
      <b/>
      <u/>
      <sz val="11"/>
      <color theme="1"/>
      <name val="Calibri"/>
      <family val="2"/>
      <scheme val="minor"/>
    </font>
    <font>
      <b/>
      <u/>
      <sz val="12"/>
      <color theme="1"/>
      <name val="Calibri"/>
      <family val="2"/>
      <scheme val="minor"/>
    </font>
    <font>
      <b/>
      <sz val="5"/>
      <color theme="1"/>
      <name val="Calibri"/>
      <family val="2"/>
      <scheme val="minor"/>
    </font>
    <font>
      <i/>
      <sz val="11"/>
      <color theme="1"/>
      <name val="Calibri"/>
      <family val="2"/>
      <scheme val="minor"/>
    </font>
    <font>
      <i/>
      <u/>
      <sz val="11"/>
      <color theme="1"/>
      <name val="Calibri"/>
      <family val="2"/>
      <scheme val="minor"/>
    </font>
    <font>
      <i/>
      <sz val="9.5"/>
      <color theme="1"/>
      <name val="Calibri"/>
      <family val="2"/>
      <scheme val="minor"/>
    </font>
    <font>
      <i/>
      <sz val="5"/>
      <color theme="1"/>
      <name val="Calibri"/>
      <family val="2"/>
      <scheme val="minor"/>
    </font>
    <font>
      <sz val="11"/>
      <color theme="1"/>
      <name val="Symbol"/>
      <family val="1"/>
      <charset val="2"/>
    </font>
    <font>
      <sz val="7"/>
      <color theme="1"/>
      <name val="Times New Roman"/>
      <family val="1"/>
    </font>
    <font>
      <b/>
      <i/>
      <sz val="11"/>
      <color theme="1"/>
      <name val="Calibri"/>
      <family val="2"/>
      <scheme val="minor"/>
    </font>
    <font>
      <b/>
      <sz val="8"/>
      <color rgb="FFFF0000"/>
      <name val="Times New Roman"/>
      <family val="1"/>
    </font>
    <font>
      <u/>
      <sz val="11"/>
      <color theme="1"/>
      <name val="Calibri"/>
      <family val="2"/>
      <scheme val="minor"/>
    </font>
    <font>
      <b/>
      <sz val="18"/>
      <color rgb="FFFF0000"/>
      <name val="Calibri"/>
      <family val="2"/>
      <scheme val="minor"/>
    </font>
    <font>
      <b/>
      <sz val="14"/>
      <color theme="1"/>
      <name val="Calibri"/>
      <family val="2"/>
      <scheme val="minor"/>
    </font>
    <font>
      <sz val="11"/>
      <color theme="1"/>
      <name val="Calibri"/>
      <family val="2"/>
      <scheme val="minor"/>
    </font>
    <font>
      <b/>
      <sz val="8"/>
      <color theme="1"/>
      <name val="Times New Roman"/>
      <family val="1"/>
    </font>
    <font>
      <sz val="8"/>
      <color theme="1"/>
      <name val="Calibri"/>
      <family val="2"/>
      <scheme val="minor"/>
    </font>
    <font>
      <b/>
      <sz val="11"/>
      <color theme="0"/>
      <name val="Calibri"/>
      <family val="2"/>
      <scheme val="minor"/>
    </font>
    <font>
      <sz val="8"/>
      <color theme="0"/>
      <name val="Calibri"/>
      <family val="2"/>
      <scheme val="minor"/>
    </font>
    <font>
      <sz val="8"/>
      <color theme="1"/>
      <name val="Times New Roman"/>
      <family val="1"/>
    </font>
    <font>
      <sz val="11"/>
      <color theme="0"/>
      <name val="Calibri"/>
      <family val="2"/>
      <scheme val="minor"/>
    </font>
    <font>
      <sz val="10"/>
      <name val="Times New Roman"/>
      <family val="1"/>
    </font>
    <font>
      <sz val="10"/>
      <color theme="1"/>
      <name val="Calibri"/>
      <family val="2"/>
      <scheme val="minor"/>
    </font>
    <font>
      <sz val="11"/>
      <name val="Calibri"/>
      <family val="2"/>
      <scheme val="minor"/>
    </font>
    <font>
      <sz val="10"/>
      <color rgb="FF000000"/>
      <name val="Lucida Console"/>
      <family val="3"/>
    </font>
    <font>
      <b/>
      <sz val="12"/>
      <color rgb="FF000000"/>
      <name val="Calibri"/>
      <family val="2"/>
      <scheme val="minor"/>
    </font>
    <font>
      <sz val="12"/>
      <color rgb="FF000000"/>
      <name val="Calibri"/>
      <family val="2"/>
      <scheme val="minor"/>
    </font>
    <font>
      <b/>
      <sz val="11"/>
      <color rgb="FFFF0000"/>
      <name val="Calibri"/>
      <family val="2"/>
      <scheme val="minor"/>
    </font>
    <font>
      <b/>
      <sz val="11"/>
      <name val="Calibri"/>
      <family val="2"/>
      <scheme val="minor"/>
    </font>
    <font>
      <b/>
      <sz val="11"/>
      <color rgb="FF000000"/>
      <name val="Arial"/>
      <family val="2"/>
    </font>
    <font>
      <sz val="11"/>
      <color rgb="FF000000"/>
      <name val="Arial"/>
      <family val="2"/>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3"/>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3" tint="-0.249977111117893"/>
        <bgColor indexed="64"/>
      </patternFill>
    </fill>
    <fill>
      <patternFill patternType="solid">
        <fgColor theme="9" tint="0.59999389629810485"/>
        <bgColor indexed="64"/>
      </patternFill>
    </fill>
    <fill>
      <patternFill patternType="solid">
        <fgColor rgb="FFFF9A72"/>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FFFFFF"/>
        <bgColor indexed="64"/>
      </patternFill>
    </fill>
    <fill>
      <patternFill patternType="solid">
        <fgColor rgb="FFFFFF00"/>
        <bgColor indexed="64"/>
      </patternFill>
    </fill>
  </fills>
  <borders count="30">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20" fillId="0" borderId="0" applyFont="0" applyFill="0" applyBorder="0" applyAlignment="0" applyProtection="0"/>
    <xf numFmtId="43" fontId="20" fillId="0" borderId="0" applyFont="0" applyFill="0" applyBorder="0" applyAlignment="0" applyProtection="0"/>
  </cellStyleXfs>
  <cellXfs count="202">
    <xf numFmtId="0" fontId="0" fillId="0" borderId="0" xfId="0"/>
    <xf numFmtId="0" fontId="1" fillId="0" borderId="9" xfId="0" applyFont="1" applyBorder="1" applyAlignment="1">
      <alignment vertical="center" wrapText="1"/>
    </xf>
    <xf numFmtId="0" fontId="2" fillId="0" borderId="0" xfId="0" applyFont="1"/>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left" vertical="center" wrapText="1" indent="1"/>
    </xf>
    <xf numFmtId="0" fontId="1" fillId="0" borderId="4" xfId="0" applyFont="1" applyBorder="1" applyAlignment="1">
      <alignment horizontal="left" vertical="center" wrapText="1" indent="1"/>
    </xf>
    <xf numFmtId="0" fontId="1" fillId="0" borderId="9" xfId="0" applyFont="1" applyBorder="1" applyAlignment="1">
      <alignment horizontal="left" vertical="center" wrapText="1" indent="1"/>
    </xf>
    <xf numFmtId="0" fontId="2" fillId="0" borderId="9" xfId="0" applyFont="1" applyBorder="1" applyAlignment="1">
      <alignment horizontal="left" vertical="center" wrapText="1" indent="1"/>
    </xf>
    <xf numFmtId="0" fontId="1" fillId="0" borderId="9" xfId="0" applyFont="1" applyBorder="1" applyAlignment="1">
      <alignment horizontal="center" vertical="center" wrapText="1"/>
    </xf>
    <xf numFmtId="0" fontId="2" fillId="0" borderId="9" xfId="0" applyFont="1" applyBorder="1" applyAlignment="1">
      <alignment horizontal="left" vertical="center" wrapText="1" indent="2"/>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1" fillId="0" borderId="0" xfId="0" applyFont="1" applyBorder="1" applyAlignment="1">
      <alignment horizontal="left" vertical="center" wrapText="1" indent="1"/>
    </xf>
    <xf numFmtId="0" fontId="2" fillId="0" borderId="0" xfId="0" applyFont="1" applyBorder="1" applyAlignment="1">
      <alignment horizontal="center" vertical="center" wrapText="1"/>
    </xf>
    <xf numFmtId="0" fontId="4" fillId="2" borderId="9" xfId="0" applyFont="1" applyFill="1" applyBorder="1" applyAlignment="1">
      <alignment vertical="center" wrapText="1"/>
    </xf>
    <xf numFmtId="0" fontId="4" fillId="2" borderId="9" xfId="0" applyFont="1" applyFill="1" applyBorder="1" applyAlignment="1">
      <alignment horizontal="left" vertical="center" wrapText="1" indent="1"/>
    </xf>
    <xf numFmtId="0" fontId="4" fillId="2" borderId="1"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Alignment="1">
      <alignment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horizontal="left" vertical="center"/>
    </xf>
    <xf numFmtId="0" fontId="10" fillId="0" borderId="0" xfId="0" applyFont="1" applyAlignment="1">
      <alignment horizontal="left" vertical="center"/>
    </xf>
    <xf numFmtId="0" fontId="15" fillId="0" borderId="0" xfId="0" applyFont="1" applyAlignment="1">
      <alignment horizontal="left" vertical="center"/>
    </xf>
    <xf numFmtId="0" fontId="0" fillId="0" borderId="0" xfId="0" applyAlignment="1">
      <alignment horizontal="left" vertical="center"/>
    </xf>
    <xf numFmtId="0" fontId="16" fillId="0" borderId="0" xfId="0" applyFont="1"/>
    <xf numFmtId="0" fontId="3" fillId="0" borderId="0" xfId="0" applyFont="1" applyAlignment="1">
      <alignment vertical="center"/>
    </xf>
    <xf numFmtId="0" fontId="6" fillId="0" borderId="0" xfId="0" applyFont="1" applyAlignment="1">
      <alignment vertical="center"/>
    </xf>
    <xf numFmtId="0" fontId="6" fillId="0" borderId="0" xfId="0" applyFont="1"/>
    <xf numFmtId="0" fontId="13" fillId="0" borderId="0" xfId="0" applyFont="1" applyAlignment="1">
      <alignment horizontal="left" vertical="center" indent="8"/>
    </xf>
    <xf numFmtId="0" fontId="0" fillId="0" borderId="0" xfId="0" applyAlignment="1">
      <alignment horizontal="left" vertical="center" indent="3"/>
    </xf>
    <xf numFmtId="0" fontId="18" fillId="0" borderId="0" xfId="0" applyFont="1" applyAlignment="1">
      <alignment horizontal="center" vertical="center" wrapText="1"/>
    </xf>
    <xf numFmtId="0" fontId="19" fillId="0" borderId="0" xfId="0" applyFont="1" applyAlignment="1">
      <alignment horizontal="center" vertical="center" wrapText="1"/>
    </xf>
    <xf numFmtId="0" fontId="0" fillId="0" borderId="0" xfId="0"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xf numFmtId="3" fontId="2" fillId="0" borderId="6" xfId="0" applyNumberFormat="1" applyFont="1" applyBorder="1" applyAlignment="1">
      <alignment horizontal="center" vertical="center" wrapText="1"/>
    </xf>
    <xf numFmtId="3" fontId="4" fillId="3" borderId="5" xfId="0" applyNumberFormat="1" applyFont="1" applyFill="1" applyBorder="1" applyAlignment="1">
      <alignment horizontal="center" vertical="center" wrapText="1"/>
    </xf>
    <xf numFmtId="3" fontId="4" fillId="3" borderId="6" xfId="0" applyNumberFormat="1"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3" fontId="2" fillId="0" borderId="4" xfId="0" applyNumberFormat="1" applyFont="1" applyBorder="1" applyAlignment="1">
      <alignment horizontal="center" vertical="center" wrapText="1"/>
    </xf>
    <xf numFmtId="3" fontId="2" fillId="0" borderId="10" xfId="0" applyNumberFormat="1" applyFont="1" applyBorder="1" applyAlignment="1">
      <alignment horizontal="center" vertical="center" wrapText="1"/>
    </xf>
    <xf numFmtId="0" fontId="2" fillId="4" borderId="9" xfId="0" applyFont="1" applyFill="1" applyBorder="1"/>
    <xf numFmtId="0" fontId="21" fillId="4" borderId="9" xfId="0" applyFont="1" applyFill="1" applyBorder="1" applyAlignment="1">
      <alignment horizontal="center" vertical="center"/>
    </xf>
    <xf numFmtId="3" fontId="0" fillId="0" borderId="0" xfId="0" applyNumberFormat="1"/>
    <xf numFmtId="0" fontId="22" fillId="4" borderId="9" xfId="0" applyFont="1" applyFill="1" applyBorder="1" applyAlignment="1">
      <alignment horizontal="center" vertical="center"/>
    </xf>
    <xf numFmtId="0" fontId="22" fillId="4" borderId="9" xfId="0" applyFont="1" applyFill="1" applyBorder="1"/>
    <xf numFmtId="0" fontId="23" fillId="5" borderId="0" xfId="0" applyFont="1" applyFill="1" applyAlignment="1">
      <alignment horizontal="center" vertical="center"/>
    </xf>
    <xf numFmtId="165" fontId="0" fillId="0" borderId="9" xfId="0" applyNumberFormat="1" applyBorder="1"/>
    <xf numFmtId="0" fontId="3" fillId="6" borderId="9" xfId="0" applyFont="1" applyFill="1" applyBorder="1"/>
    <xf numFmtId="165" fontId="3" fillId="6" borderId="9" xfId="0" applyNumberFormat="1" applyFont="1" applyFill="1" applyBorder="1"/>
    <xf numFmtId="0" fontId="0" fillId="7" borderId="0" xfId="0" applyFill="1"/>
    <xf numFmtId="165" fontId="0" fillId="7" borderId="9" xfId="0" applyNumberFormat="1" applyFill="1" applyBorder="1"/>
    <xf numFmtId="0" fontId="21" fillId="0" borderId="13" xfId="0" applyFont="1" applyBorder="1" applyAlignment="1">
      <alignment horizontal="left"/>
    </xf>
    <xf numFmtId="0" fontId="21" fillId="0" borderId="14" xfId="0" applyFont="1" applyBorder="1" applyAlignment="1">
      <alignment horizontal="left"/>
    </xf>
    <xf numFmtId="0" fontId="0" fillId="5" borderId="15" xfId="0" applyFill="1" applyBorder="1"/>
    <xf numFmtId="0" fontId="0" fillId="5" borderId="16" xfId="0" applyFill="1" applyBorder="1"/>
    <xf numFmtId="0" fontId="0" fillId="5" borderId="17" xfId="0" applyFill="1" applyBorder="1"/>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vertical="center"/>
    </xf>
    <xf numFmtId="9" fontId="25" fillId="0" borderId="12" xfId="1" applyFont="1" applyBorder="1" applyAlignment="1">
      <alignment horizontal="center" vertical="center"/>
    </xf>
    <xf numFmtId="9" fontId="25" fillId="0" borderId="13" xfId="1" applyFont="1" applyBorder="1" applyAlignment="1">
      <alignment horizontal="center" vertical="center"/>
    </xf>
    <xf numFmtId="9" fontId="25" fillId="0" borderId="21" xfId="1" applyFont="1" applyBorder="1" applyAlignment="1">
      <alignment horizontal="center" vertical="center"/>
    </xf>
    <xf numFmtId="9" fontId="25" fillId="0" borderId="14" xfId="1" applyFont="1" applyBorder="1" applyAlignment="1">
      <alignment horizontal="center" vertical="center"/>
    </xf>
    <xf numFmtId="9" fontId="25" fillId="0" borderId="22" xfId="1" applyFont="1" applyBorder="1" applyAlignment="1">
      <alignment horizontal="center" vertical="center"/>
    </xf>
    <xf numFmtId="9" fontId="4" fillId="5" borderId="12" xfId="1" applyFont="1" applyFill="1" applyBorder="1" applyAlignment="1">
      <alignment horizontal="center" vertical="center"/>
    </xf>
    <xf numFmtId="9" fontId="4" fillId="5" borderId="13" xfId="1" applyFont="1" applyFill="1" applyBorder="1" applyAlignment="1">
      <alignment horizontal="center" vertical="center"/>
    </xf>
    <xf numFmtId="9" fontId="4" fillId="5" borderId="14" xfId="1" applyFont="1" applyFill="1" applyBorder="1" applyAlignment="1">
      <alignment horizontal="center" vertical="center"/>
    </xf>
    <xf numFmtId="16" fontId="0" fillId="0" borderId="11" xfId="0" quotePrefix="1" applyNumberFormat="1" applyBorder="1" applyAlignment="1">
      <alignment horizontal="center" vertical="center"/>
    </xf>
    <xf numFmtId="0" fontId="0" fillId="0" borderId="11" xfId="0" quotePrefix="1" applyBorder="1" applyAlignment="1">
      <alignment horizontal="center" vertical="center"/>
    </xf>
    <xf numFmtId="0" fontId="0" fillId="0" borderId="16" xfId="0" quotePrefix="1" applyBorder="1" applyAlignment="1">
      <alignment horizontal="center" vertical="center"/>
    </xf>
    <xf numFmtId="0" fontId="0" fillId="0" borderId="15" xfId="0" quotePrefix="1" applyBorder="1" applyAlignment="1">
      <alignment horizontal="center" vertical="center"/>
    </xf>
    <xf numFmtId="0" fontId="0" fillId="0" borderId="0" xfId="0" applyFill="1" applyBorder="1"/>
    <xf numFmtId="0" fontId="0" fillId="0" borderId="0" xfId="0" quotePrefix="1" applyFill="1" applyBorder="1" applyAlignment="1">
      <alignment horizontal="center" vertical="center"/>
    </xf>
    <xf numFmtId="9" fontId="4" fillId="0" borderId="0" xfId="1" applyFont="1" applyFill="1" applyBorder="1" applyAlignment="1">
      <alignment horizontal="center" vertical="center"/>
    </xf>
    <xf numFmtId="9" fontId="25" fillId="0" borderId="0" xfId="1" applyFont="1" applyFill="1" applyBorder="1" applyAlignment="1">
      <alignment horizontal="center" vertical="center"/>
    </xf>
    <xf numFmtId="0" fontId="0" fillId="5" borderId="11" xfId="0" applyFill="1" applyBorder="1"/>
    <xf numFmtId="166" fontId="25" fillId="0" borderId="12" xfId="1" applyNumberFormat="1" applyFont="1" applyBorder="1" applyAlignment="1">
      <alignment horizontal="center" vertical="center"/>
    </xf>
    <xf numFmtId="166" fontId="25" fillId="0" borderId="13" xfId="1" applyNumberFormat="1" applyFont="1" applyBorder="1" applyAlignment="1">
      <alignment horizontal="center" vertical="center"/>
    </xf>
    <xf numFmtId="166" fontId="25" fillId="0" borderId="21" xfId="1" applyNumberFormat="1" applyFont="1" applyBorder="1" applyAlignment="1">
      <alignment horizontal="center" vertical="center"/>
    </xf>
    <xf numFmtId="166" fontId="25" fillId="0" borderId="14" xfId="1" applyNumberFormat="1" applyFont="1" applyBorder="1" applyAlignment="1">
      <alignment horizontal="center" vertical="center"/>
    </xf>
    <xf numFmtId="166" fontId="25" fillId="0" borderId="22" xfId="1" applyNumberFormat="1" applyFont="1" applyBorder="1" applyAlignment="1">
      <alignment horizontal="center" vertical="center"/>
    </xf>
    <xf numFmtId="166" fontId="25" fillId="0" borderId="11" xfId="1" applyNumberFormat="1" applyFont="1" applyBorder="1" applyAlignment="1">
      <alignment horizontal="center" vertical="center"/>
    </xf>
    <xf numFmtId="166" fontId="4" fillId="0" borderId="13" xfId="1" applyNumberFormat="1" applyFont="1" applyFill="1" applyBorder="1" applyAlignment="1">
      <alignment horizontal="center" vertical="center"/>
    </xf>
    <xf numFmtId="166" fontId="4" fillId="0" borderId="21" xfId="1" applyNumberFormat="1" applyFont="1" applyFill="1" applyBorder="1" applyAlignment="1">
      <alignment horizontal="center" vertical="center"/>
    </xf>
    <xf numFmtId="0" fontId="0" fillId="8" borderId="18" xfId="0" applyFill="1" applyBorder="1"/>
    <xf numFmtId="166" fontId="0" fillId="8" borderId="19" xfId="0" applyNumberFormat="1" applyFill="1" applyBorder="1"/>
    <xf numFmtId="166" fontId="0" fillId="8" borderId="20" xfId="0" applyNumberFormat="1" applyFill="1" applyBorder="1"/>
    <xf numFmtId="0" fontId="0" fillId="8" borderId="22" xfId="0" applyFill="1" applyBorder="1"/>
    <xf numFmtId="0" fontId="0" fillId="8" borderId="23" xfId="0" applyFill="1" applyBorder="1"/>
    <xf numFmtId="0" fontId="0" fillId="8" borderId="24" xfId="0" applyFill="1" applyBorder="1"/>
    <xf numFmtId="0" fontId="0" fillId="0" borderId="9" xfId="0" applyBorder="1"/>
    <xf numFmtId="0" fontId="26" fillId="3" borderId="9" xfId="0" applyFont="1" applyFill="1" applyBorder="1"/>
    <xf numFmtId="0" fontId="26" fillId="3" borderId="9" xfId="0" applyFont="1" applyFill="1" applyBorder="1" applyAlignment="1">
      <alignment wrapText="1"/>
    </xf>
    <xf numFmtId="0" fontId="26" fillId="3" borderId="9" xfId="0" applyFont="1" applyFill="1" applyBorder="1" applyAlignment="1">
      <alignment vertical="center"/>
    </xf>
    <xf numFmtId="0" fontId="26" fillId="3" borderId="9" xfId="0" applyFont="1" applyFill="1" applyBorder="1" applyAlignment="1">
      <alignment horizontal="center" vertical="center"/>
    </xf>
    <xf numFmtId="3" fontId="0" fillId="0" borderId="9" xfId="0" applyNumberFormat="1" applyBorder="1"/>
    <xf numFmtId="3" fontId="27" fillId="0" borderId="9" xfId="0" applyNumberFormat="1" applyFont="1" applyBorder="1" applyAlignment="1">
      <alignment horizontal="left" vertical="center" wrapText="1" indent="1"/>
    </xf>
    <xf numFmtId="167" fontId="28" fillId="0" borderId="9" xfId="0" applyNumberFormat="1" applyFont="1" applyBorder="1"/>
    <xf numFmtId="0" fontId="28" fillId="0" borderId="9" xfId="0" applyNumberFormat="1" applyFont="1" applyBorder="1"/>
    <xf numFmtId="0" fontId="26" fillId="3" borderId="0" xfId="0" applyFont="1" applyFill="1"/>
    <xf numFmtId="3" fontId="26" fillId="3" borderId="9" xfId="0" applyNumberFormat="1" applyFont="1" applyFill="1" applyBorder="1"/>
    <xf numFmtId="167" fontId="0" fillId="0" borderId="9" xfId="0" applyNumberFormat="1" applyBorder="1"/>
    <xf numFmtId="164" fontId="0" fillId="0" borderId="0" xfId="0" applyNumberFormat="1"/>
    <xf numFmtId="3" fontId="26" fillId="3" borderId="0" xfId="0" applyNumberFormat="1" applyFont="1" applyFill="1"/>
    <xf numFmtId="0" fontId="26" fillId="3" borderId="0" xfId="0" applyFont="1" applyFill="1" applyAlignment="1">
      <alignment horizontal="left" vertical="center"/>
    </xf>
    <xf numFmtId="3" fontId="25" fillId="9" borderId="1" xfId="0" applyNumberFormat="1" applyFont="1" applyFill="1" applyBorder="1" applyAlignment="1">
      <alignment horizontal="center" vertical="center" wrapText="1"/>
    </xf>
    <xf numFmtId="3" fontId="25" fillId="3" borderId="4" xfId="0" applyNumberFormat="1" applyFont="1" applyFill="1" applyBorder="1" applyAlignment="1">
      <alignment horizontal="center" vertical="center" wrapText="1"/>
    </xf>
    <xf numFmtId="3" fontId="25" fillId="3" borderId="10" xfId="0" applyNumberFormat="1" applyFont="1" applyFill="1" applyBorder="1" applyAlignment="1">
      <alignment horizontal="center" vertical="center" wrapText="1"/>
    </xf>
    <xf numFmtId="3" fontId="2" fillId="3" borderId="6" xfId="0" applyNumberFormat="1" applyFont="1" applyFill="1" applyBorder="1" applyAlignment="1">
      <alignment horizontal="center" vertical="center" wrapText="1"/>
    </xf>
    <xf numFmtId="165" fontId="0" fillId="0" borderId="0" xfId="0" applyNumberFormat="1"/>
    <xf numFmtId="0" fontId="0" fillId="10" borderId="0" xfId="0" applyFill="1"/>
    <xf numFmtId="165" fontId="0" fillId="10" borderId="0" xfId="0" applyNumberFormat="1" applyFill="1"/>
    <xf numFmtId="9" fontId="0" fillId="0" borderId="0" xfId="0" applyNumberFormat="1"/>
    <xf numFmtId="0" fontId="0" fillId="0" borderId="0" xfId="0" applyBorder="1"/>
    <xf numFmtId="3" fontId="0" fillId="0" borderId="0" xfId="0" applyNumberFormat="1" applyBorder="1"/>
    <xf numFmtId="0" fontId="3" fillId="11" borderId="9" xfId="0" applyFont="1" applyFill="1" applyBorder="1"/>
    <xf numFmtId="0" fontId="3" fillId="0" borderId="0" xfId="0" applyFont="1"/>
    <xf numFmtId="0" fontId="5" fillId="2" borderId="0" xfId="0" applyFont="1" applyFill="1" applyAlignment="1">
      <alignment horizontal="center" vertical="center"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4" fillId="5" borderId="12" xfId="0" applyFont="1" applyFill="1" applyBorder="1" applyAlignment="1">
      <alignment horizontal="left" vertical="center" wrapText="1"/>
    </xf>
    <xf numFmtId="0" fontId="24" fillId="5" borderId="14" xfId="0" applyFont="1" applyFill="1" applyBorder="1" applyAlignment="1">
      <alignment horizontal="left" vertical="center" wrapText="1"/>
    </xf>
    <xf numFmtId="168" fontId="3" fillId="12" borderId="9" xfId="0" applyNumberFormat="1" applyFont="1" applyFill="1" applyBorder="1" applyAlignment="1">
      <alignment horizontal="center"/>
    </xf>
    <xf numFmtId="169" fontId="3" fillId="12" borderId="9" xfId="0" applyNumberFormat="1" applyFont="1" applyFill="1" applyBorder="1" applyAlignment="1">
      <alignment horizontal="center"/>
    </xf>
    <xf numFmtId="0" fontId="3" fillId="13" borderId="9" xfId="0" applyFont="1" applyFill="1" applyBorder="1" applyAlignment="1">
      <alignment horizontal="center"/>
    </xf>
    <xf numFmtId="171" fontId="0" fillId="0" borderId="9" xfId="2" applyNumberFormat="1" applyFont="1" applyBorder="1"/>
    <xf numFmtId="0" fontId="3" fillId="13" borderId="9" xfId="0" applyFont="1" applyFill="1" applyBorder="1" applyAlignment="1">
      <alignment horizontal="center"/>
    </xf>
    <xf numFmtId="0" fontId="0" fillId="9" borderId="9" xfId="0" applyFill="1" applyBorder="1"/>
    <xf numFmtId="3" fontId="29" fillId="0" borderId="9"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3" fontId="2" fillId="0" borderId="5" xfId="0" applyNumberFormat="1" applyFont="1" applyBorder="1" applyAlignment="1">
      <alignment horizontal="center" vertical="center" wrapText="1"/>
    </xf>
    <xf numFmtId="0" fontId="30" fillId="0" borderId="0" xfId="0" applyFont="1" applyAlignment="1">
      <alignment vertical="center"/>
    </xf>
    <xf numFmtId="0" fontId="30" fillId="14" borderId="0" xfId="0" applyFont="1" applyFill="1" applyAlignment="1">
      <alignment vertical="center"/>
    </xf>
    <xf numFmtId="0" fontId="31" fillId="0" borderId="0" xfId="0" applyFont="1" applyAlignment="1">
      <alignment horizontal="center" vertical="top" wrapText="1"/>
    </xf>
    <xf numFmtId="0" fontId="31" fillId="13" borderId="9" xfId="0" applyFont="1" applyFill="1" applyBorder="1" applyAlignment="1">
      <alignment horizontal="center" vertical="top" wrapText="1"/>
    </xf>
    <xf numFmtId="171" fontId="32" fillId="0" borderId="9" xfId="2" applyNumberFormat="1" applyFont="1" applyBorder="1" applyAlignment="1">
      <alignment vertical="top" wrapText="1"/>
    </xf>
    <xf numFmtId="0" fontId="31" fillId="13" borderId="25" xfId="0" applyFont="1" applyFill="1" applyBorder="1" applyAlignment="1">
      <alignment horizontal="center" vertical="top" wrapText="1"/>
    </xf>
    <xf numFmtId="0" fontId="31" fillId="13" borderId="26" xfId="0" applyFont="1" applyFill="1" applyBorder="1" applyAlignment="1">
      <alignment horizontal="center" vertical="top" wrapText="1"/>
    </xf>
    <xf numFmtId="0" fontId="33" fillId="0" borderId="0" xfId="0" applyFont="1"/>
    <xf numFmtId="0" fontId="29" fillId="0" borderId="0" xfId="0" applyFont="1"/>
    <xf numFmtId="0" fontId="23" fillId="2" borderId="1" xfId="0" applyFont="1" applyFill="1" applyBorder="1" applyAlignment="1">
      <alignment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2" xfId="0" applyFont="1" applyFill="1" applyBorder="1" applyAlignment="1">
      <alignment horizontal="center" vertical="center" wrapText="1"/>
    </xf>
    <xf numFmtId="171" fontId="0" fillId="0" borderId="0" xfId="0" applyNumberFormat="1"/>
    <xf numFmtId="172" fontId="0" fillId="0" borderId="0" xfId="0" applyNumberFormat="1"/>
    <xf numFmtId="2" fontId="0" fillId="0" borderId="0" xfId="0" applyNumberFormat="1"/>
    <xf numFmtId="0" fontId="23" fillId="2" borderId="4" xfId="0" applyFont="1" applyFill="1" applyBorder="1" applyAlignment="1">
      <alignment vertical="center" wrapText="1"/>
    </xf>
    <xf numFmtId="0" fontId="34" fillId="0" borderId="5"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6" xfId="0" applyFont="1" applyBorder="1" applyAlignment="1">
      <alignment horizontal="left" vertical="center" wrapText="1" indent="1"/>
    </xf>
    <xf numFmtId="3" fontId="29" fillId="0" borderId="7" xfId="0" applyNumberFormat="1" applyFont="1" applyBorder="1" applyAlignment="1">
      <alignment horizontal="center" vertical="center" wrapText="1"/>
    </xf>
    <xf numFmtId="3" fontId="29" fillId="15" borderId="1" xfId="0" applyNumberFormat="1" applyFont="1" applyFill="1" applyBorder="1" applyAlignment="1">
      <alignment horizontal="center" vertical="center" wrapText="1"/>
    </xf>
    <xf numFmtId="3" fontId="29" fillId="15" borderId="6" xfId="0" applyNumberFormat="1" applyFont="1" applyFill="1" applyBorder="1" applyAlignment="1">
      <alignment horizontal="center" vertical="center" wrapText="1"/>
    </xf>
    <xf numFmtId="0" fontId="29" fillId="0" borderId="6" xfId="0" applyFont="1" applyBorder="1" applyAlignment="1">
      <alignment horizontal="center" vertical="center" wrapText="1"/>
    </xf>
    <xf numFmtId="0" fontId="34" fillId="0" borderId="4" xfId="0" applyFont="1" applyBorder="1" applyAlignment="1">
      <alignment horizontal="left" vertical="center" wrapText="1" indent="1"/>
    </xf>
    <xf numFmtId="3" fontId="29" fillId="15" borderId="5" xfId="0" applyNumberFormat="1" applyFont="1" applyFill="1" applyBorder="1" applyAlignment="1">
      <alignment horizontal="center" vertical="center" wrapText="1"/>
    </xf>
    <xf numFmtId="0" fontId="29" fillId="0" borderId="4" xfId="0" applyFont="1" applyBorder="1" applyAlignment="1">
      <alignment horizontal="center" vertical="center" wrapText="1"/>
    </xf>
    <xf numFmtId="0" fontId="33" fillId="0" borderId="27" xfId="0" applyFont="1" applyBorder="1" applyAlignment="1">
      <alignment horizontal="center"/>
    </xf>
    <xf numFmtId="0" fontId="33" fillId="0" borderId="28" xfId="0" applyFont="1" applyBorder="1" applyAlignment="1">
      <alignment horizontal="center"/>
    </xf>
    <xf numFmtId="0" fontId="33" fillId="0" borderId="29" xfId="0" applyFont="1" applyBorder="1" applyAlignment="1">
      <alignment horizontal="center"/>
    </xf>
    <xf numFmtId="0" fontId="33" fillId="12" borderId="9" xfId="0" applyFont="1" applyFill="1" applyBorder="1" applyAlignment="1">
      <alignment horizontal="center"/>
    </xf>
    <xf numFmtId="0" fontId="3" fillId="12" borderId="9" xfId="0" applyFont="1" applyFill="1" applyBorder="1" applyAlignment="1">
      <alignment horizontal="center" vertical="center"/>
    </xf>
    <xf numFmtId="0" fontId="23" fillId="2" borderId="9" xfId="0" applyFont="1" applyFill="1" applyBorder="1" applyAlignment="1">
      <alignment vertical="center" wrapText="1"/>
    </xf>
    <xf numFmtId="0" fontId="23" fillId="2" borderId="9" xfId="0" applyFont="1" applyFill="1" applyBorder="1" applyAlignment="1">
      <alignment horizontal="center" vertical="center" wrapText="1"/>
    </xf>
    <xf numFmtId="0" fontId="3" fillId="12" borderId="9" xfId="0" applyFont="1" applyFill="1" applyBorder="1"/>
    <xf numFmtId="0" fontId="3" fillId="12" borderId="9" xfId="0" applyFont="1" applyFill="1" applyBorder="1" applyAlignment="1">
      <alignment horizontal="center"/>
    </xf>
    <xf numFmtId="0" fontId="34" fillId="0" borderId="9" xfId="0" applyFont="1" applyBorder="1" applyAlignment="1">
      <alignment horizontal="center" vertical="center" wrapText="1"/>
    </xf>
    <xf numFmtId="0" fontId="3" fillId="12" borderId="9" xfId="0" applyFont="1" applyFill="1" applyBorder="1" applyAlignment="1">
      <alignment horizontal="center"/>
    </xf>
    <xf numFmtId="0" fontId="34" fillId="0" borderId="9" xfId="0" applyFont="1" applyBorder="1" applyAlignment="1">
      <alignment horizontal="left" vertical="center" wrapText="1" indent="1"/>
    </xf>
    <xf numFmtId="3" fontId="34" fillId="0" borderId="9" xfId="0" applyNumberFormat="1" applyFont="1" applyBorder="1" applyAlignment="1">
      <alignment horizontal="center" vertical="center" wrapText="1"/>
    </xf>
    <xf numFmtId="171" fontId="3" fillId="0" borderId="9" xfId="2" applyNumberFormat="1" applyFont="1" applyBorder="1" applyAlignment="1">
      <alignment horizontal="center"/>
    </xf>
    <xf numFmtId="171" fontId="3" fillId="0" borderId="9" xfId="0" applyNumberFormat="1" applyFont="1" applyBorder="1"/>
    <xf numFmtId="171" fontId="3" fillId="15" borderId="9" xfId="0" applyNumberFormat="1" applyFont="1" applyFill="1" applyBorder="1"/>
    <xf numFmtId="168" fontId="34" fillId="12" borderId="9" xfId="0" applyNumberFormat="1" applyFont="1" applyFill="1" applyBorder="1" applyAlignment="1">
      <alignment horizontal="center"/>
    </xf>
    <xf numFmtId="173" fontId="33" fillId="0" borderId="9" xfId="2" applyNumberFormat="1" applyFont="1" applyBorder="1" applyAlignment="1">
      <alignment horizontal="center" vertical="center" wrapText="1"/>
    </xf>
    <xf numFmtId="171" fontId="33" fillId="0" borderId="9" xfId="0" applyNumberFormat="1" applyFont="1" applyBorder="1"/>
    <xf numFmtId="171" fontId="33" fillId="0" borderId="9" xfId="2" applyNumberFormat="1" applyFont="1" applyBorder="1" applyAlignment="1">
      <alignment horizontal="center" vertical="center" wrapText="1"/>
    </xf>
    <xf numFmtId="171" fontId="33" fillId="0" borderId="9" xfId="2" applyNumberFormat="1" applyFont="1" applyBorder="1" applyAlignment="1">
      <alignment vertical="center" wrapText="1"/>
    </xf>
    <xf numFmtId="171" fontId="3" fillId="15" borderId="9" xfId="2" applyNumberFormat="1" applyFont="1" applyFill="1" applyBorder="1" applyAlignment="1">
      <alignment horizontal="center"/>
    </xf>
    <xf numFmtId="171" fontId="33" fillId="0" borderId="9" xfId="2" applyNumberFormat="1" applyFont="1" applyBorder="1" applyAlignment="1">
      <alignment horizontal="center"/>
    </xf>
    <xf numFmtId="168" fontId="34" fillId="12" borderId="9" xfId="2" applyNumberFormat="1" applyFont="1" applyFill="1" applyBorder="1" applyAlignment="1">
      <alignment horizontal="center"/>
    </xf>
    <xf numFmtId="168" fontId="0" fillId="0" borderId="0" xfId="0" applyNumberFormat="1" applyAlignment="1">
      <alignment horizontal="center"/>
    </xf>
    <xf numFmtId="0" fontId="35" fillId="12" borderId="9" xfId="0" applyFont="1" applyFill="1" applyBorder="1" applyAlignment="1">
      <alignment horizontal="center" vertical="top" wrapText="1"/>
    </xf>
    <xf numFmtId="0" fontId="35" fillId="12" borderId="9" xfId="0" applyFont="1" applyFill="1" applyBorder="1" applyAlignment="1">
      <alignment horizontal="center" vertical="top" wrapText="1"/>
    </xf>
    <xf numFmtId="0" fontId="36" fillId="0" borderId="9" xfId="0" applyFont="1" applyBorder="1" applyAlignment="1">
      <alignment vertical="top" wrapText="1"/>
    </xf>
    <xf numFmtId="0" fontId="36" fillId="0" borderId="9" xfId="0" applyFont="1" applyBorder="1" applyAlignment="1">
      <alignment vertical="top"/>
    </xf>
    <xf numFmtId="0" fontId="37" fillId="12" borderId="9" xfId="0" applyFont="1" applyFill="1" applyBorder="1" applyAlignment="1">
      <alignment horizontal="center" vertical="top" wrapText="1"/>
    </xf>
    <xf numFmtId="0" fontId="37" fillId="12" borderId="9" xfId="0" applyFont="1" applyFill="1" applyBorder="1" applyAlignment="1">
      <alignment horizontal="center" vertical="top" wrapText="1"/>
    </xf>
    <xf numFmtId="0" fontId="38" fillId="0" borderId="9" xfId="0" applyFont="1" applyBorder="1" applyAlignment="1">
      <alignment vertical="top" wrapText="1"/>
    </xf>
    <xf numFmtId="0" fontId="38" fillId="0" borderId="9" xfId="0" applyFont="1" applyBorder="1" applyAlignment="1">
      <alignment vertical="top"/>
    </xf>
  </cellXfs>
  <cellStyles count="3">
    <cellStyle name="Milliers" xfId="2" builtinId="3"/>
    <cellStyle name="Normal" xfId="0" builtinId="0"/>
    <cellStyle name="Pourcentage" xfId="1" builtinId="5"/>
  </cellStyles>
  <dxfs count="0"/>
  <tableStyles count="0" defaultTableStyle="TableStyleMedium2" defaultPivotStyle="PivotStyleLight16"/>
  <colors>
    <mruColors>
      <color rgb="FFFF9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fr-FR" sz="1600" b="1"/>
              <a:t>Cadences de règlements par année de survenance</a:t>
            </a:r>
          </a:p>
        </c:rich>
      </c:tx>
      <c:layout>
        <c:manualLayout>
          <c:xMode val="edge"/>
          <c:yMode val="edge"/>
          <c:x val="0.20223433729804002"/>
          <c:y val="4.226956430827688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6.1655396258229953E-2"/>
          <c:y val="0.16293673818361085"/>
          <c:w val="0.91894733802033479"/>
          <c:h val="0.75283464514514764"/>
        </c:manualLayout>
      </c:layout>
      <c:lineChart>
        <c:grouping val="standard"/>
        <c:varyColors val="0"/>
        <c:ser>
          <c:idx val="0"/>
          <c:order val="0"/>
          <c:tx>
            <c:v>2010</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'Chain ladder'!$B$45:$K$45</c:f>
              <c:numCache>
                <c:formatCode>0%</c:formatCode>
                <c:ptCount val="10"/>
                <c:pt idx="0">
                  <c:v>0.41629625211980364</c:v>
                </c:pt>
                <c:pt idx="1">
                  <c:v>0.8639122124738241</c:v>
                </c:pt>
                <c:pt idx="2">
                  <c:v>0.95934016993057913</c:v>
                </c:pt>
                <c:pt idx="3">
                  <c:v>0.98808966132198794</c:v>
                </c:pt>
                <c:pt idx="4">
                  <c:v>0.99605136970818609</c:v>
                </c:pt>
                <c:pt idx="5">
                  <c:v>0.99157272838329324</c:v>
                </c:pt>
                <c:pt idx="6">
                  <c:v>0.99854367204340899</c:v>
                </c:pt>
                <c:pt idx="7">
                  <c:v>1.0026394741828837</c:v>
                </c:pt>
                <c:pt idx="8">
                  <c:v>1.0025933026228331</c:v>
                </c:pt>
                <c:pt idx="9">
                  <c:v>1</c:v>
                </c:pt>
              </c:numCache>
            </c:numRef>
          </c:val>
          <c:smooth val="0"/>
          <c:extLst>
            <c:ext xmlns:c16="http://schemas.microsoft.com/office/drawing/2014/chart" uri="{C3380CC4-5D6E-409C-BE32-E72D297353CC}">
              <c16:uniqueId val="{00000000-1CDA-A141-BBBE-1DF62EAE34CB}"/>
            </c:ext>
          </c:extLst>
        </c:ser>
        <c:ser>
          <c:idx val="1"/>
          <c:order val="1"/>
          <c:tx>
            <c:v>2011</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'Chain ladder'!$B$46:$J$46</c:f>
              <c:numCache>
                <c:formatCode>0%</c:formatCode>
                <c:ptCount val="9"/>
                <c:pt idx="0">
                  <c:v>0.39129036829704689</c:v>
                </c:pt>
                <c:pt idx="1">
                  <c:v>0.80957235734911159</c:v>
                </c:pt>
                <c:pt idx="2">
                  <c:v>0.90603907952310936</c:v>
                </c:pt>
                <c:pt idx="3">
                  <c:v>0.95413293415295219</c:v>
                </c:pt>
                <c:pt idx="4">
                  <c:v>0.96890733228223702</c:v>
                </c:pt>
                <c:pt idx="5">
                  <c:v>0.97912806249889284</c:v>
                </c:pt>
                <c:pt idx="6">
                  <c:v>0.98050364045421534</c:v>
                </c:pt>
                <c:pt idx="7">
                  <c:v>0.98645503020425518</c:v>
                </c:pt>
                <c:pt idx="8">
                  <c:v>1</c:v>
                </c:pt>
              </c:numCache>
            </c:numRef>
          </c:val>
          <c:smooth val="0"/>
          <c:extLst>
            <c:ext xmlns:c16="http://schemas.microsoft.com/office/drawing/2014/chart" uri="{C3380CC4-5D6E-409C-BE32-E72D297353CC}">
              <c16:uniqueId val="{00000001-1CDA-A141-BBBE-1DF62EAE34CB}"/>
            </c:ext>
          </c:extLst>
        </c:ser>
        <c:ser>
          <c:idx val="2"/>
          <c:order val="2"/>
          <c:tx>
            <c:v>2012</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'Chain ladder'!$B$47:$I$47</c:f>
              <c:numCache>
                <c:formatCode>0%</c:formatCode>
                <c:ptCount val="8"/>
                <c:pt idx="0">
                  <c:v>0.40276757533245566</c:v>
                </c:pt>
                <c:pt idx="1">
                  <c:v>0.81429052915402766</c:v>
                </c:pt>
                <c:pt idx="2">
                  <c:v>0.88847118877452547</c:v>
                </c:pt>
                <c:pt idx="3">
                  <c:v>0.9401085252113226</c:v>
                </c:pt>
                <c:pt idx="4">
                  <c:v>0.9614851687652497</c:v>
                </c:pt>
                <c:pt idx="5">
                  <c:v>0.97843227064662863</c:v>
                </c:pt>
                <c:pt idx="6">
                  <c:v>1.0006491155800221</c:v>
                </c:pt>
                <c:pt idx="7">
                  <c:v>1</c:v>
                </c:pt>
              </c:numCache>
            </c:numRef>
          </c:val>
          <c:smooth val="0"/>
          <c:extLst>
            <c:ext xmlns:c16="http://schemas.microsoft.com/office/drawing/2014/chart" uri="{C3380CC4-5D6E-409C-BE32-E72D297353CC}">
              <c16:uniqueId val="{00000002-1CDA-A141-BBBE-1DF62EAE34CB}"/>
            </c:ext>
          </c:extLst>
        </c:ser>
        <c:ser>
          <c:idx val="3"/>
          <c:order val="3"/>
          <c:tx>
            <c:v>2013</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'Chain ladder'!$B$48:$H$48</c:f>
              <c:numCache>
                <c:formatCode>0%</c:formatCode>
                <c:ptCount val="7"/>
                <c:pt idx="0">
                  <c:v>0.32773428556509304</c:v>
                </c:pt>
                <c:pt idx="1">
                  <c:v>0.70376487694760981</c:v>
                </c:pt>
                <c:pt idx="2">
                  <c:v>0.80322784072879472</c:v>
                </c:pt>
                <c:pt idx="3">
                  <c:v>0.89862025474074048</c:v>
                </c:pt>
                <c:pt idx="4">
                  <c:v>0.98943360151671556</c:v>
                </c:pt>
                <c:pt idx="5">
                  <c:v>0.98625155146028065</c:v>
                </c:pt>
                <c:pt idx="6">
                  <c:v>1</c:v>
                </c:pt>
              </c:numCache>
            </c:numRef>
          </c:val>
          <c:smooth val="0"/>
          <c:extLst>
            <c:ext xmlns:c16="http://schemas.microsoft.com/office/drawing/2014/chart" uri="{C3380CC4-5D6E-409C-BE32-E72D297353CC}">
              <c16:uniqueId val="{00000003-1CDA-A141-BBBE-1DF62EAE34CB}"/>
            </c:ext>
          </c:extLst>
        </c:ser>
        <c:ser>
          <c:idx val="5"/>
          <c:order val="4"/>
          <c:tx>
            <c:v>2014</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'Chain ladder'!$B$49:$F$49</c:f>
              <c:numCache>
                <c:formatCode>0%</c:formatCode>
                <c:ptCount val="5"/>
                <c:pt idx="0">
                  <c:v>0.38465642481199996</c:v>
                </c:pt>
                <c:pt idx="1">
                  <c:v>0.75368330634598402</c:v>
                </c:pt>
                <c:pt idx="2">
                  <c:v>0.85502502665389768</c:v>
                </c:pt>
                <c:pt idx="3">
                  <c:v>0.89726934263796676</c:v>
                </c:pt>
                <c:pt idx="4">
                  <c:v>0.99374711564368168</c:v>
                </c:pt>
              </c:numCache>
            </c:numRef>
          </c:val>
          <c:smooth val="0"/>
          <c:extLst>
            <c:ext xmlns:c16="http://schemas.microsoft.com/office/drawing/2014/chart" uri="{C3380CC4-5D6E-409C-BE32-E72D297353CC}">
              <c16:uniqueId val="{00000005-1CDA-A141-BBBE-1DF62EAE34CB}"/>
            </c:ext>
          </c:extLst>
        </c:ser>
        <c:ser>
          <c:idx val="6"/>
          <c:order val="5"/>
          <c:tx>
            <c:v>2015</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'Chain ladder'!$B$50:$F$50</c:f>
              <c:numCache>
                <c:formatCode>0%</c:formatCode>
                <c:ptCount val="5"/>
                <c:pt idx="0">
                  <c:v>0.3842848073448259</c:v>
                </c:pt>
                <c:pt idx="1">
                  <c:v>0.8119729076900537</c:v>
                </c:pt>
                <c:pt idx="2">
                  <c:v>0.90229563375043675</c:v>
                </c:pt>
                <c:pt idx="3">
                  <c:v>0.97704647991555249</c:v>
                </c:pt>
                <c:pt idx="4">
                  <c:v>1</c:v>
                </c:pt>
              </c:numCache>
            </c:numRef>
          </c:val>
          <c:smooth val="0"/>
          <c:extLst>
            <c:ext xmlns:c16="http://schemas.microsoft.com/office/drawing/2014/chart" uri="{C3380CC4-5D6E-409C-BE32-E72D297353CC}">
              <c16:uniqueId val="{00000006-1CDA-A141-BBBE-1DF62EAE34CB}"/>
            </c:ext>
          </c:extLst>
        </c:ser>
        <c:ser>
          <c:idx val="7"/>
          <c:order val="6"/>
          <c:tx>
            <c:v>2016</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'Chain ladder'!$B$51:$E$51</c:f>
              <c:numCache>
                <c:formatCode>0%</c:formatCode>
                <c:ptCount val="4"/>
                <c:pt idx="0">
                  <c:v>0.41317186207863882</c:v>
                </c:pt>
                <c:pt idx="1">
                  <c:v>0.84188174467658183</c:v>
                </c:pt>
                <c:pt idx="2">
                  <c:v>0.95255117893951446</c:v>
                </c:pt>
                <c:pt idx="3">
                  <c:v>1</c:v>
                </c:pt>
              </c:numCache>
            </c:numRef>
          </c:val>
          <c:smooth val="0"/>
          <c:extLst>
            <c:ext xmlns:c16="http://schemas.microsoft.com/office/drawing/2014/chart" uri="{C3380CC4-5D6E-409C-BE32-E72D297353CC}">
              <c16:uniqueId val="{00000007-1CDA-A141-BBBE-1DF62EAE34CB}"/>
            </c:ext>
          </c:extLst>
        </c:ser>
        <c:ser>
          <c:idx val="8"/>
          <c:order val="7"/>
          <c:tx>
            <c:v>2017</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'Chain ladder'!$B$52:$D$52</c:f>
              <c:numCache>
                <c:formatCode>0%</c:formatCode>
                <c:ptCount val="3"/>
                <c:pt idx="0">
                  <c:v>0.43538045349466331</c:v>
                </c:pt>
                <c:pt idx="1">
                  <c:v>0.89122817372485363</c:v>
                </c:pt>
                <c:pt idx="2">
                  <c:v>1</c:v>
                </c:pt>
              </c:numCache>
            </c:numRef>
          </c:val>
          <c:smooth val="0"/>
          <c:extLst>
            <c:ext xmlns:c16="http://schemas.microsoft.com/office/drawing/2014/chart" uri="{C3380CC4-5D6E-409C-BE32-E72D297353CC}">
              <c16:uniqueId val="{00000008-1CDA-A141-BBBE-1DF62EAE34CB}"/>
            </c:ext>
          </c:extLst>
        </c:ser>
        <c:ser>
          <c:idx val="9"/>
          <c:order val="8"/>
          <c:tx>
            <c:v>2018</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'Chain ladder'!$B$53:$C$53</c:f>
              <c:numCache>
                <c:formatCode>0%</c:formatCode>
                <c:ptCount val="2"/>
                <c:pt idx="0">
                  <c:v>0.47640187625155839</c:v>
                </c:pt>
                <c:pt idx="1">
                  <c:v>1</c:v>
                </c:pt>
              </c:numCache>
            </c:numRef>
          </c:val>
          <c:smooth val="0"/>
          <c:extLst>
            <c:ext xmlns:c16="http://schemas.microsoft.com/office/drawing/2014/chart" uri="{C3380CC4-5D6E-409C-BE32-E72D297353CC}">
              <c16:uniqueId val="{00000009-1CDA-A141-BBBE-1DF62EAE34CB}"/>
            </c:ext>
          </c:extLst>
        </c:ser>
        <c:ser>
          <c:idx val="4"/>
          <c:order val="9"/>
          <c:tx>
            <c:v>2019</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'Chain ladder'!$B$54</c:f>
              <c:numCache>
                <c:formatCode>0%</c:formatCode>
                <c:ptCount val="1"/>
                <c:pt idx="0">
                  <c:v>1</c:v>
                </c:pt>
              </c:numCache>
            </c:numRef>
          </c:val>
          <c:smooth val="0"/>
          <c:extLst>
            <c:ext xmlns:c16="http://schemas.microsoft.com/office/drawing/2014/chart" uri="{C3380CC4-5D6E-409C-BE32-E72D297353CC}">
              <c16:uniqueId val="{00000016-1CDA-A141-BBBE-1DF62EAE34CB}"/>
            </c:ext>
          </c:extLst>
        </c:ser>
        <c:dLbls>
          <c:showLegendKey val="0"/>
          <c:showVal val="0"/>
          <c:showCatName val="0"/>
          <c:showSerName val="0"/>
          <c:showPercent val="0"/>
          <c:showBubbleSize val="0"/>
        </c:dLbls>
        <c:marker val="1"/>
        <c:smooth val="0"/>
        <c:axId val="1302844704"/>
        <c:axId val="1524210895"/>
      </c:lineChart>
      <c:catAx>
        <c:axId val="1302844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24210895"/>
        <c:crosses val="autoZero"/>
        <c:auto val="1"/>
        <c:lblAlgn val="ctr"/>
        <c:lblOffset val="100"/>
        <c:noMultiLvlLbl val="0"/>
      </c:catAx>
      <c:valAx>
        <c:axId val="1524210895"/>
        <c:scaling>
          <c:orientation val="minMax"/>
          <c:max val="1.0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284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428000</xdr:colOff>
      <xdr:row>36</xdr:row>
      <xdr:rowOff>16932</xdr:rowOff>
    </xdr:from>
    <xdr:to>
      <xdr:col>19</xdr:col>
      <xdr:colOff>406401</xdr:colOff>
      <xdr:row>58</xdr:row>
      <xdr:rowOff>125111</xdr:rowOff>
    </xdr:to>
    <xdr:graphicFrame macro="">
      <xdr:nvGraphicFramePr>
        <xdr:cNvPr id="6" name="Graphique 5">
          <a:extLst>
            <a:ext uri="{FF2B5EF4-FFF2-40B4-BE49-F238E27FC236}">
              <a16:creationId xmlns:a16="http://schemas.microsoft.com/office/drawing/2014/main" id="{00C5444A-303D-E641-939A-63D696091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30</xdr:row>
      <xdr:rowOff>95250</xdr:rowOff>
    </xdr:from>
    <xdr:to>
      <xdr:col>11</xdr:col>
      <xdr:colOff>142875</xdr:colOff>
      <xdr:row>44</xdr:row>
      <xdr:rowOff>114300</xdr:rowOff>
    </xdr:to>
    <xdr:pic>
      <xdr:nvPicPr>
        <xdr:cNvPr id="2" name="Image 1">
          <a:extLst>
            <a:ext uri="{FF2B5EF4-FFF2-40B4-BE49-F238E27FC236}">
              <a16:creationId xmlns:a16="http://schemas.microsoft.com/office/drawing/2014/main" id="{8AD8281A-B2FD-43FC-9067-690470F71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24550"/>
          <a:ext cx="10239375" cy="268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
  <sheetViews>
    <sheetView showGridLines="0" topLeftCell="A21" zoomScale="112" workbookViewId="0">
      <selection activeCell="I39" sqref="I39"/>
    </sheetView>
  </sheetViews>
  <sheetFormatPr baseColWidth="10" defaultRowHeight="15" x14ac:dyDescent="0.25"/>
  <cols>
    <col min="1" max="1" width="39.42578125" style="22" customWidth="1"/>
  </cols>
  <sheetData>
    <row r="1" spans="1:12" ht="23.25" x14ac:dyDescent="0.25">
      <c r="A1" s="39" t="s">
        <v>161</v>
      </c>
    </row>
    <row r="2" spans="1:12" ht="18.75" x14ac:dyDescent="0.25">
      <c r="A2" s="40" t="s">
        <v>159</v>
      </c>
    </row>
    <row r="3" spans="1:12" ht="30" x14ac:dyDescent="0.25">
      <c r="A3" s="41" t="s">
        <v>160</v>
      </c>
    </row>
    <row r="5" spans="1:12" ht="15.75" x14ac:dyDescent="0.25">
      <c r="A5" s="23" t="s">
        <v>129</v>
      </c>
    </row>
    <row r="6" spans="1:12" x14ac:dyDescent="0.25">
      <c r="A6" s="24"/>
    </row>
    <row r="7" spans="1:12" x14ac:dyDescent="0.25">
      <c r="A7" s="25" t="s">
        <v>130</v>
      </c>
      <c r="B7" s="26"/>
      <c r="C7" s="26"/>
      <c r="D7" s="26"/>
      <c r="E7" s="26"/>
      <c r="F7" s="26"/>
      <c r="G7" s="26"/>
      <c r="H7" s="26"/>
      <c r="I7" s="26"/>
      <c r="J7" s="26"/>
      <c r="K7" s="26"/>
      <c r="L7" s="26"/>
    </row>
    <row r="8" spans="1:12" x14ac:dyDescent="0.25">
      <c r="A8" s="26" t="s">
        <v>135</v>
      </c>
    </row>
    <row r="9" spans="1:12" x14ac:dyDescent="0.25">
      <c r="A9" s="27"/>
    </row>
    <row r="10" spans="1:12" x14ac:dyDescent="0.25">
      <c r="A10" s="25" t="s">
        <v>131</v>
      </c>
    </row>
    <row r="11" spans="1:12" x14ac:dyDescent="0.25">
      <c r="A11" s="28"/>
    </row>
    <row r="12" spans="1:12" x14ac:dyDescent="0.25">
      <c r="A12" s="30" t="s">
        <v>132</v>
      </c>
    </row>
    <row r="13" spans="1:12" x14ac:dyDescent="0.25">
      <c r="A13" s="29" t="s">
        <v>133</v>
      </c>
    </row>
    <row r="14" spans="1:12" x14ac:dyDescent="0.25">
      <c r="A14" s="29" t="s">
        <v>136</v>
      </c>
    </row>
    <row r="15" spans="1:12" x14ac:dyDescent="0.25">
      <c r="A15" s="27"/>
    </row>
    <row r="16" spans="1:12" x14ac:dyDescent="0.25">
      <c r="A16" s="31" t="s">
        <v>134</v>
      </c>
    </row>
    <row r="18" spans="1:1" x14ac:dyDescent="0.25">
      <c r="A18" s="35" t="s">
        <v>139</v>
      </c>
    </row>
    <row r="20" spans="1:1" x14ac:dyDescent="0.25">
      <c r="A20" s="32" t="s">
        <v>162</v>
      </c>
    </row>
    <row r="22" spans="1:1" x14ac:dyDescent="0.25">
      <c r="A22" s="36" t="s">
        <v>140</v>
      </c>
    </row>
    <row r="23" spans="1:1" x14ac:dyDescent="0.25">
      <c r="A23" t="s">
        <v>141</v>
      </c>
    </row>
    <row r="24" spans="1:1" x14ac:dyDescent="0.25">
      <c r="A24" s="32" t="s">
        <v>151</v>
      </c>
    </row>
    <row r="25" spans="1:1" x14ac:dyDescent="0.25">
      <c r="A25" s="32" t="s">
        <v>142</v>
      </c>
    </row>
    <row r="26" spans="1:1" x14ac:dyDescent="0.25">
      <c r="A26" s="32" t="s">
        <v>148</v>
      </c>
    </row>
    <row r="27" spans="1:1" x14ac:dyDescent="0.25">
      <c r="A27" s="37" t="s">
        <v>143</v>
      </c>
    </row>
    <row r="28" spans="1:1" x14ac:dyDescent="0.25">
      <c r="A28" s="37" t="s">
        <v>144</v>
      </c>
    </row>
    <row r="29" spans="1:1" x14ac:dyDescent="0.25">
      <c r="A29" s="37" t="s">
        <v>145</v>
      </c>
    </row>
    <row r="30" spans="1:1" x14ac:dyDescent="0.25">
      <c r="A30" s="37" t="s">
        <v>146</v>
      </c>
    </row>
    <row r="31" spans="1:1" x14ac:dyDescent="0.25">
      <c r="A31" s="37" t="s">
        <v>147</v>
      </c>
    </row>
    <row r="32" spans="1:1" x14ac:dyDescent="0.25">
      <c r="A32" s="38" t="s">
        <v>149</v>
      </c>
    </row>
    <row r="33" spans="1:12" x14ac:dyDescent="0.25">
      <c r="A33" s="32" t="s">
        <v>150</v>
      </c>
    </row>
    <row r="34" spans="1:12" x14ac:dyDescent="0.25">
      <c r="A34" s="32" t="s">
        <v>152</v>
      </c>
    </row>
    <row r="36" spans="1:12" ht="15.75" x14ac:dyDescent="0.25">
      <c r="A36" s="23" t="s">
        <v>153</v>
      </c>
    </row>
    <row r="37" spans="1:12" x14ac:dyDescent="0.25">
      <c r="A37" s="34" t="s">
        <v>154</v>
      </c>
    </row>
    <row r="38" spans="1:12" x14ac:dyDescent="0.25">
      <c r="A38" s="22" t="s">
        <v>155</v>
      </c>
    </row>
    <row r="39" spans="1:12" x14ac:dyDescent="0.25">
      <c r="A39" s="32" t="s">
        <v>156</v>
      </c>
      <c r="H39">
        <v>180189.4</v>
      </c>
      <c r="J39" t="s">
        <v>199</v>
      </c>
    </row>
    <row r="40" spans="1:12" x14ac:dyDescent="0.25">
      <c r="A40" s="32" t="s">
        <v>157</v>
      </c>
    </row>
    <row r="41" spans="1:12" x14ac:dyDescent="0.25">
      <c r="A41" s="32" t="s">
        <v>158</v>
      </c>
      <c r="J41" t="s">
        <v>200</v>
      </c>
      <c r="L41" t="s">
        <v>201</v>
      </c>
    </row>
    <row r="44" spans="1:12" x14ac:dyDescent="0.25">
      <c r="A44" s="22" t="s">
        <v>193</v>
      </c>
    </row>
    <row r="45" spans="1:12" x14ac:dyDescent="0.25">
      <c r="A45" s="22" t="s">
        <v>194</v>
      </c>
    </row>
    <row r="46" spans="1:12" x14ac:dyDescent="0.25">
      <c r="A46" s="22" t="s">
        <v>195</v>
      </c>
    </row>
    <row r="48" spans="1:12" x14ac:dyDescent="0.25">
      <c r="A48" s="22" t="s">
        <v>196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08AB4-4425-4781-BE21-DEC3165E07E4}">
  <dimension ref="A2:H30"/>
  <sheetViews>
    <sheetView showGridLines="0" tabSelected="1" topLeftCell="A43" workbookViewId="0">
      <selection activeCell="M39" sqref="M39"/>
    </sheetView>
  </sheetViews>
  <sheetFormatPr baseColWidth="10" defaultRowHeight="15" x14ac:dyDescent="0.25"/>
  <cols>
    <col min="1" max="1" width="13.85546875" customWidth="1"/>
    <col min="2" max="2" width="16.140625" customWidth="1"/>
    <col min="3" max="3" width="15" customWidth="1"/>
    <col min="4" max="4" width="14.42578125" customWidth="1"/>
    <col min="5" max="6" width="14.5703125" customWidth="1"/>
    <col min="7" max="8" width="14.28515625" customWidth="1"/>
  </cols>
  <sheetData>
    <row r="2" spans="1:8" x14ac:dyDescent="0.25">
      <c r="A2" s="142" t="s">
        <v>219</v>
      </c>
      <c r="H2" s="142" t="s">
        <v>220</v>
      </c>
    </row>
    <row r="3" spans="1:8" x14ac:dyDescent="0.25">
      <c r="A3" s="142" t="s">
        <v>221</v>
      </c>
      <c r="H3" s="142" t="s">
        <v>222</v>
      </c>
    </row>
    <row r="4" spans="1:8" x14ac:dyDescent="0.25">
      <c r="A4" s="142" t="s">
        <v>223</v>
      </c>
      <c r="H4" s="142" t="s">
        <v>224</v>
      </c>
    </row>
    <row r="5" spans="1:8" x14ac:dyDescent="0.25">
      <c r="A5" s="142" t="s">
        <v>225</v>
      </c>
      <c r="H5" s="142" t="s">
        <v>226</v>
      </c>
    </row>
    <row r="6" spans="1:8" x14ac:dyDescent="0.25">
      <c r="A6" s="142" t="s">
        <v>227</v>
      </c>
      <c r="H6" s="142" t="s">
        <v>228</v>
      </c>
    </row>
    <row r="7" spans="1:8" x14ac:dyDescent="0.25">
      <c r="A7" s="142" t="s">
        <v>229</v>
      </c>
      <c r="H7" s="142" t="s">
        <v>230</v>
      </c>
    </row>
    <row r="8" spans="1:8" x14ac:dyDescent="0.25">
      <c r="A8" s="142" t="s">
        <v>231</v>
      </c>
      <c r="H8" s="143" t="s">
        <v>232</v>
      </c>
    </row>
    <row r="9" spans="1:8" x14ac:dyDescent="0.25">
      <c r="A9" s="142" t="s">
        <v>233</v>
      </c>
    </row>
    <row r="10" spans="1:8" x14ac:dyDescent="0.25">
      <c r="A10" s="142" t="s">
        <v>234</v>
      </c>
    </row>
    <row r="11" spans="1:8" x14ac:dyDescent="0.25">
      <c r="A11" s="142" t="s">
        <v>235</v>
      </c>
    </row>
    <row r="12" spans="1:8" x14ac:dyDescent="0.25">
      <c r="A12" s="143" t="s">
        <v>236</v>
      </c>
    </row>
    <row r="14" spans="1:8" ht="15.75" customHeight="1" x14ac:dyDescent="0.25"/>
    <row r="17" spans="1:8" ht="15.75" x14ac:dyDescent="0.25">
      <c r="A17" s="144"/>
      <c r="B17" s="145" t="s">
        <v>237</v>
      </c>
      <c r="C17" s="145" t="s">
        <v>238</v>
      </c>
      <c r="D17" s="145" t="s">
        <v>239</v>
      </c>
      <c r="E17" s="145" t="s">
        <v>240</v>
      </c>
      <c r="F17" s="145" t="s">
        <v>241</v>
      </c>
      <c r="G17" s="145" t="s">
        <v>242</v>
      </c>
      <c r="H17" s="145" t="s">
        <v>243</v>
      </c>
    </row>
    <row r="18" spans="1:8" ht="15.75" x14ac:dyDescent="0.25">
      <c r="A18" s="145">
        <v>2011</v>
      </c>
      <c r="B18" s="146">
        <v>0</v>
      </c>
      <c r="C18" s="146">
        <v>0</v>
      </c>
      <c r="D18" s="146">
        <v>0</v>
      </c>
      <c r="E18" s="146">
        <v>0</v>
      </c>
      <c r="F18" s="146">
        <v>0</v>
      </c>
      <c r="G18" s="146">
        <v>0</v>
      </c>
      <c r="H18" s="146">
        <v>0</v>
      </c>
    </row>
    <row r="19" spans="1:8" ht="15.75" x14ac:dyDescent="0.25">
      <c r="A19" s="147">
        <v>2012</v>
      </c>
      <c r="B19" s="146">
        <v>3704.27</v>
      </c>
      <c r="C19" s="146">
        <v>8232.41</v>
      </c>
      <c r="D19" s="146">
        <v>10057.629999999999</v>
      </c>
      <c r="E19" s="146">
        <v>16937.03</v>
      </c>
      <c r="F19" s="146">
        <v>28302</v>
      </c>
      <c r="G19" s="146">
        <v>48892.77</v>
      </c>
      <c r="H19" s="146">
        <v>57003.63</v>
      </c>
    </row>
    <row r="20" spans="1:8" ht="15.75" x14ac:dyDescent="0.25">
      <c r="A20" s="145">
        <v>2013</v>
      </c>
      <c r="B20" s="146">
        <v>6225.62</v>
      </c>
      <c r="C20" s="146">
        <v>12481.15</v>
      </c>
      <c r="D20" s="146">
        <v>15439.1</v>
      </c>
      <c r="E20" s="146">
        <v>24521.02</v>
      </c>
      <c r="F20" s="146">
        <v>37021</v>
      </c>
      <c r="G20" s="146">
        <v>74208.149999999994</v>
      </c>
      <c r="H20" s="146">
        <v>103003.8</v>
      </c>
    </row>
    <row r="21" spans="1:8" ht="15.75" x14ac:dyDescent="0.25">
      <c r="A21" s="145">
        <v>2014</v>
      </c>
      <c r="B21" s="146">
        <v>17305.05</v>
      </c>
      <c r="C21" s="146">
        <v>27080.54</v>
      </c>
      <c r="D21" s="146">
        <v>30940.45</v>
      </c>
      <c r="E21" s="146">
        <v>43551.19</v>
      </c>
      <c r="F21" s="146">
        <v>56904.18</v>
      </c>
      <c r="G21" s="146">
        <v>97831.49</v>
      </c>
      <c r="H21" s="146">
        <v>117953.01</v>
      </c>
    </row>
    <row r="22" spans="1:8" ht="15.75" x14ac:dyDescent="0.25">
      <c r="A22" s="145">
        <v>2015</v>
      </c>
      <c r="B22" s="146">
        <v>21880.880000000001</v>
      </c>
      <c r="C22" s="146">
        <v>33752.97</v>
      </c>
      <c r="D22" s="146">
        <v>37511.64</v>
      </c>
      <c r="E22" s="146">
        <v>51903.67</v>
      </c>
      <c r="F22" s="146">
        <v>64106.07</v>
      </c>
      <c r="G22" s="146">
        <v>120940.75</v>
      </c>
      <c r="H22" s="146">
        <v>159583.95000000001</v>
      </c>
    </row>
    <row r="23" spans="1:8" ht="15.75" x14ac:dyDescent="0.25">
      <c r="A23" s="145">
        <v>2016</v>
      </c>
      <c r="B23" s="146">
        <v>59926.62</v>
      </c>
      <c r="C23" s="146">
        <v>95849.76</v>
      </c>
      <c r="D23" s="146">
        <v>108328.33</v>
      </c>
      <c r="E23" s="146">
        <v>152352.62</v>
      </c>
      <c r="F23" s="146">
        <v>189865.86</v>
      </c>
      <c r="G23" s="146">
        <v>292392.39</v>
      </c>
      <c r="H23" s="146">
        <v>315473.65000000002</v>
      </c>
    </row>
    <row r="24" spans="1:8" ht="15.75" x14ac:dyDescent="0.25">
      <c r="A24" s="145">
        <v>2017</v>
      </c>
      <c r="B24" s="146">
        <v>129499.01</v>
      </c>
      <c r="C24" s="146">
        <v>173252.81</v>
      </c>
      <c r="D24" s="146">
        <v>187132.78</v>
      </c>
      <c r="E24" s="146">
        <v>235256.27</v>
      </c>
      <c r="F24" s="146">
        <v>282911.78999999998</v>
      </c>
      <c r="G24" s="146">
        <v>412630.47</v>
      </c>
      <c r="H24" s="146">
        <v>445795.95</v>
      </c>
    </row>
    <row r="25" spans="1:8" ht="15.75" x14ac:dyDescent="0.25">
      <c r="A25" s="148">
        <v>2018</v>
      </c>
      <c r="B25" s="146">
        <v>258929.44</v>
      </c>
      <c r="C25" s="146">
        <v>308536.09999999998</v>
      </c>
      <c r="D25" s="146">
        <v>322848.84999999998</v>
      </c>
      <c r="E25" s="146">
        <v>358121.64</v>
      </c>
      <c r="F25" s="146">
        <v>383515.06</v>
      </c>
      <c r="G25" s="146">
        <v>460888.59</v>
      </c>
      <c r="H25" s="146">
        <v>488046.94</v>
      </c>
    </row>
    <row r="26" spans="1:8" ht="15.75" x14ac:dyDescent="0.25">
      <c r="A26" s="145">
        <v>2019</v>
      </c>
      <c r="B26" s="146">
        <v>753412.68</v>
      </c>
      <c r="C26" s="146">
        <v>805716.86</v>
      </c>
      <c r="D26" s="146">
        <v>820948.24</v>
      </c>
      <c r="E26" s="146">
        <v>854247.13</v>
      </c>
      <c r="F26" s="146">
        <v>882964.47999999998</v>
      </c>
      <c r="G26" s="146">
        <v>949777.67</v>
      </c>
      <c r="H26" s="146">
        <v>985280.27</v>
      </c>
    </row>
    <row r="27" spans="1:8" ht="15.75" x14ac:dyDescent="0.25">
      <c r="A27" s="145"/>
      <c r="B27" s="146">
        <v>1306266.3999999999</v>
      </c>
      <c r="C27" s="146">
        <v>1393192.32</v>
      </c>
      <c r="D27" s="146">
        <v>1424853.94</v>
      </c>
      <c r="E27" s="146">
        <v>1491186.8</v>
      </c>
      <c r="F27" s="146">
        <v>1562627.27</v>
      </c>
      <c r="G27" s="146">
        <v>1740235.53</v>
      </c>
      <c r="H27" s="146">
        <v>1859309.08</v>
      </c>
    </row>
    <row r="29" spans="1:8" x14ac:dyDescent="0.25">
      <c r="A29" s="32" t="s">
        <v>158</v>
      </c>
    </row>
    <row r="30" spans="1:8" x14ac:dyDescent="0.25">
      <c r="A30" t="s">
        <v>244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zoomScale="177" workbookViewId="0">
      <selection activeCell="B24" sqref="B24"/>
    </sheetView>
  </sheetViews>
  <sheetFormatPr baseColWidth="10" defaultColWidth="11.42578125" defaultRowHeight="11.25" x14ac:dyDescent="0.2"/>
  <cols>
    <col min="1" max="6" width="11.42578125" style="2"/>
    <col min="7" max="7" width="12" style="2" customWidth="1"/>
    <col min="8" max="16384" width="11.42578125" style="2"/>
  </cols>
  <sheetData>
    <row r="1" spans="1:11" ht="12" thickBot="1" x14ac:dyDescent="0.25">
      <c r="A1" s="33" t="s">
        <v>137</v>
      </c>
    </row>
    <row r="2" spans="1:11" ht="12" thickBot="1" x14ac:dyDescent="0.25">
      <c r="A2" s="20" t="s">
        <v>0</v>
      </c>
      <c r="B2" s="128" t="s">
        <v>1</v>
      </c>
      <c r="C2" s="129"/>
      <c r="D2" s="129"/>
      <c r="E2" s="129"/>
      <c r="F2" s="129"/>
      <c r="G2" s="129"/>
      <c r="H2" s="129"/>
      <c r="I2" s="129"/>
      <c r="J2" s="129"/>
      <c r="K2" s="130"/>
    </row>
    <row r="3" spans="1:11" ht="12" thickBot="1" x14ac:dyDescent="0.25">
      <c r="A3" s="21" t="s">
        <v>2</v>
      </c>
      <c r="B3" s="3">
        <v>1</v>
      </c>
      <c r="C3" s="4">
        <v>2</v>
      </c>
      <c r="D3" s="4">
        <v>3</v>
      </c>
      <c r="E3" s="4">
        <v>4</v>
      </c>
      <c r="F3" s="4">
        <v>5</v>
      </c>
      <c r="G3" s="4">
        <v>6</v>
      </c>
      <c r="H3" s="4">
        <v>7</v>
      </c>
      <c r="I3" s="4">
        <v>8</v>
      </c>
      <c r="J3" s="4">
        <v>9</v>
      </c>
      <c r="K3" s="4">
        <v>10</v>
      </c>
    </row>
    <row r="4" spans="1:11" x14ac:dyDescent="0.2">
      <c r="A4" s="5">
        <v>2010</v>
      </c>
      <c r="B4" s="13" t="s">
        <v>3</v>
      </c>
      <c r="C4" s="13" t="s">
        <v>4</v>
      </c>
      <c r="D4" s="13" t="s">
        <v>5</v>
      </c>
      <c r="E4" s="13" t="s">
        <v>6</v>
      </c>
      <c r="F4" s="13" t="s">
        <v>7</v>
      </c>
      <c r="G4" s="13" t="s">
        <v>8</v>
      </c>
      <c r="H4" s="13" t="s">
        <v>9</v>
      </c>
      <c r="I4" s="13" t="s">
        <v>10</v>
      </c>
      <c r="J4" s="13" t="s">
        <v>11</v>
      </c>
      <c r="K4" s="14" t="s">
        <v>12</v>
      </c>
    </row>
    <row r="5" spans="1:11" x14ac:dyDescent="0.2">
      <c r="A5" s="5">
        <f>A4+1</f>
        <v>2011</v>
      </c>
      <c r="B5" s="13" t="s">
        <v>13</v>
      </c>
      <c r="C5" s="13" t="s">
        <v>14</v>
      </c>
      <c r="D5" s="13" t="s">
        <v>15</v>
      </c>
      <c r="E5" s="13" t="s">
        <v>16</v>
      </c>
      <c r="F5" s="13" t="s">
        <v>17</v>
      </c>
      <c r="G5" s="13" t="s">
        <v>18</v>
      </c>
      <c r="H5" s="13" t="s">
        <v>19</v>
      </c>
      <c r="I5" s="13" t="s">
        <v>20</v>
      </c>
      <c r="J5" s="11" t="s">
        <v>21</v>
      </c>
      <c r="K5" s="11"/>
    </row>
    <row r="6" spans="1:11" x14ac:dyDescent="0.2">
      <c r="A6" s="5">
        <f t="shared" ref="A6:A13" si="0">A5+1</f>
        <v>2012</v>
      </c>
      <c r="B6" s="13" t="s">
        <v>22</v>
      </c>
      <c r="C6" s="13" t="s">
        <v>23</v>
      </c>
      <c r="D6" s="13" t="s">
        <v>24</v>
      </c>
      <c r="E6" s="13" t="s">
        <v>25</v>
      </c>
      <c r="F6" s="13" t="s">
        <v>26</v>
      </c>
      <c r="G6" s="13" t="s">
        <v>27</v>
      </c>
      <c r="H6" s="13" t="s">
        <v>28</v>
      </c>
      <c r="I6" s="11" t="s">
        <v>29</v>
      </c>
      <c r="J6" s="11"/>
      <c r="K6" s="11"/>
    </row>
    <row r="7" spans="1:11" x14ac:dyDescent="0.2">
      <c r="A7" s="5">
        <f t="shared" si="0"/>
        <v>2013</v>
      </c>
      <c r="B7" s="13" t="s">
        <v>30</v>
      </c>
      <c r="C7" s="13" t="s">
        <v>31</v>
      </c>
      <c r="D7" s="13" t="s">
        <v>32</v>
      </c>
      <c r="E7" s="13" t="s">
        <v>33</v>
      </c>
      <c r="F7" s="13" t="s">
        <v>34</v>
      </c>
      <c r="G7" s="13" t="s">
        <v>35</v>
      </c>
      <c r="H7" s="11" t="s">
        <v>36</v>
      </c>
      <c r="I7" s="11"/>
      <c r="J7" s="11"/>
      <c r="K7" s="11"/>
    </row>
    <row r="8" spans="1:11" x14ac:dyDescent="0.2">
      <c r="A8" s="5">
        <f t="shared" si="0"/>
        <v>2014</v>
      </c>
      <c r="B8" s="13" t="s">
        <v>37</v>
      </c>
      <c r="C8" s="13" t="s">
        <v>38</v>
      </c>
      <c r="D8" s="13" t="s">
        <v>39</v>
      </c>
      <c r="E8" s="13" t="s">
        <v>40</v>
      </c>
      <c r="F8" s="13" t="s">
        <v>41</v>
      </c>
      <c r="G8" s="11" t="s">
        <v>42</v>
      </c>
      <c r="H8" s="11"/>
      <c r="I8" s="11"/>
      <c r="J8" s="11"/>
      <c r="K8" s="11"/>
    </row>
    <row r="9" spans="1:11" x14ac:dyDescent="0.2">
      <c r="A9" s="5">
        <f t="shared" si="0"/>
        <v>2015</v>
      </c>
      <c r="B9" s="13" t="s">
        <v>43</v>
      </c>
      <c r="C9" s="13" t="s">
        <v>44</v>
      </c>
      <c r="D9" s="13" t="s">
        <v>45</v>
      </c>
      <c r="E9" s="13" t="s">
        <v>46</v>
      </c>
      <c r="F9" s="11" t="s">
        <v>47</v>
      </c>
      <c r="G9" s="11"/>
      <c r="H9" s="11"/>
      <c r="I9" s="11"/>
      <c r="J9" s="11"/>
      <c r="K9" s="11"/>
    </row>
    <row r="10" spans="1:11" x14ac:dyDescent="0.2">
      <c r="A10" s="5">
        <f t="shared" si="0"/>
        <v>2016</v>
      </c>
      <c r="B10" s="13" t="s">
        <v>48</v>
      </c>
      <c r="C10" s="13" t="s">
        <v>49</v>
      </c>
      <c r="D10" s="13" t="s">
        <v>50</v>
      </c>
      <c r="E10" s="11" t="s">
        <v>51</v>
      </c>
      <c r="F10" s="11"/>
      <c r="G10" s="11"/>
      <c r="H10" s="11"/>
      <c r="I10" s="11"/>
      <c r="J10" s="11"/>
      <c r="K10" s="11"/>
    </row>
    <row r="11" spans="1:11" x14ac:dyDescent="0.2">
      <c r="A11" s="5">
        <f t="shared" si="0"/>
        <v>2017</v>
      </c>
      <c r="B11" s="13" t="s">
        <v>52</v>
      </c>
      <c r="C11" s="13" t="s">
        <v>53</v>
      </c>
      <c r="D11" s="11" t="s">
        <v>54</v>
      </c>
      <c r="E11" s="11"/>
      <c r="F11" s="11"/>
      <c r="G11" s="11"/>
      <c r="H11" s="11"/>
      <c r="I11" s="11"/>
      <c r="J11" s="11"/>
      <c r="K11" s="11"/>
    </row>
    <row r="12" spans="1:11" x14ac:dyDescent="0.2">
      <c r="A12" s="5">
        <f t="shared" si="0"/>
        <v>2018</v>
      </c>
      <c r="B12" s="13" t="s">
        <v>55</v>
      </c>
      <c r="C12" s="11" t="s">
        <v>56</v>
      </c>
      <c r="D12" s="11"/>
      <c r="E12" s="11"/>
      <c r="F12" s="11"/>
      <c r="G12" s="11"/>
      <c r="H12" s="11"/>
      <c r="I12" s="11"/>
      <c r="J12" s="11"/>
      <c r="K12" s="11"/>
    </row>
    <row r="13" spans="1:11" ht="12" thickBot="1" x14ac:dyDescent="0.25">
      <c r="A13" s="6">
        <f t="shared" si="0"/>
        <v>2019</v>
      </c>
      <c r="B13" s="15" t="s">
        <v>57</v>
      </c>
      <c r="C13" s="12"/>
      <c r="D13" s="12"/>
      <c r="E13" s="12"/>
      <c r="F13" s="12"/>
      <c r="G13" s="12"/>
      <c r="H13" s="12"/>
      <c r="I13" s="12"/>
      <c r="J13" s="12"/>
      <c r="K13" s="12"/>
    </row>
    <row r="16" spans="1:11" ht="12" customHeight="1" thickBot="1" x14ac:dyDescent="0.25">
      <c r="A16" s="33" t="s">
        <v>138</v>
      </c>
    </row>
    <row r="17" spans="1:11" ht="12" thickBot="1" x14ac:dyDescent="0.25">
      <c r="A17" s="20" t="s">
        <v>0</v>
      </c>
      <c r="B17" s="128" t="s">
        <v>1</v>
      </c>
      <c r="C17" s="129"/>
      <c r="D17" s="129"/>
      <c r="E17" s="129"/>
      <c r="F17" s="129"/>
      <c r="G17" s="129"/>
      <c r="H17" s="129"/>
      <c r="I17" s="129"/>
      <c r="J17" s="129"/>
      <c r="K17" s="130"/>
    </row>
    <row r="18" spans="1:11" ht="12" thickBot="1" x14ac:dyDescent="0.25">
      <c r="A18" s="21" t="s">
        <v>2</v>
      </c>
      <c r="B18" s="3">
        <v>1</v>
      </c>
      <c r="C18" s="4">
        <v>2</v>
      </c>
      <c r="D18" s="4">
        <v>3</v>
      </c>
      <c r="E18" s="4">
        <v>4</v>
      </c>
      <c r="F18" s="4">
        <v>5</v>
      </c>
      <c r="G18" s="4">
        <v>6</v>
      </c>
      <c r="H18" s="4">
        <v>7</v>
      </c>
      <c r="I18" s="4">
        <v>8</v>
      </c>
      <c r="J18" s="4">
        <v>9</v>
      </c>
      <c r="K18" s="4">
        <v>10</v>
      </c>
    </row>
    <row r="19" spans="1:11" x14ac:dyDescent="0.2">
      <c r="A19" s="5">
        <f>A4</f>
        <v>2010</v>
      </c>
      <c r="B19" s="13" t="s">
        <v>58</v>
      </c>
      <c r="C19" s="13" t="s">
        <v>59</v>
      </c>
      <c r="D19" s="13" t="s">
        <v>60</v>
      </c>
      <c r="E19" s="13" t="s">
        <v>61</v>
      </c>
      <c r="F19" s="13" t="s">
        <v>62</v>
      </c>
      <c r="G19" s="13" t="s">
        <v>63</v>
      </c>
      <c r="H19" s="13" t="s">
        <v>64</v>
      </c>
      <c r="I19" s="13" t="s">
        <v>65</v>
      </c>
      <c r="J19" s="13" t="s">
        <v>66</v>
      </c>
      <c r="K19" s="14" t="s">
        <v>67</v>
      </c>
    </row>
    <row r="20" spans="1:11" x14ac:dyDescent="0.2">
      <c r="A20" s="5">
        <f t="shared" ref="A20:A28" si="1">A5</f>
        <v>2011</v>
      </c>
      <c r="B20" s="13" t="s">
        <v>68</v>
      </c>
      <c r="C20" s="13" t="s">
        <v>69</v>
      </c>
      <c r="D20" s="13" t="s">
        <v>70</v>
      </c>
      <c r="E20" s="13" t="s">
        <v>71</v>
      </c>
      <c r="F20" s="13" t="s">
        <v>72</v>
      </c>
      <c r="G20" s="13" t="s">
        <v>73</v>
      </c>
      <c r="H20" s="13" t="s">
        <v>74</v>
      </c>
      <c r="I20" s="13" t="s">
        <v>75</v>
      </c>
      <c r="J20" s="11" t="s">
        <v>76</v>
      </c>
      <c r="K20" s="11"/>
    </row>
    <row r="21" spans="1:11" x14ac:dyDescent="0.2">
      <c r="A21" s="5">
        <f t="shared" si="1"/>
        <v>2012</v>
      </c>
      <c r="B21" s="13" t="s">
        <v>77</v>
      </c>
      <c r="C21" s="13" t="s">
        <v>78</v>
      </c>
      <c r="D21" s="13" t="s">
        <v>79</v>
      </c>
      <c r="E21" s="13" t="s">
        <v>80</v>
      </c>
      <c r="F21" s="13" t="s">
        <v>81</v>
      </c>
      <c r="G21" s="13" t="s">
        <v>82</v>
      </c>
      <c r="H21" s="13" t="s">
        <v>83</v>
      </c>
      <c r="I21" s="11" t="s">
        <v>84</v>
      </c>
      <c r="J21" s="11"/>
      <c r="K21" s="11"/>
    </row>
    <row r="22" spans="1:11" x14ac:dyDescent="0.2">
      <c r="A22" s="5">
        <f t="shared" si="1"/>
        <v>2013</v>
      </c>
      <c r="B22" s="13" t="s">
        <v>85</v>
      </c>
      <c r="C22" s="13" t="s">
        <v>86</v>
      </c>
      <c r="D22" s="13" t="s">
        <v>87</v>
      </c>
      <c r="E22" s="13" t="s">
        <v>88</v>
      </c>
      <c r="F22" s="13" t="s">
        <v>89</v>
      </c>
      <c r="G22" s="13" t="s">
        <v>90</v>
      </c>
      <c r="H22" s="11" t="s">
        <v>91</v>
      </c>
      <c r="I22" s="11"/>
      <c r="J22" s="11"/>
      <c r="K22" s="11"/>
    </row>
    <row r="23" spans="1:11" x14ac:dyDescent="0.2">
      <c r="A23" s="5">
        <f t="shared" si="1"/>
        <v>2014</v>
      </c>
      <c r="B23" s="13" t="s">
        <v>92</v>
      </c>
      <c r="C23" s="13" t="s">
        <v>93</v>
      </c>
      <c r="D23" s="13" t="s">
        <v>94</v>
      </c>
      <c r="E23" s="13" t="s">
        <v>95</v>
      </c>
      <c r="F23" s="13" t="s">
        <v>96</v>
      </c>
      <c r="G23" s="11" t="s">
        <v>97</v>
      </c>
      <c r="H23" s="11"/>
      <c r="I23" s="11"/>
      <c r="J23" s="11"/>
      <c r="K23" s="11"/>
    </row>
    <row r="24" spans="1:11" x14ac:dyDescent="0.2">
      <c r="A24" s="5">
        <f t="shared" si="1"/>
        <v>2015</v>
      </c>
      <c r="B24" s="13" t="s">
        <v>98</v>
      </c>
      <c r="C24" s="13" t="s">
        <v>99</v>
      </c>
      <c r="D24" s="13" t="s">
        <v>100</v>
      </c>
      <c r="E24" s="13" t="s">
        <v>101</v>
      </c>
      <c r="F24" s="11" t="s">
        <v>102</v>
      </c>
      <c r="G24" s="11"/>
      <c r="H24" s="11"/>
      <c r="I24" s="11"/>
      <c r="J24" s="11"/>
      <c r="K24" s="11"/>
    </row>
    <row r="25" spans="1:11" x14ac:dyDescent="0.2">
      <c r="A25" s="5">
        <f t="shared" si="1"/>
        <v>2016</v>
      </c>
      <c r="B25" s="13" t="s">
        <v>103</v>
      </c>
      <c r="C25" s="13" t="s">
        <v>104</v>
      </c>
      <c r="D25" s="13" t="s">
        <v>105</v>
      </c>
      <c r="E25" s="11" t="s">
        <v>106</v>
      </c>
      <c r="F25" s="11"/>
      <c r="G25" s="11"/>
      <c r="H25" s="11"/>
      <c r="I25" s="11"/>
      <c r="J25" s="11"/>
      <c r="K25" s="11"/>
    </row>
    <row r="26" spans="1:11" x14ac:dyDescent="0.2">
      <c r="A26" s="5">
        <f t="shared" si="1"/>
        <v>2017</v>
      </c>
      <c r="B26" s="13" t="s">
        <v>107</v>
      </c>
      <c r="C26" s="13" t="s">
        <v>108</v>
      </c>
      <c r="D26" s="11" t="s">
        <v>109</v>
      </c>
      <c r="E26" s="11"/>
      <c r="F26" s="11"/>
      <c r="G26" s="11"/>
      <c r="H26" s="11"/>
      <c r="I26" s="11"/>
      <c r="J26" s="11"/>
      <c r="K26" s="11"/>
    </row>
    <row r="27" spans="1:11" x14ac:dyDescent="0.2">
      <c r="A27" s="5">
        <f t="shared" si="1"/>
        <v>2018</v>
      </c>
      <c r="B27" s="13" t="s">
        <v>110</v>
      </c>
      <c r="C27" s="11" t="s">
        <v>111</v>
      </c>
      <c r="D27" s="11"/>
      <c r="E27" s="11"/>
      <c r="F27" s="11"/>
      <c r="G27" s="11"/>
      <c r="H27" s="11"/>
      <c r="I27" s="11"/>
      <c r="J27" s="11"/>
      <c r="K27" s="11"/>
    </row>
    <row r="28" spans="1:11" ht="12" thickBot="1" x14ac:dyDescent="0.25">
      <c r="A28" s="6">
        <f t="shared" si="1"/>
        <v>2019</v>
      </c>
      <c r="B28" s="15" t="s">
        <v>112</v>
      </c>
      <c r="C28" s="12"/>
      <c r="D28" s="12"/>
      <c r="E28" s="12"/>
      <c r="F28" s="12"/>
      <c r="G28" s="12"/>
      <c r="H28" s="12"/>
      <c r="I28" s="12"/>
      <c r="J28" s="12"/>
      <c r="K28" s="12"/>
    </row>
    <row r="29" spans="1:11" x14ac:dyDescent="0.2">
      <c r="A29" s="16"/>
      <c r="B29" s="17"/>
      <c r="C29" s="17"/>
      <c r="D29" s="17"/>
      <c r="E29" s="17"/>
      <c r="F29" s="17"/>
      <c r="G29" s="17"/>
      <c r="H29" s="17"/>
      <c r="I29" s="17"/>
      <c r="J29" s="17"/>
      <c r="K29" s="17"/>
    </row>
    <row r="30" spans="1:11" x14ac:dyDescent="0.2">
      <c r="A30" s="16"/>
      <c r="B30" s="17"/>
      <c r="C30" s="17"/>
      <c r="D30" s="17"/>
      <c r="E30" s="17"/>
      <c r="F30" s="17"/>
      <c r="G30" s="17"/>
      <c r="H30" s="17"/>
      <c r="I30" s="17"/>
      <c r="J30" s="17"/>
      <c r="K30" s="17"/>
    </row>
    <row r="32" spans="1:11" ht="40.5" customHeight="1" x14ac:dyDescent="0.2">
      <c r="A32" s="127" t="s">
        <v>114</v>
      </c>
      <c r="B32" s="127"/>
      <c r="F32" s="127" t="s">
        <v>128</v>
      </c>
      <c r="G32" s="127"/>
    </row>
    <row r="34" spans="1:7" ht="21" x14ac:dyDescent="0.2">
      <c r="A34" s="18" t="s">
        <v>113</v>
      </c>
      <c r="B34" s="18" t="s">
        <v>114</v>
      </c>
      <c r="F34" s="18" t="s">
        <v>113</v>
      </c>
      <c r="G34" s="19" t="s">
        <v>125</v>
      </c>
    </row>
    <row r="35" spans="1:7" x14ac:dyDescent="0.2">
      <c r="A35" s="7">
        <f>A4</f>
        <v>2010</v>
      </c>
      <c r="B35" s="8" t="s">
        <v>115</v>
      </c>
      <c r="F35" s="9">
        <f>A4</f>
        <v>2010</v>
      </c>
      <c r="G35" s="1"/>
    </row>
    <row r="36" spans="1:7" x14ac:dyDescent="0.2">
      <c r="A36" s="7">
        <f t="shared" ref="A36:A44" si="2">A5</f>
        <v>2011</v>
      </c>
      <c r="B36" s="8" t="s">
        <v>116</v>
      </c>
      <c r="F36" s="9">
        <f t="shared" ref="F36:F44" si="3">A5</f>
        <v>2011</v>
      </c>
      <c r="G36" s="1"/>
    </row>
    <row r="37" spans="1:7" x14ac:dyDescent="0.2">
      <c r="A37" s="7">
        <f t="shared" si="2"/>
        <v>2012</v>
      </c>
      <c r="B37" s="8" t="s">
        <v>117</v>
      </c>
      <c r="F37" s="9">
        <f t="shared" si="3"/>
        <v>2012</v>
      </c>
      <c r="G37" s="1"/>
    </row>
    <row r="38" spans="1:7" x14ac:dyDescent="0.2">
      <c r="A38" s="7">
        <f t="shared" si="2"/>
        <v>2013</v>
      </c>
      <c r="B38" s="8" t="s">
        <v>118</v>
      </c>
      <c r="F38" s="9">
        <f t="shared" si="3"/>
        <v>2013</v>
      </c>
      <c r="G38" s="1"/>
    </row>
    <row r="39" spans="1:7" x14ac:dyDescent="0.2">
      <c r="A39" s="7">
        <f t="shared" si="2"/>
        <v>2014</v>
      </c>
      <c r="B39" s="8" t="s">
        <v>119</v>
      </c>
      <c r="F39" s="9">
        <f t="shared" si="3"/>
        <v>2014</v>
      </c>
      <c r="G39" s="1"/>
    </row>
    <row r="40" spans="1:7" x14ac:dyDescent="0.2">
      <c r="A40" s="7">
        <f t="shared" si="2"/>
        <v>2015</v>
      </c>
      <c r="B40" s="8" t="s">
        <v>120</v>
      </c>
      <c r="F40" s="9">
        <f t="shared" si="3"/>
        <v>2015</v>
      </c>
      <c r="G40" s="1"/>
    </row>
    <row r="41" spans="1:7" x14ac:dyDescent="0.2">
      <c r="A41" s="7">
        <f t="shared" si="2"/>
        <v>2016</v>
      </c>
      <c r="B41" s="8" t="s">
        <v>121</v>
      </c>
      <c r="F41" s="9">
        <f t="shared" si="3"/>
        <v>2016</v>
      </c>
      <c r="G41" s="1"/>
    </row>
    <row r="42" spans="1:7" x14ac:dyDescent="0.2">
      <c r="A42" s="7">
        <f t="shared" si="2"/>
        <v>2017</v>
      </c>
      <c r="B42" s="8" t="s">
        <v>122</v>
      </c>
      <c r="F42" s="9">
        <f t="shared" si="3"/>
        <v>2017</v>
      </c>
      <c r="G42" s="1"/>
    </row>
    <row r="43" spans="1:7" x14ac:dyDescent="0.2">
      <c r="A43" s="7">
        <f t="shared" si="2"/>
        <v>2018</v>
      </c>
      <c r="B43" s="8" t="s">
        <v>123</v>
      </c>
      <c r="F43" s="9">
        <f t="shared" si="3"/>
        <v>2018</v>
      </c>
      <c r="G43" s="10" t="s">
        <v>126</v>
      </c>
    </row>
    <row r="44" spans="1:7" x14ac:dyDescent="0.2">
      <c r="A44" s="7">
        <f t="shared" si="2"/>
        <v>2019</v>
      </c>
      <c r="B44" s="8" t="s">
        <v>124</v>
      </c>
      <c r="F44" s="9">
        <f t="shared" si="3"/>
        <v>2019</v>
      </c>
      <c r="G44" s="10" t="s">
        <v>127</v>
      </c>
    </row>
  </sheetData>
  <mergeCells count="4">
    <mergeCell ref="F32:G32"/>
    <mergeCell ref="A32:B32"/>
    <mergeCell ref="B2:K2"/>
    <mergeCell ref="B17:K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675B-E394-1347-B1BF-41E597E5617D}">
  <dimension ref="A1:T97"/>
  <sheetViews>
    <sheetView topLeftCell="A25" zoomScale="90" zoomScaleNormal="90" workbookViewId="0">
      <selection activeCell="M22" sqref="M22:M32"/>
    </sheetView>
  </sheetViews>
  <sheetFormatPr baseColWidth="10" defaultRowHeight="15" x14ac:dyDescent="0.25"/>
  <cols>
    <col min="2" max="2" width="12.7109375" bestFit="1" customWidth="1"/>
    <col min="3" max="3" width="13.28515625" customWidth="1"/>
    <col min="4" max="4" width="15" customWidth="1"/>
    <col min="5" max="6" width="15.140625" customWidth="1"/>
    <col min="7" max="7" width="14.85546875" customWidth="1"/>
    <col min="8" max="8" width="15.28515625" customWidth="1"/>
    <col min="9" max="9" width="14.85546875" customWidth="1"/>
    <col min="10" max="10" width="14" customWidth="1"/>
    <col min="13" max="13" width="16.42578125" customWidth="1"/>
    <col min="14" max="14" width="18.7109375" customWidth="1"/>
    <col min="19" max="19" width="34.140625" bestFit="1" customWidth="1"/>
    <col min="20" max="20" width="13.140625" bestFit="1" customWidth="1"/>
  </cols>
  <sheetData>
    <row r="1" spans="1:20" ht="15.75" thickBot="1" x14ac:dyDescent="0.3">
      <c r="A1" s="33" t="s">
        <v>137</v>
      </c>
      <c r="B1" s="2"/>
      <c r="C1" s="2"/>
      <c r="D1" s="2"/>
      <c r="E1" s="2"/>
      <c r="F1" s="2"/>
      <c r="G1" s="2"/>
      <c r="H1" s="2"/>
      <c r="I1" s="2"/>
      <c r="J1" s="2"/>
      <c r="K1" s="2"/>
    </row>
    <row r="2" spans="1:20" ht="15.75" thickBot="1" x14ac:dyDescent="0.3">
      <c r="A2" s="20" t="s">
        <v>191</v>
      </c>
      <c r="B2" s="128" t="s">
        <v>1</v>
      </c>
      <c r="C2" s="129"/>
      <c r="D2" s="129"/>
      <c r="E2" s="129"/>
      <c r="F2" s="129"/>
      <c r="G2" s="129"/>
      <c r="H2" s="129"/>
      <c r="I2" s="129"/>
      <c r="J2" s="129"/>
      <c r="K2" s="130"/>
    </row>
    <row r="3" spans="1:20" ht="15.75" thickBot="1" x14ac:dyDescent="0.3">
      <c r="A3" s="21" t="s">
        <v>2</v>
      </c>
      <c r="B3" s="3">
        <v>1</v>
      </c>
      <c r="C3" s="4">
        <v>2</v>
      </c>
      <c r="D3" s="4">
        <v>3</v>
      </c>
      <c r="E3" s="4">
        <v>4</v>
      </c>
      <c r="F3" s="4">
        <v>5</v>
      </c>
      <c r="G3" s="4">
        <v>6</v>
      </c>
      <c r="H3" s="4">
        <v>7</v>
      </c>
      <c r="I3" s="4">
        <v>8</v>
      </c>
      <c r="J3" s="4">
        <v>9</v>
      </c>
      <c r="K3" s="4">
        <v>10</v>
      </c>
      <c r="N3" s="55" t="s">
        <v>164</v>
      </c>
    </row>
    <row r="4" spans="1:20" x14ac:dyDescent="0.25">
      <c r="A4" s="5">
        <v>2010</v>
      </c>
      <c r="B4" s="42">
        <v>432782</v>
      </c>
      <c r="C4" s="42">
        <v>898124</v>
      </c>
      <c r="D4" s="42">
        <v>997331</v>
      </c>
      <c r="E4" s="42">
        <v>1027219</v>
      </c>
      <c r="F4" s="42">
        <v>1035496</v>
      </c>
      <c r="G4" s="42">
        <v>1030840</v>
      </c>
      <c r="H4" s="42">
        <v>1038087</v>
      </c>
      <c r="I4" s="42">
        <v>1042345</v>
      </c>
      <c r="J4" s="42">
        <v>1042297</v>
      </c>
      <c r="K4" s="47">
        <v>1039601</v>
      </c>
      <c r="N4" s="56">
        <f>K4-K4</f>
        <v>0</v>
      </c>
      <c r="S4" s="125" t="s">
        <v>202</v>
      </c>
      <c r="T4" s="56">
        <f>SUM(K4:K13)</f>
        <v>11400776.223214287</v>
      </c>
    </row>
    <row r="5" spans="1:20" x14ac:dyDescent="0.25">
      <c r="A5" s="5">
        <f>A4+1</f>
        <v>2011</v>
      </c>
      <c r="B5" s="42">
        <v>441759</v>
      </c>
      <c r="C5" s="42">
        <v>913991</v>
      </c>
      <c r="D5" s="42">
        <v>1022900</v>
      </c>
      <c r="E5" s="42">
        <v>1077197</v>
      </c>
      <c r="F5" s="42">
        <v>1093877</v>
      </c>
      <c r="G5" s="42">
        <v>1105416</v>
      </c>
      <c r="H5" s="42">
        <v>1106969</v>
      </c>
      <c r="I5" s="42">
        <v>1113688</v>
      </c>
      <c r="J5" s="46">
        <v>1128980</v>
      </c>
      <c r="K5" s="44">
        <f>J5*$J$16</f>
        <v>1126059.7862029728</v>
      </c>
      <c r="N5" s="56">
        <f>K5-J5</f>
        <v>-2920.2137970272452</v>
      </c>
      <c r="S5" s="125" t="s">
        <v>203</v>
      </c>
      <c r="T5" s="56">
        <f>K4+J5+I6+H7+G8+F9+E10+D11+C12+B13</f>
        <v>10105461</v>
      </c>
    </row>
    <row r="6" spans="1:20" x14ac:dyDescent="0.25">
      <c r="A6" s="5">
        <f t="shared" ref="A6:A13" si="0">A5+1</f>
        <v>2012</v>
      </c>
      <c r="B6" s="42">
        <v>419449</v>
      </c>
      <c r="C6" s="42">
        <v>848016</v>
      </c>
      <c r="D6" s="42">
        <v>925269</v>
      </c>
      <c r="E6" s="42">
        <v>979045</v>
      </c>
      <c r="F6" s="42">
        <v>1001307</v>
      </c>
      <c r="G6" s="42">
        <v>1018956</v>
      </c>
      <c r="H6" s="42">
        <v>1042093</v>
      </c>
      <c r="I6" s="46">
        <v>1041417</v>
      </c>
      <c r="J6" s="44">
        <f>I6*$I$16</f>
        <v>1048780.2271621074</v>
      </c>
      <c r="K6" s="44">
        <f t="shared" ref="K6:K13" si="1">J6*$J$16</f>
        <v>1046067.4576804442</v>
      </c>
      <c r="N6" s="56">
        <f>K6-I6</f>
        <v>4650.4576804442331</v>
      </c>
      <c r="S6" s="125" t="s">
        <v>204</v>
      </c>
      <c r="T6" s="56">
        <f>T4-T5</f>
        <v>1295315.2232142873</v>
      </c>
    </row>
    <row r="7" spans="1:20" x14ac:dyDescent="0.25">
      <c r="A7" s="5">
        <f t="shared" si="0"/>
        <v>2013</v>
      </c>
      <c r="B7" s="42">
        <v>407962</v>
      </c>
      <c r="C7" s="42">
        <v>876043</v>
      </c>
      <c r="D7" s="42">
        <v>999854</v>
      </c>
      <c r="E7" s="42">
        <v>1118598</v>
      </c>
      <c r="F7" s="42">
        <v>1231642</v>
      </c>
      <c r="G7" s="42">
        <v>1227681</v>
      </c>
      <c r="H7" s="46">
        <v>1244795</v>
      </c>
      <c r="I7" s="44">
        <f>H7*$H$16</f>
        <v>1248818.2299446936</v>
      </c>
      <c r="J7" s="44">
        <f t="shared" ref="J7:J13" si="2">I7*$I$16</f>
        <v>1257647.8652504969</v>
      </c>
      <c r="K7" s="44">
        <f t="shared" si="1"/>
        <v>1254394.8398223172</v>
      </c>
      <c r="N7" s="56">
        <f>K7-H7</f>
        <v>9599.8398223172408</v>
      </c>
      <c r="S7" s="125" t="s">
        <v>205</v>
      </c>
      <c r="T7" s="56">
        <f>T6+199134</f>
        <v>1494449.2232142873</v>
      </c>
    </row>
    <row r="8" spans="1:20" x14ac:dyDescent="0.25">
      <c r="A8" s="5">
        <f t="shared" si="0"/>
        <v>2014</v>
      </c>
      <c r="B8" s="42">
        <v>432585</v>
      </c>
      <c r="C8" s="42">
        <v>847593</v>
      </c>
      <c r="D8" s="42">
        <v>961562</v>
      </c>
      <c r="E8" s="42">
        <v>1009070</v>
      </c>
      <c r="F8" s="42">
        <v>1117569</v>
      </c>
      <c r="G8" s="46">
        <v>1124601</v>
      </c>
      <c r="H8" s="44">
        <f>G8*$G$16</f>
        <v>1137186.9343705173</v>
      </c>
      <c r="I8" s="44">
        <f t="shared" ref="I8:I13" si="3">H8*$H$16</f>
        <v>1140862.3705082538</v>
      </c>
      <c r="J8" s="44">
        <f t="shared" si="2"/>
        <v>1148928.7154927822</v>
      </c>
      <c r="K8" s="44">
        <f t="shared" si="1"/>
        <v>1145956.9024519997</v>
      </c>
      <c r="N8" s="56">
        <f>K8-G8</f>
        <v>21355.902451999718</v>
      </c>
    </row>
    <row r="9" spans="1:20" x14ac:dyDescent="0.25">
      <c r="A9" s="5">
        <f t="shared" si="0"/>
        <v>2015</v>
      </c>
      <c r="B9" s="42">
        <v>409188</v>
      </c>
      <c r="C9" s="42">
        <v>864592</v>
      </c>
      <c r="D9" s="42">
        <v>960768</v>
      </c>
      <c r="E9" s="42">
        <v>1040363</v>
      </c>
      <c r="F9" s="46">
        <v>1064804</v>
      </c>
      <c r="G9" s="44">
        <f>F9*$F$16</f>
        <v>1070167.5710659209</v>
      </c>
      <c r="H9" s="44">
        <f t="shared" ref="H9:H13" si="4">G9*$G$16</f>
        <v>1082144.3155423098</v>
      </c>
      <c r="I9" s="44">
        <f t="shared" si="3"/>
        <v>1085641.8516143295</v>
      </c>
      <c r="J9" s="44">
        <f t="shared" si="2"/>
        <v>1093317.7658447744</v>
      </c>
      <c r="K9" s="44">
        <f t="shared" si="1"/>
        <v>1090489.7957971608</v>
      </c>
      <c r="N9" s="56">
        <f>K9-F9</f>
        <v>25685.795797160827</v>
      </c>
    </row>
    <row r="10" spans="1:20" x14ac:dyDescent="0.25">
      <c r="A10" s="5">
        <f t="shared" si="0"/>
        <v>2016</v>
      </c>
      <c r="B10" s="42">
        <v>424180</v>
      </c>
      <c r="C10" s="42">
        <v>864312</v>
      </c>
      <c r="D10" s="42">
        <v>977930</v>
      </c>
      <c r="E10" s="46">
        <v>1026643</v>
      </c>
      <c r="F10" s="44">
        <f>E10*$E$16</f>
        <v>1074793.8746278489</v>
      </c>
      <c r="G10" s="44">
        <f t="shared" ref="G10:G13" si="5">F10*$F$16</f>
        <v>1080207.7661306821</v>
      </c>
      <c r="H10" s="44">
        <f t="shared" si="4"/>
        <v>1092296.8751133736</v>
      </c>
      <c r="I10" s="44">
        <f t="shared" si="3"/>
        <v>1095827.2246861558</v>
      </c>
      <c r="J10" s="44">
        <f t="shared" si="2"/>
        <v>1103575.1535040892</v>
      </c>
      <c r="K10" s="44">
        <f t="shared" si="1"/>
        <v>1100720.6517508971</v>
      </c>
      <c r="N10" s="56">
        <f>K10-E10</f>
        <v>74077.651750897057</v>
      </c>
    </row>
    <row r="11" spans="1:20" x14ac:dyDescent="0.25">
      <c r="A11" s="5">
        <f t="shared" si="0"/>
        <v>2017</v>
      </c>
      <c r="B11" s="42">
        <v>442586</v>
      </c>
      <c r="C11" s="42">
        <v>905978</v>
      </c>
      <c r="D11" s="46">
        <v>1016550</v>
      </c>
      <c r="E11" s="44">
        <f>D11*$D$16</f>
        <v>1080777.8724085232</v>
      </c>
      <c r="F11" s="44">
        <f t="shared" ref="F11:F13" si="6">E11*$E$16</f>
        <v>1131467.7420466507</v>
      </c>
      <c r="G11" s="44">
        <f t="shared" si="5"/>
        <v>1137167.1079799719</v>
      </c>
      <c r="H11" s="44">
        <f t="shared" si="4"/>
        <v>1149893.675526459</v>
      </c>
      <c r="I11" s="44">
        <f t="shared" si="3"/>
        <v>1153610.1803875742</v>
      </c>
      <c r="J11" s="44">
        <f t="shared" si="2"/>
        <v>1161766.6573941081</v>
      </c>
      <c r="K11" s="44">
        <f t="shared" si="1"/>
        <v>1158761.6377995641</v>
      </c>
      <c r="N11" s="56">
        <f>K11-D11</f>
        <v>142211.63779956405</v>
      </c>
    </row>
    <row r="12" spans="1:20" x14ac:dyDescent="0.25">
      <c r="A12" s="5">
        <f t="shared" si="0"/>
        <v>2018</v>
      </c>
      <c r="B12" s="42">
        <v>455111</v>
      </c>
      <c r="C12" s="46">
        <v>955309</v>
      </c>
      <c r="D12" s="44">
        <f>C12*C16</f>
        <v>1070119.9089277722</v>
      </c>
      <c r="E12" s="44">
        <f t="shared" ref="E12:E13" si="7">D12*$D$16</f>
        <v>1137732.4464049581</v>
      </c>
      <c r="F12" s="44">
        <f t="shared" si="6"/>
        <v>1191093.5586775602</v>
      </c>
      <c r="G12" s="44">
        <f t="shared" si="5"/>
        <v>1197093.268434593</v>
      </c>
      <c r="H12" s="44">
        <f t="shared" si="4"/>
        <v>1210490.4975957852</v>
      </c>
      <c r="I12" s="44">
        <f t="shared" si="3"/>
        <v>1214402.8539417654</v>
      </c>
      <c r="J12" s="44">
        <f t="shared" si="2"/>
        <v>1222989.159024057</v>
      </c>
      <c r="K12" s="44">
        <f t="shared" si="1"/>
        <v>1219825.7816251689</v>
      </c>
      <c r="N12" s="56">
        <f>K12-C12</f>
        <v>264516.78162516886</v>
      </c>
    </row>
    <row r="13" spans="1:20" ht="15.75" thickBot="1" x14ac:dyDescent="0.3">
      <c r="A13" s="6">
        <f t="shared" si="0"/>
        <v>2019</v>
      </c>
      <c r="B13" s="45">
        <v>462761</v>
      </c>
      <c r="C13" s="48">
        <f>B13*B16</f>
        <v>954582.69579692883</v>
      </c>
      <c r="D13" s="48">
        <f>C13*C16</f>
        <v>1069306.3160613338</v>
      </c>
      <c r="E13" s="49">
        <f t="shared" si="7"/>
        <v>1136867.4489457125</v>
      </c>
      <c r="F13" s="49">
        <f t="shared" si="6"/>
        <v>1190187.9917270567</v>
      </c>
      <c r="G13" s="49">
        <f t="shared" si="5"/>
        <v>1196183.14001297</v>
      </c>
      <c r="H13" s="49">
        <f t="shared" si="4"/>
        <v>1209570.1835024587</v>
      </c>
      <c r="I13" s="49">
        <f t="shared" si="3"/>
        <v>1213479.5653544711</v>
      </c>
      <c r="J13" s="49">
        <f t="shared" si="2"/>
        <v>1222059.3424238681</v>
      </c>
      <c r="K13" s="49">
        <f t="shared" si="1"/>
        <v>1218898.3700837628</v>
      </c>
      <c r="N13" s="56">
        <f>K13-B13</f>
        <v>756137.3700837628</v>
      </c>
      <c r="O13">
        <f>N13/N14</f>
        <v>0.58374776774986836</v>
      </c>
    </row>
    <row r="14" spans="1:20" x14ac:dyDescent="0.25">
      <c r="A14" s="2"/>
      <c r="B14" s="2"/>
      <c r="C14" s="2"/>
      <c r="D14" s="2"/>
      <c r="E14" s="2"/>
      <c r="F14" s="2"/>
      <c r="G14" s="2"/>
      <c r="H14" s="2"/>
      <c r="I14" s="2"/>
      <c r="J14" s="2"/>
      <c r="K14" s="2"/>
      <c r="M14" s="57" t="s">
        <v>164</v>
      </c>
      <c r="N14" s="58">
        <f>SUM(N4:N13)</f>
        <v>1295315.2232142875</v>
      </c>
    </row>
    <row r="15" spans="1:20" x14ac:dyDescent="0.25">
      <c r="A15" s="2"/>
      <c r="B15" s="43"/>
      <c r="C15" s="43"/>
      <c r="D15" s="43"/>
      <c r="E15" s="43"/>
      <c r="F15" s="43"/>
      <c r="G15" s="43"/>
      <c r="H15" s="43"/>
      <c r="I15" s="43"/>
      <c r="J15" s="43"/>
      <c r="K15" s="43"/>
      <c r="M15" s="120" t="s">
        <v>125</v>
      </c>
      <c r="N15" s="121">
        <f>33189+165945+'Chain ladder'!N14</f>
        <v>1494449.2232142875</v>
      </c>
    </row>
    <row r="16" spans="1:20" x14ac:dyDescent="0.25">
      <c r="A16" s="51" t="s">
        <v>163</v>
      </c>
      <c r="B16" s="50">
        <f>SUM(C4:C12)/SUM(B4:B12)</f>
        <v>2.0627984981381942</v>
      </c>
      <c r="C16" s="50">
        <f>SUM(D4:D11)/SUM(C4:C11)</f>
        <v>1.1201819609443355</v>
      </c>
      <c r="D16" s="50">
        <f>SUM(E4:E10)/SUM(D4:D10)</f>
        <v>1.0631822068845833</v>
      </c>
      <c r="E16" s="50">
        <f>SUM(F4:F9)/SUM(E4:E9)</f>
        <v>1.0469012837255491</v>
      </c>
      <c r="F16" s="50">
        <f>SUM(G4:G8)/SUM(F4:F8)</f>
        <v>1.0050371439869881</v>
      </c>
      <c r="G16" s="50">
        <f>SUM(H4:H7)/SUM(G4:G7)</f>
        <v>1.0111914664583415</v>
      </c>
      <c r="H16" s="50">
        <f>SUM(I4:I6)/SUM(H4:H6)</f>
        <v>1.0032320421793899</v>
      </c>
      <c r="I16" s="50">
        <f>SUM(J4:J5)/SUM(I4:I5)</f>
        <v>1.0070703927073472</v>
      </c>
      <c r="J16" s="50">
        <f>SUM(K4)/SUM(J4)</f>
        <v>0.99741340520024524</v>
      </c>
      <c r="K16" s="2"/>
    </row>
    <row r="17" spans="1:13" x14ac:dyDescent="0.25">
      <c r="A17" s="2"/>
      <c r="B17" s="43"/>
      <c r="C17" s="43"/>
      <c r="D17" s="2"/>
      <c r="E17" s="2"/>
      <c r="F17" s="2"/>
      <c r="G17" s="2"/>
      <c r="H17" s="2"/>
      <c r="I17" s="2"/>
      <c r="J17" s="2"/>
      <c r="K17" s="2"/>
    </row>
    <row r="18" spans="1:13" x14ac:dyDescent="0.25">
      <c r="A18" s="2"/>
      <c r="B18" s="2"/>
      <c r="C18" s="2"/>
      <c r="D18" s="2"/>
      <c r="E18" s="2"/>
      <c r="F18" s="2"/>
      <c r="G18" s="2"/>
      <c r="H18" s="2"/>
      <c r="I18" s="2"/>
      <c r="J18" s="2"/>
      <c r="K18" s="2"/>
    </row>
    <row r="19" spans="1:13" ht="15.75" thickBot="1" x14ac:dyDescent="0.3">
      <c r="A19" s="33" t="s">
        <v>138</v>
      </c>
      <c r="B19" s="2"/>
      <c r="C19" s="2"/>
      <c r="D19" s="2"/>
      <c r="E19" s="2"/>
      <c r="F19" s="2"/>
      <c r="G19" s="2"/>
      <c r="H19" s="2"/>
      <c r="I19" s="2"/>
      <c r="J19" s="2"/>
      <c r="K19" s="2"/>
    </row>
    <row r="20" spans="1:13" ht="15.75" thickBot="1" x14ac:dyDescent="0.3">
      <c r="A20" s="20" t="s">
        <v>0</v>
      </c>
      <c r="B20" s="128" t="s">
        <v>1</v>
      </c>
      <c r="C20" s="129"/>
      <c r="D20" s="129"/>
      <c r="E20" s="129"/>
      <c r="F20" s="129"/>
      <c r="G20" s="129"/>
      <c r="H20" s="129"/>
      <c r="I20" s="129"/>
      <c r="J20" s="129"/>
      <c r="K20" s="130"/>
    </row>
    <row r="21" spans="1:13" ht="15.75" thickBot="1" x14ac:dyDescent="0.3">
      <c r="A21" s="21" t="s">
        <v>2</v>
      </c>
      <c r="B21" s="3">
        <v>1</v>
      </c>
      <c r="C21" s="4">
        <v>2</v>
      </c>
      <c r="D21" s="4">
        <v>3</v>
      </c>
      <c r="E21" s="4">
        <v>4</v>
      </c>
      <c r="F21" s="4">
        <v>5</v>
      </c>
      <c r="G21" s="4">
        <v>6</v>
      </c>
      <c r="H21" s="4">
        <v>7</v>
      </c>
      <c r="I21" s="4">
        <v>8</v>
      </c>
      <c r="J21" s="4">
        <v>9</v>
      </c>
      <c r="K21" s="4">
        <v>10</v>
      </c>
      <c r="M21" s="55" t="s">
        <v>164</v>
      </c>
    </row>
    <row r="22" spans="1:13" x14ac:dyDescent="0.25">
      <c r="A22" s="5">
        <f>A4</f>
        <v>2010</v>
      </c>
      <c r="B22" s="42">
        <v>1245296</v>
      </c>
      <c r="C22" s="42">
        <v>1393172</v>
      </c>
      <c r="D22" s="42">
        <v>1283063</v>
      </c>
      <c r="E22" s="42">
        <v>1222759</v>
      </c>
      <c r="F22" s="42">
        <v>1164264</v>
      </c>
      <c r="G22" s="42">
        <v>1105788</v>
      </c>
      <c r="H22" s="42">
        <v>1095652</v>
      </c>
      <c r="I22" s="42">
        <v>1089077</v>
      </c>
      <c r="J22" s="42">
        <v>1081644</v>
      </c>
      <c r="K22" s="47">
        <v>1077726</v>
      </c>
      <c r="M22" s="56">
        <f>K22-K22</f>
        <v>0</v>
      </c>
    </row>
    <row r="23" spans="1:13" x14ac:dyDescent="0.25">
      <c r="A23" s="5">
        <f t="shared" ref="A23:A31" si="8">A5</f>
        <v>2011</v>
      </c>
      <c r="B23" s="42">
        <v>1457612</v>
      </c>
      <c r="C23" s="42">
        <v>1650747</v>
      </c>
      <c r="D23" s="42">
        <v>1481550</v>
      </c>
      <c r="E23" s="42">
        <v>1380109</v>
      </c>
      <c r="F23" s="42">
        <v>1339858</v>
      </c>
      <c r="G23" s="42">
        <v>1289025</v>
      </c>
      <c r="H23" s="42">
        <v>1266666</v>
      </c>
      <c r="I23" s="42">
        <v>1256568</v>
      </c>
      <c r="J23" s="46">
        <v>1247416</v>
      </c>
      <c r="K23" s="44">
        <f>J23*$J$34</f>
        <v>1242897.5300708921</v>
      </c>
      <c r="M23" s="56">
        <f>K23-J23</f>
        <v>-4518.4699291079305</v>
      </c>
    </row>
    <row r="24" spans="1:13" x14ac:dyDescent="0.25">
      <c r="A24" s="5">
        <f t="shared" si="8"/>
        <v>2012</v>
      </c>
      <c r="B24" s="42">
        <v>1516436</v>
      </c>
      <c r="C24" s="42">
        <v>1449934</v>
      </c>
      <c r="D24" s="42">
        <v>1291319</v>
      </c>
      <c r="E24" s="42">
        <v>1203932</v>
      </c>
      <c r="F24" s="42">
        <v>1153978</v>
      </c>
      <c r="G24" s="42">
        <v>1095327</v>
      </c>
      <c r="H24" s="42">
        <v>1070724</v>
      </c>
      <c r="I24" s="46">
        <v>1061630</v>
      </c>
      <c r="J24" s="44">
        <f>I24*$I$34</f>
        <v>1054123.6921187988</v>
      </c>
      <c r="K24" s="44">
        <f t="shared" ref="K24:K31" si="9">J24*$J$34</f>
        <v>1050305.3779362014</v>
      </c>
      <c r="M24" s="56">
        <f>K24-I24</f>
        <v>-11324.622063798597</v>
      </c>
    </row>
    <row r="25" spans="1:13" x14ac:dyDescent="0.25">
      <c r="A25" s="5">
        <f t="shared" si="8"/>
        <v>2013</v>
      </c>
      <c r="B25" s="42">
        <v>1556421</v>
      </c>
      <c r="C25" s="42">
        <v>1660104</v>
      </c>
      <c r="D25" s="42">
        <v>1593591</v>
      </c>
      <c r="E25" s="42">
        <v>1522083</v>
      </c>
      <c r="F25" s="42">
        <v>1476118</v>
      </c>
      <c r="G25" s="42">
        <v>1449604</v>
      </c>
      <c r="H25" s="46">
        <v>1427291</v>
      </c>
      <c r="I25" s="44">
        <f>H25*$H$34</f>
        <v>1416578.3413150785</v>
      </c>
      <c r="J25" s="44">
        <f t="shared" ref="J25:J31" si="10">I25*$I$34</f>
        <v>1406562.3534777416</v>
      </c>
      <c r="K25" s="44">
        <f t="shared" si="9"/>
        <v>1401467.4134596528</v>
      </c>
      <c r="M25" s="56">
        <f>K25-H25</f>
        <v>-25823.586540347198</v>
      </c>
    </row>
    <row r="26" spans="1:13" x14ac:dyDescent="0.25">
      <c r="A26" s="5">
        <f t="shared" si="8"/>
        <v>2014</v>
      </c>
      <c r="B26" s="42">
        <v>1278959</v>
      </c>
      <c r="C26" s="42">
        <v>1387655</v>
      </c>
      <c r="D26" s="42">
        <v>1320005</v>
      </c>
      <c r="E26" s="42">
        <v>1239109</v>
      </c>
      <c r="F26" s="42">
        <v>1206974</v>
      </c>
      <c r="G26" s="46">
        <v>1175470</v>
      </c>
      <c r="H26" s="44">
        <f>G26*$G$34</f>
        <v>1156573.2215090499</v>
      </c>
      <c r="I26" s="44">
        <f t="shared" ref="I26:I31" si="11">H26*$H$34</f>
        <v>1147892.4590253332</v>
      </c>
      <c r="J26" s="44">
        <f t="shared" si="10"/>
        <v>1139776.228123839</v>
      </c>
      <c r="K26" s="44">
        <f t="shared" si="9"/>
        <v>1135647.6578532241</v>
      </c>
      <c r="M26" s="56">
        <f>K26-G26</f>
        <v>-39822.342146775918</v>
      </c>
    </row>
    <row r="27" spans="1:13" x14ac:dyDescent="0.25">
      <c r="A27" s="5">
        <f t="shared" si="8"/>
        <v>2015</v>
      </c>
      <c r="B27" s="42">
        <v>1084325</v>
      </c>
      <c r="C27" s="42">
        <v>1327360</v>
      </c>
      <c r="D27" s="42">
        <v>1282673</v>
      </c>
      <c r="E27" s="42">
        <v>1226133</v>
      </c>
      <c r="F27" s="46">
        <v>1198003</v>
      </c>
      <c r="G27" s="44">
        <f>F27*$F$34</f>
        <v>1155310.3450647765</v>
      </c>
      <c r="H27" s="44">
        <f t="shared" ref="H27:H31" si="12">G27*$G$34</f>
        <v>1136737.6518620641</v>
      </c>
      <c r="I27" s="44">
        <f t="shared" si="11"/>
        <v>1128205.7669985727</v>
      </c>
      <c r="J27" s="44">
        <f t="shared" si="10"/>
        <v>1120228.7318352505</v>
      </c>
      <c r="K27" s="44">
        <f t="shared" si="9"/>
        <v>1116170.9677545268</v>
      </c>
      <c r="M27" s="56">
        <f>K27-F27</f>
        <v>-81832.032245473238</v>
      </c>
    </row>
    <row r="28" spans="1:13" x14ac:dyDescent="0.25">
      <c r="A28" s="5">
        <f t="shared" si="8"/>
        <v>2016</v>
      </c>
      <c r="B28" s="42">
        <v>1318756</v>
      </c>
      <c r="C28" s="42">
        <v>1640878</v>
      </c>
      <c r="D28" s="42">
        <v>1496936</v>
      </c>
      <c r="E28" s="46">
        <v>1365069</v>
      </c>
      <c r="F28" s="44">
        <f>E28*$E$34</f>
        <v>1320420.3652693536</v>
      </c>
      <c r="G28" s="44">
        <f t="shared" ref="G28:G31" si="13">F28*$F$34</f>
        <v>1273365.1817482053</v>
      </c>
      <c r="H28" s="44">
        <f t="shared" si="12"/>
        <v>1252894.6467472403</v>
      </c>
      <c r="I28" s="44">
        <f t="shared" si="11"/>
        <v>1243490.9352975299</v>
      </c>
      <c r="J28" s="44">
        <f t="shared" si="10"/>
        <v>1234698.770600012</v>
      </c>
      <c r="K28" s="44">
        <f t="shared" si="9"/>
        <v>1230226.3658317048</v>
      </c>
      <c r="M28" s="56">
        <f>K28-E28</f>
        <v>-134842.63416829519</v>
      </c>
    </row>
    <row r="29" spans="1:13" x14ac:dyDescent="0.25">
      <c r="A29" s="5">
        <f t="shared" si="8"/>
        <v>2017</v>
      </c>
      <c r="B29" s="42">
        <v>1141778</v>
      </c>
      <c r="C29" s="42">
        <v>1367948</v>
      </c>
      <c r="D29" s="46">
        <v>1330510</v>
      </c>
      <c r="E29" s="44">
        <f>D29*$D$34</f>
        <v>1249997.73917835</v>
      </c>
      <c r="F29" s="44">
        <f t="shared" ref="F29:F31" si="14">E29*$E$34</f>
        <v>1209112.8516959532</v>
      </c>
      <c r="G29" s="44">
        <f t="shared" si="13"/>
        <v>1166024.2803357819</v>
      </c>
      <c r="H29" s="44">
        <f t="shared" si="12"/>
        <v>1147279.3506135645</v>
      </c>
      <c r="I29" s="44">
        <f t="shared" si="11"/>
        <v>1138668.3440988583</v>
      </c>
      <c r="J29" s="44">
        <f t="shared" si="10"/>
        <v>1130617.3327621559</v>
      </c>
      <c r="K29" s="44">
        <f t="shared" si="9"/>
        <v>1126521.9384274562</v>
      </c>
      <c r="M29" s="56">
        <f>K29-D29</f>
        <v>-203988.06157254381</v>
      </c>
    </row>
    <row r="30" spans="1:13" x14ac:dyDescent="0.25">
      <c r="A30" s="5">
        <f t="shared" si="8"/>
        <v>2018</v>
      </c>
      <c r="B30" s="42">
        <v>1467315</v>
      </c>
      <c r="C30" s="46">
        <v>1732294</v>
      </c>
      <c r="D30" s="44">
        <f>C30*$C$34</f>
        <v>1615889.2431255355</v>
      </c>
      <c r="E30" s="44">
        <f t="shared" ref="E30:E31" si="15">D30*$D$34</f>
        <v>1518108.0192328764</v>
      </c>
      <c r="F30" s="44">
        <f t="shared" si="14"/>
        <v>1468453.7889834209</v>
      </c>
      <c r="G30" s="44">
        <f t="shared" si="13"/>
        <v>1416123.2097600044</v>
      </c>
      <c r="H30" s="44">
        <f t="shared" si="12"/>
        <v>1393357.7060800055</v>
      </c>
      <c r="I30" s="44">
        <f t="shared" si="11"/>
        <v>1382899.7367302091</v>
      </c>
      <c r="J30" s="44">
        <f t="shared" si="10"/>
        <v>1373121.8751468619</v>
      </c>
      <c r="K30" s="44">
        <f t="shared" si="9"/>
        <v>1368148.0653658016</v>
      </c>
      <c r="M30" s="56">
        <f>K30-C30</f>
        <v>-364145.93463419843</v>
      </c>
    </row>
    <row r="31" spans="1:13" ht="15.75" thickBot="1" x14ac:dyDescent="0.3">
      <c r="A31" s="6">
        <f t="shared" si="8"/>
        <v>2019</v>
      </c>
      <c r="B31" s="45">
        <v>1327945</v>
      </c>
      <c r="C31" s="48">
        <f>B31*B34</f>
        <v>1497771.3096555551</v>
      </c>
      <c r="D31" s="49">
        <f>C31*$C$34</f>
        <v>1397125.7465155781</v>
      </c>
      <c r="E31" s="49">
        <f t="shared" si="15"/>
        <v>1312582.4116258705</v>
      </c>
      <c r="F31" s="49">
        <f t="shared" si="14"/>
        <v>1269650.5066082086</v>
      </c>
      <c r="G31" s="49">
        <f t="shared" si="13"/>
        <v>1224404.5840462819</v>
      </c>
      <c r="H31" s="49">
        <f t="shared" si="12"/>
        <v>1204721.1363972337</v>
      </c>
      <c r="I31" s="49">
        <f t="shared" si="11"/>
        <v>1195678.9954850201</v>
      </c>
      <c r="J31" s="49">
        <f t="shared" si="10"/>
        <v>1187224.8874933508</v>
      </c>
      <c r="K31" s="49">
        <f t="shared" si="9"/>
        <v>1182924.4456574058</v>
      </c>
      <c r="M31" s="56">
        <f>K31-B31</f>
        <v>-145020.55434259423</v>
      </c>
    </row>
    <row r="32" spans="1:13" x14ac:dyDescent="0.25">
      <c r="A32" s="16"/>
      <c r="B32" s="17"/>
      <c r="C32" s="17"/>
      <c r="D32" s="17"/>
      <c r="E32" s="17"/>
      <c r="F32" s="17"/>
      <c r="G32" s="17"/>
      <c r="H32" s="17"/>
      <c r="I32" s="17"/>
      <c r="J32" s="17"/>
      <c r="K32" s="17"/>
      <c r="L32" s="59" t="s">
        <v>192</v>
      </c>
      <c r="M32" s="60">
        <f>SUM(M22:M31)</f>
        <v>-1011318.2376431345</v>
      </c>
    </row>
    <row r="33" spans="1:13" x14ac:dyDescent="0.25">
      <c r="B33" s="52"/>
      <c r="L33" t="s">
        <v>125</v>
      </c>
      <c r="M33" s="119">
        <f>33189+165945+M32</f>
        <v>-812184.23764313455</v>
      </c>
    </row>
    <row r="34" spans="1:13" x14ac:dyDescent="0.25">
      <c r="A34" s="53" t="s">
        <v>163</v>
      </c>
      <c r="B34" s="54">
        <f>SUM(C22:C30)/SUM(B22:B30)</f>
        <v>1.1278865537771181</v>
      </c>
      <c r="C34" s="54">
        <f>SUM(D22:D29)/SUM(C22:C29)</f>
        <v>0.93280311721078268</v>
      </c>
      <c r="D34" s="54">
        <f>SUM(E22:E28)/SUM(D22:D28)</f>
        <v>0.93948766952397944</v>
      </c>
      <c r="E34" s="54">
        <f>SUM(F22:F27)/SUM(E22:E27)</f>
        <v>0.96729203085657467</v>
      </c>
      <c r="F34" s="54">
        <f>SUM(G22:G26)/SUM(F22:F26)</f>
        <v>0.96436348244935655</v>
      </c>
      <c r="G34" s="54">
        <f>SUM(H22:H25)/SUM(G22:G25)</f>
        <v>0.98392406570057067</v>
      </c>
      <c r="H34" s="54">
        <f>SUM(I22:I24)/SUM(H22:H24)</f>
        <v>0.99249441166172736</v>
      </c>
      <c r="I34" s="54">
        <f>SUM(J22:J23)/SUM(I22:I23)</f>
        <v>0.99292945010860556</v>
      </c>
      <c r="J34" s="54">
        <f>SUM(K22)/SUM(J22)</f>
        <v>0.99637773611280611</v>
      </c>
    </row>
    <row r="36" spans="1:13" x14ac:dyDescent="0.25">
      <c r="L36" t="s">
        <v>198</v>
      </c>
      <c r="M36" t="s">
        <v>197</v>
      </c>
    </row>
    <row r="42" spans="1:13" ht="15.75" thickBot="1" x14ac:dyDescent="0.3"/>
    <row r="43" spans="1:13" ht="15.75" thickBot="1" x14ac:dyDescent="0.3">
      <c r="A43" s="131" t="s">
        <v>113</v>
      </c>
      <c r="B43" s="63"/>
      <c r="C43" s="64"/>
      <c r="D43" s="64"/>
      <c r="E43" s="64"/>
      <c r="F43" s="64"/>
      <c r="G43" s="64"/>
      <c r="H43" s="64"/>
      <c r="I43" s="64"/>
      <c r="J43" s="64"/>
      <c r="K43" s="65"/>
    </row>
    <row r="44" spans="1:13" ht="15.75" thickBot="1" x14ac:dyDescent="0.3">
      <c r="A44" s="132"/>
      <c r="B44" s="68">
        <v>1</v>
      </c>
      <c r="C44" s="68">
        <v>2</v>
      </c>
      <c r="D44" s="67">
        <v>3</v>
      </c>
      <c r="E44" s="68">
        <v>4</v>
      </c>
      <c r="F44" s="66">
        <v>5</v>
      </c>
      <c r="G44" s="68">
        <v>6</v>
      </c>
      <c r="H44" s="68">
        <v>7</v>
      </c>
      <c r="I44" s="66">
        <v>8</v>
      </c>
      <c r="J44" s="68">
        <v>9</v>
      </c>
      <c r="K44" s="68">
        <v>10</v>
      </c>
    </row>
    <row r="45" spans="1:13" x14ac:dyDescent="0.25">
      <c r="A45" s="61">
        <v>2010</v>
      </c>
      <c r="B45" s="69">
        <f>B4/$K$4</f>
        <v>0.41629625211980364</v>
      </c>
      <c r="C45" s="69">
        <f t="shared" ref="C45:K45" si="16">C4/$K$4</f>
        <v>0.8639122124738241</v>
      </c>
      <c r="D45" s="69">
        <f t="shared" si="16"/>
        <v>0.95934016993057913</v>
      </c>
      <c r="E45" s="69">
        <f t="shared" si="16"/>
        <v>0.98808966132198794</v>
      </c>
      <c r="F45" s="69">
        <f t="shared" si="16"/>
        <v>0.99605136970818609</v>
      </c>
      <c r="G45" s="69">
        <f t="shared" si="16"/>
        <v>0.99157272838329324</v>
      </c>
      <c r="H45" s="69">
        <f t="shared" si="16"/>
        <v>0.99854367204340899</v>
      </c>
      <c r="I45" s="69">
        <f t="shared" si="16"/>
        <v>1.0026394741828837</v>
      </c>
      <c r="J45" s="69">
        <f t="shared" si="16"/>
        <v>1.0025933026228331</v>
      </c>
      <c r="K45" s="74">
        <f t="shared" si="16"/>
        <v>1</v>
      </c>
    </row>
    <row r="46" spans="1:13" x14ac:dyDescent="0.25">
      <c r="A46" s="61">
        <v>2011</v>
      </c>
      <c r="B46" s="70">
        <f>B5/$J$5</f>
        <v>0.39129036829704689</v>
      </c>
      <c r="C46" s="70">
        <f t="shared" ref="C46:J46" si="17">C5/$J$5</f>
        <v>0.80957235734911159</v>
      </c>
      <c r="D46" s="70">
        <f t="shared" si="17"/>
        <v>0.90603907952310936</v>
      </c>
      <c r="E46" s="70">
        <f t="shared" si="17"/>
        <v>0.95413293415295219</v>
      </c>
      <c r="F46" s="70">
        <f t="shared" si="17"/>
        <v>0.96890733228223702</v>
      </c>
      <c r="G46" s="70">
        <f t="shared" si="17"/>
        <v>0.97912806249889284</v>
      </c>
      <c r="H46" s="70">
        <f t="shared" si="17"/>
        <v>0.98050364045421534</v>
      </c>
      <c r="I46" s="70">
        <f t="shared" si="17"/>
        <v>0.98645503020425518</v>
      </c>
      <c r="J46" s="75">
        <f t="shared" si="17"/>
        <v>1</v>
      </c>
      <c r="K46" s="70"/>
    </row>
    <row r="47" spans="1:13" x14ac:dyDescent="0.25">
      <c r="A47" s="61">
        <v>2012</v>
      </c>
      <c r="B47" s="70">
        <f>B6/$I$6</f>
        <v>0.40276757533245566</v>
      </c>
      <c r="C47" s="70">
        <f t="shared" ref="C47:I47" si="18">C6/$I$6</f>
        <v>0.81429052915402766</v>
      </c>
      <c r="D47" s="70">
        <f t="shared" si="18"/>
        <v>0.88847118877452547</v>
      </c>
      <c r="E47" s="70">
        <f t="shared" si="18"/>
        <v>0.9401085252113226</v>
      </c>
      <c r="F47" s="70">
        <f t="shared" si="18"/>
        <v>0.9614851687652497</v>
      </c>
      <c r="G47" s="70">
        <f t="shared" si="18"/>
        <v>0.97843227064662863</v>
      </c>
      <c r="H47" s="70">
        <f t="shared" si="18"/>
        <v>1.0006491155800221</v>
      </c>
      <c r="I47" s="75">
        <f t="shared" si="18"/>
        <v>1</v>
      </c>
      <c r="J47" s="70"/>
      <c r="K47" s="70"/>
    </row>
    <row r="48" spans="1:13" x14ac:dyDescent="0.25">
      <c r="A48" s="61">
        <v>2013</v>
      </c>
      <c r="B48" s="70">
        <f>B7/$H$7</f>
        <v>0.32773428556509304</v>
      </c>
      <c r="C48" s="70">
        <f t="shared" ref="C48:H48" si="19">C7/$H$7</f>
        <v>0.70376487694760981</v>
      </c>
      <c r="D48" s="70">
        <f t="shared" si="19"/>
        <v>0.80322784072879472</v>
      </c>
      <c r="E48" s="70">
        <f t="shared" si="19"/>
        <v>0.89862025474074048</v>
      </c>
      <c r="F48" s="70">
        <f t="shared" si="19"/>
        <v>0.98943360151671556</v>
      </c>
      <c r="G48" s="70">
        <f t="shared" si="19"/>
        <v>0.98625155146028065</v>
      </c>
      <c r="H48" s="75">
        <f t="shared" si="19"/>
        <v>1</v>
      </c>
      <c r="I48" s="71"/>
      <c r="J48" s="70"/>
      <c r="K48" s="70"/>
    </row>
    <row r="49" spans="1:11" x14ac:dyDescent="0.25">
      <c r="A49" s="61">
        <v>2014</v>
      </c>
      <c r="B49" s="70">
        <f>B8/$G$8</f>
        <v>0.38465642481199996</v>
      </c>
      <c r="C49" s="70">
        <f t="shared" ref="C49:G49" si="20">C8/$G$8</f>
        <v>0.75368330634598402</v>
      </c>
      <c r="D49" s="70">
        <f t="shared" si="20"/>
        <v>0.85502502665389768</v>
      </c>
      <c r="E49" s="70">
        <f t="shared" si="20"/>
        <v>0.89726934263796676</v>
      </c>
      <c r="F49" s="70">
        <f t="shared" si="20"/>
        <v>0.99374711564368168</v>
      </c>
      <c r="G49" s="75">
        <f t="shared" si="20"/>
        <v>1</v>
      </c>
      <c r="H49" s="70"/>
      <c r="I49" s="71"/>
      <c r="J49" s="70"/>
      <c r="K49" s="70"/>
    </row>
    <row r="50" spans="1:11" x14ac:dyDescent="0.25">
      <c r="A50" s="61">
        <v>2015</v>
      </c>
      <c r="B50" s="70">
        <f>B9/$F$9</f>
        <v>0.3842848073448259</v>
      </c>
      <c r="C50" s="70">
        <f>C9/$F$9</f>
        <v>0.8119729076900537</v>
      </c>
      <c r="D50" s="70">
        <f t="shared" ref="D50:F50" si="21">D9/$F$9</f>
        <v>0.90229563375043675</v>
      </c>
      <c r="E50" s="70">
        <f t="shared" si="21"/>
        <v>0.97704647991555249</v>
      </c>
      <c r="F50" s="75">
        <f t="shared" si="21"/>
        <v>1</v>
      </c>
      <c r="G50" s="70"/>
      <c r="H50" s="70"/>
      <c r="I50" s="71"/>
      <c r="J50" s="70"/>
      <c r="K50" s="70"/>
    </row>
    <row r="51" spans="1:11" x14ac:dyDescent="0.25">
      <c r="A51" s="61">
        <v>2016</v>
      </c>
      <c r="B51" s="70">
        <f>B10/$E$10</f>
        <v>0.41317186207863882</v>
      </c>
      <c r="C51" s="70">
        <f>C10/$E$10</f>
        <v>0.84188174467658183</v>
      </c>
      <c r="D51" s="70">
        <f t="shared" ref="D51:E51" si="22">D10/$E$10</f>
        <v>0.95255117893951446</v>
      </c>
      <c r="E51" s="75">
        <f t="shared" si="22"/>
        <v>1</v>
      </c>
      <c r="F51" s="70"/>
      <c r="G51" s="70"/>
      <c r="H51" s="70"/>
      <c r="I51" s="71"/>
      <c r="J51" s="70"/>
      <c r="K51" s="70"/>
    </row>
    <row r="52" spans="1:11" x14ac:dyDescent="0.25">
      <c r="A52" s="61">
        <v>2017</v>
      </c>
      <c r="B52" s="70">
        <f>B11/$D$11</f>
        <v>0.43538045349466331</v>
      </c>
      <c r="C52" s="70">
        <f>C11/$D$11</f>
        <v>0.89122817372485363</v>
      </c>
      <c r="D52" s="75">
        <f t="shared" ref="D52" si="23">D11/$D$11</f>
        <v>1</v>
      </c>
      <c r="E52" s="70"/>
      <c r="F52" s="70"/>
      <c r="G52" s="70"/>
      <c r="H52" s="70"/>
      <c r="I52" s="71"/>
      <c r="J52" s="70"/>
      <c r="K52" s="70"/>
    </row>
    <row r="53" spans="1:11" x14ac:dyDescent="0.25">
      <c r="A53" s="61">
        <v>2018</v>
      </c>
      <c r="B53" s="70">
        <f>B12/$C$12</f>
        <v>0.47640187625155839</v>
      </c>
      <c r="C53" s="75">
        <f>C12/$C$12</f>
        <v>1</v>
      </c>
      <c r="D53" s="71"/>
      <c r="E53" s="70"/>
      <c r="F53" s="70"/>
      <c r="G53" s="70"/>
      <c r="H53" s="70"/>
      <c r="I53" s="71"/>
      <c r="J53" s="70"/>
      <c r="K53" s="70"/>
    </row>
    <row r="54" spans="1:11" ht="15.75" thickBot="1" x14ac:dyDescent="0.3">
      <c r="A54" s="62">
        <v>2019</v>
      </c>
      <c r="B54" s="76">
        <f>B13/B13</f>
        <v>1</v>
      </c>
      <c r="C54" s="72"/>
      <c r="D54" s="73"/>
      <c r="E54" s="72"/>
      <c r="F54" s="72"/>
      <c r="G54" s="72"/>
      <c r="H54" s="72"/>
      <c r="I54" s="73"/>
      <c r="J54" s="72"/>
      <c r="K54" s="72"/>
    </row>
    <row r="56" spans="1:11" x14ac:dyDescent="0.25">
      <c r="B56" s="122">
        <f>AVERAGE(B45:B53)</f>
        <v>0.40355376725512065</v>
      </c>
      <c r="C56" s="122">
        <f>AVERAGE(C45:C52)</f>
        <v>0.81128826354525585</v>
      </c>
      <c r="D56" s="122">
        <f>AVERAGE(D45:D51)</f>
        <v>0.89527858832869389</v>
      </c>
      <c r="E56" s="122">
        <f>AVERAGE(E45:E50)</f>
        <v>0.94254453299675367</v>
      </c>
      <c r="F56" s="122">
        <f>AVERAGE(F45:F49)</f>
        <v>0.9819249175832141</v>
      </c>
      <c r="G56" s="122">
        <f>AVERAGE(G45:G48)</f>
        <v>0.98384615324727387</v>
      </c>
      <c r="H56" s="122">
        <f>AVERAGE(H45:H47)</f>
        <v>0.99323214269254878</v>
      </c>
    </row>
    <row r="66" spans="1:11" ht="15.75" thickBot="1" x14ac:dyDescent="0.3">
      <c r="K66" s="81"/>
    </row>
    <row r="67" spans="1:11" ht="15.75" thickBot="1" x14ac:dyDescent="0.3">
      <c r="A67" s="131" t="s">
        <v>113</v>
      </c>
      <c r="B67" s="63"/>
      <c r="C67" s="64"/>
      <c r="D67" s="64"/>
      <c r="E67" s="64"/>
      <c r="F67" s="64"/>
      <c r="G67" s="64"/>
      <c r="H67" s="64"/>
      <c r="I67" s="64"/>
      <c r="J67" s="85"/>
      <c r="K67" s="81"/>
    </row>
    <row r="68" spans="1:11" ht="15.75" thickBot="1" x14ac:dyDescent="0.3">
      <c r="A68" s="132"/>
      <c r="B68" s="77" t="s">
        <v>165</v>
      </c>
      <c r="C68" s="78" t="s">
        <v>166</v>
      </c>
      <c r="D68" s="79" t="s">
        <v>167</v>
      </c>
      <c r="E68" s="78" t="s">
        <v>168</v>
      </c>
      <c r="F68" s="80" t="s">
        <v>169</v>
      </c>
      <c r="G68" s="78" t="s">
        <v>170</v>
      </c>
      <c r="H68" s="78" t="s">
        <v>171</v>
      </c>
      <c r="I68" s="80" t="s">
        <v>172</v>
      </c>
      <c r="J68" s="78" t="s">
        <v>173</v>
      </c>
      <c r="K68" s="82"/>
    </row>
    <row r="69" spans="1:11" ht="15.75" thickBot="1" x14ac:dyDescent="0.3">
      <c r="A69" s="61">
        <v>2010</v>
      </c>
      <c r="B69" s="86">
        <f>C4/B4</f>
        <v>2.0752341825676668</v>
      </c>
      <c r="C69" s="86">
        <f>D4/C4</f>
        <v>1.1104602482507984</v>
      </c>
      <c r="D69" s="86">
        <f t="shared" ref="D69:J70" si="24">E4/D4</f>
        <v>1.0299679845507661</v>
      </c>
      <c r="E69" s="86">
        <f t="shared" si="24"/>
        <v>1.0080576780608614</v>
      </c>
      <c r="F69" s="86">
        <f t="shared" si="24"/>
        <v>0.99550360406993366</v>
      </c>
      <c r="G69" s="86">
        <f t="shared" si="24"/>
        <v>1.0070301889721005</v>
      </c>
      <c r="H69" s="86">
        <f t="shared" si="24"/>
        <v>1.0041017756700545</v>
      </c>
      <c r="I69" s="86">
        <f t="shared" si="24"/>
        <v>0.99995394998776799</v>
      </c>
      <c r="J69" s="86">
        <f t="shared" si="24"/>
        <v>0.99741340520024524</v>
      </c>
      <c r="K69" s="83"/>
    </row>
    <row r="70" spans="1:11" ht="15.75" thickBot="1" x14ac:dyDescent="0.3">
      <c r="A70" s="61">
        <v>2011</v>
      </c>
      <c r="B70" s="86">
        <f t="shared" ref="B70:H77" si="25">C5/B5</f>
        <v>2.0689810507539179</v>
      </c>
      <c r="C70" s="86">
        <f t="shared" si="25"/>
        <v>1.119157628466801</v>
      </c>
      <c r="D70" s="86">
        <f t="shared" si="25"/>
        <v>1.0530814351353994</v>
      </c>
      <c r="E70" s="86">
        <f t="shared" si="25"/>
        <v>1.0154846328016138</v>
      </c>
      <c r="F70" s="86">
        <f t="shared" si="25"/>
        <v>1.010548718000287</v>
      </c>
      <c r="G70" s="86">
        <f t="shared" si="25"/>
        <v>1.0014049009603625</v>
      </c>
      <c r="H70" s="86">
        <f t="shared" si="25"/>
        <v>1.006069727336538</v>
      </c>
      <c r="I70" s="86">
        <f t="shared" si="24"/>
        <v>1.0137309551687725</v>
      </c>
      <c r="J70" s="92"/>
      <c r="K70" s="84"/>
    </row>
    <row r="71" spans="1:11" ht="15.75" thickBot="1" x14ac:dyDescent="0.3">
      <c r="A71" s="61">
        <v>2012</v>
      </c>
      <c r="B71" s="86">
        <f t="shared" si="25"/>
        <v>2.0217380420504041</v>
      </c>
      <c r="C71" s="86">
        <f t="shared" si="25"/>
        <v>1.091098517009113</v>
      </c>
      <c r="D71" s="86">
        <f t="shared" si="25"/>
        <v>1.0581193144912453</v>
      </c>
      <c r="E71" s="86">
        <f t="shared" si="25"/>
        <v>1.0227384849521728</v>
      </c>
      <c r="F71" s="86">
        <f t="shared" si="25"/>
        <v>1.0176259628665334</v>
      </c>
      <c r="G71" s="86">
        <f t="shared" si="25"/>
        <v>1.0227065741798469</v>
      </c>
      <c r="H71" s="86">
        <f t="shared" si="25"/>
        <v>0.99935130549768592</v>
      </c>
      <c r="I71" s="93"/>
      <c r="J71" s="87"/>
      <c r="K71" s="84"/>
    </row>
    <row r="72" spans="1:11" ht="15.75" thickBot="1" x14ac:dyDescent="0.3">
      <c r="A72" s="61">
        <v>2013</v>
      </c>
      <c r="B72" s="86">
        <f t="shared" si="25"/>
        <v>2.1473642152945618</v>
      </c>
      <c r="C72" s="86">
        <f t="shared" si="25"/>
        <v>1.1413298205681686</v>
      </c>
      <c r="D72" s="86">
        <f t="shared" si="25"/>
        <v>1.1187613391555167</v>
      </c>
      <c r="E72" s="86">
        <f t="shared" si="25"/>
        <v>1.101058646627296</v>
      </c>
      <c r="F72" s="86">
        <f t="shared" si="25"/>
        <v>0.99678396806864333</v>
      </c>
      <c r="G72" s="86">
        <f t="shared" si="25"/>
        <v>1.013940103333032</v>
      </c>
      <c r="H72" s="92"/>
      <c r="I72" s="88"/>
      <c r="J72" s="87"/>
      <c r="K72" s="84"/>
    </row>
    <row r="73" spans="1:11" ht="15.75" thickBot="1" x14ac:dyDescent="0.3">
      <c r="A73" s="61">
        <v>2014</v>
      </c>
      <c r="B73" s="86">
        <f t="shared" si="25"/>
        <v>1.9593675231457401</v>
      </c>
      <c r="C73" s="86">
        <f t="shared" si="25"/>
        <v>1.1344619410495367</v>
      </c>
      <c r="D73" s="86">
        <f t="shared" si="25"/>
        <v>1.0494071105139346</v>
      </c>
      <c r="E73" s="86">
        <f t="shared" si="25"/>
        <v>1.107523759501323</v>
      </c>
      <c r="F73" s="86">
        <f t="shared" si="25"/>
        <v>1.0062922289362</v>
      </c>
      <c r="G73" s="92"/>
      <c r="H73" s="87"/>
      <c r="I73" s="88"/>
      <c r="J73" s="87"/>
      <c r="K73" s="84"/>
    </row>
    <row r="74" spans="1:11" ht="15.75" thickBot="1" x14ac:dyDescent="0.3">
      <c r="A74" s="61">
        <v>2015</v>
      </c>
      <c r="B74" s="86">
        <f t="shared" si="25"/>
        <v>2.1129456386795313</v>
      </c>
      <c r="C74" s="86">
        <f t="shared" si="25"/>
        <v>1.1112385957769677</v>
      </c>
      <c r="D74" s="86">
        <f t="shared" si="25"/>
        <v>1.0828451821875833</v>
      </c>
      <c r="E74" s="86">
        <f t="shared" si="25"/>
        <v>1.0234927616610741</v>
      </c>
      <c r="F74" s="92"/>
      <c r="G74" s="87"/>
      <c r="H74" s="87"/>
      <c r="I74" s="88"/>
      <c r="J74" s="87"/>
      <c r="K74" s="84"/>
    </row>
    <row r="75" spans="1:11" ht="15.75" thickBot="1" x14ac:dyDescent="0.3">
      <c r="A75" s="61">
        <v>2016</v>
      </c>
      <c r="B75" s="86">
        <f t="shared" si="25"/>
        <v>2.0376066764109577</v>
      </c>
      <c r="C75" s="86">
        <f t="shared" si="25"/>
        <v>1.1314548450096724</v>
      </c>
      <c r="D75" s="86">
        <f t="shared" si="25"/>
        <v>1.0498123587577843</v>
      </c>
      <c r="E75" s="92"/>
      <c r="F75" s="87"/>
      <c r="G75" s="87"/>
      <c r="H75" s="87"/>
      <c r="I75" s="88"/>
      <c r="J75" s="87"/>
      <c r="K75" s="84"/>
    </row>
    <row r="76" spans="1:11" ht="15.75" thickBot="1" x14ac:dyDescent="0.3">
      <c r="A76" s="61">
        <v>2017</v>
      </c>
      <c r="B76" s="86">
        <f t="shared" si="25"/>
        <v>2.0470100726186549</v>
      </c>
      <c r="C76" s="86">
        <f t="shared" si="25"/>
        <v>1.1220471137268233</v>
      </c>
      <c r="D76" s="92"/>
      <c r="E76" s="87"/>
      <c r="F76" s="87"/>
      <c r="G76" s="87"/>
      <c r="H76" s="87"/>
      <c r="I76" s="88"/>
      <c r="J76" s="87"/>
      <c r="K76" s="84"/>
    </row>
    <row r="77" spans="1:11" ht="15.75" thickBot="1" x14ac:dyDescent="0.3">
      <c r="A77" s="62">
        <v>2018</v>
      </c>
      <c r="B77" s="91">
        <f t="shared" si="25"/>
        <v>2.0990681394209325</v>
      </c>
      <c r="C77" s="91"/>
      <c r="D77" s="90"/>
      <c r="E77" s="89"/>
      <c r="F77" s="89"/>
      <c r="G77" s="89"/>
      <c r="H77" s="89"/>
      <c r="I77" s="90"/>
      <c r="J77" s="89"/>
      <c r="K77" s="84"/>
    </row>
    <row r="78" spans="1:11" ht="15.75" thickBot="1" x14ac:dyDescent="0.3"/>
    <row r="79" spans="1:11" x14ac:dyDescent="0.25">
      <c r="A79" s="94" t="s">
        <v>174</v>
      </c>
      <c r="B79" s="95">
        <f>AVERAGE(B69:B77)</f>
        <v>2.06325728232693</v>
      </c>
      <c r="C79" s="95">
        <f t="shared" ref="C79:J79" si="26">AVERAGE(C69:C77)</f>
        <v>1.120156088732235</v>
      </c>
      <c r="D79" s="95">
        <f t="shared" si="26"/>
        <v>1.0631421035417472</v>
      </c>
      <c r="E79" s="95">
        <f t="shared" si="26"/>
        <v>1.0463926606007234</v>
      </c>
      <c r="F79" s="95">
        <f t="shared" si="26"/>
        <v>1.0053508963883195</v>
      </c>
      <c r="G79" s="95">
        <f t="shared" si="26"/>
        <v>1.0112704418613354</v>
      </c>
      <c r="H79" s="95">
        <f t="shared" si="26"/>
        <v>1.0031742695014261</v>
      </c>
      <c r="I79" s="95">
        <f t="shared" si="26"/>
        <v>1.0068424525782702</v>
      </c>
      <c r="J79" s="96">
        <f t="shared" si="26"/>
        <v>0.99741340520024524</v>
      </c>
    </row>
    <row r="80" spans="1:11" ht="15.75" thickBot="1" x14ac:dyDescent="0.3">
      <c r="A80" s="97" t="s">
        <v>175</v>
      </c>
      <c r="B80" s="98">
        <f>_xlfn.STDEV.P(B69:B77)</f>
        <v>5.2111407221516942E-2</v>
      </c>
      <c r="C80" s="98">
        <f t="shared" ref="C80:J80" si="27">_xlfn.STDEV.P(C69:C77)</f>
        <v>1.5012880302952777E-2</v>
      </c>
      <c r="D80" s="98">
        <f t="shared" si="27"/>
        <v>2.6925851723681435E-2</v>
      </c>
      <c r="E80" s="98">
        <f t="shared" si="27"/>
        <v>4.1300088270432328E-2</v>
      </c>
      <c r="F80" s="98">
        <f t="shared" si="27"/>
        <v>8.3539468559276388E-3</v>
      </c>
      <c r="G80" s="98">
        <f t="shared" si="27"/>
        <v>7.9564573871384221E-3</v>
      </c>
      <c r="H80" s="98">
        <f t="shared" si="27"/>
        <v>2.8201062356849739E-3</v>
      </c>
      <c r="I80" s="98">
        <f t="shared" si="27"/>
        <v>6.8885025905022768E-3</v>
      </c>
      <c r="J80" s="99">
        <f t="shared" si="27"/>
        <v>0</v>
      </c>
    </row>
    <row r="85" spans="1:11" ht="15.75" thickBot="1" x14ac:dyDescent="0.3"/>
    <row r="86" spans="1:11" ht="15.75" thickBot="1" x14ac:dyDescent="0.3">
      <c r="A86" s="20" t="s">
        <v>191</v>
      </c>
      <c r="B86" s="128" t="s">
        <v>1</v>
      </c>
      <c r="C86" s="129"/>
      <c r="D86" s="129"/>
      <c r="E86" s="129"/>
      <c r="F86" s="129"/>
      <c r="G86" s="129"/>
      <c r="H86" s="129"/>
      <c r="I86" s="129"/>
      <c r="J86" s="129"/>
      <c r="K86" s="130"/>
    </row>
    <row r="87" spans="1:11" ht="15.75" thickBot="1" x14ac:dyDescent="0.3">
      <c r="A87" s="21" t="s">
        <v>2</v>
      </c>
      <c r="B87" s="3">
        <v>1</v>
      </c>
      <c r="C87" s="4">
        <v>2</v>
      </c>
      <c r="D87" s="4">
        <v>3</v>
      </c>
      <c r="E87" s="4">
        <v>4</v>
      </c>
      <c r="F87" s="4">
        <v>5</v>
      </c>
      <c r="G87" s="4">
        <v>6</v>
      </c>
      <c r="H87" s="4">
        <v>7</v>
      </c>
      <c r="I87" s="4">
        <v>8</v>
      </c>
      <c r="J87" s="4">
        <v>9</v>
      </c>
      <c r="K87" s="4">
        <v>10</v>
      </c>
    </row>
    <row r="88" spans="1:11" x14ac:dyDescent="0.25">
      <c r="A88" s="5">
        <v>2010</v>
      </c>
      <c r="B88" s="42">
        <f>B22-B4</f>
        <v>812514</v>
      </c>
      <c r="C88" s="42">
        <f t="shared" ref="C88:K88" si="28">C22-C4</f>
        <v>495048</v>
      </c>
      <c r="D88" s="42">
        <f t="shared" si="28"/>
        <v>285732</v>
      </c>
      <c r="E88" s="42">
        <f t="shared" si="28"/>
        <v>195540</v>
      </c>
      <c r="F88" s="42">
        <f t="shared" si="28"/>
        <v>128768</v>
      </c>
      <c r="G88" s="42">
        <f t="shared" si="28"/>
        <v>74948</v>
      </c>
      <c r="H88" s="42">
        <f t="shared" si="28"/>
        <v>57565</v>
      </c>
      <c r="I88" s="42">
        <f t="shared" si="28"/>
        <v>46732</v>
      </c>
      <c r="J88" s="42">
        <f t="shared" si="28"/>
        <v>39347</v>
      </c>
      <c r="K88" s="115">
        <f t="shared" si="28"/>
        <v>38125</v>
      </c>
    </row>
    <row r="89" spans="1:11" x14ac:dyDescent="0.25">
      <c r="A89" s="5">
        <f>A88+1</f>
        <v>2011</v>
      </c>
      <c r="B89" s="42">
        <f t="shared" ref="B89:I97" si="29">B23-B5</f>
        <v>1015853</v>
      </c>
      <c r="C89" s="42">
        <f t="shared" si="29"/>
        <v>736756</v>
      </c>
      <c r="D89" s="42">
        <f t="shared" si="29"/>
        <v>458650</v>
      </c>
      <c r="E89" s="42">
        <f t="shared" si="29"/>
        <v>302912</v>
      </c>
      <c r="F89" s="42">
        <f t="shared" si="29"/>
        <v>245981</v>
      </c>
      <c r="G89" s="42">
        <f t="shared" si="29"/>
        <v>183609</v>
      </c>
      <c r="H89" s="42">
        <f t="shared" si="29"/>
        <v>159697</v>
      </c>
      <c r="I89" s="42">
        <f t="shared" si="29"/>
        <v>142880</v>
      </c>
      <c r="J89" s="42">
        <f>J23-J5</f>
        <v>118436</v>
      </c>
      <c r="K89" s="118"/>
    </row>
    <row r="90" spans="1:11" x14ac:dyDescent="0.25">
      <c r="A90" s="5">
        <f t="shared" ref="A90:A97" si="30">A89+1</f>
        <v>2012</v>
      </c>
      <c r="B90" s="42">
        <f t="shared" si="29"/>
        <v>1096987</v>
      </c>
      <c r="C90" s="42">
        <f t="shared" si="29"/>
        <v>601918</v>
      </c>
      <c r="D90" s="42">
        <f t="shared" si="29"/>
        <v>366050</v>
      </c>
      <c r="E90" s="42">
        <f t="shared" si="29"/>
        <v>224887</v>
      </c>
      <c r="F90" s="42">
        <f t="shared" si="29"/>
        <v>152671</v>
      </c>
      <c r="G90" s="42">
        <f t="shared" si="29"/>
        <v>76371</v>
      </c>
      <c r="H90" s="42">
        <f t="shared" si="29"/>
        <v>28631</v>
      </c>
      <c r="I90" s="42">
        <f t="shared" si="29"/>
        <v>20213</v>
      </c>
      <c r="J90" s="118"/>
      <c r="K90" s="118"/>
    </row>
    <row r="91" spans="1:11" x14ac:dyDescent="0.25">
      <c r="A91" s="5">
        <f t="shared" si="30"/>
        <v>2013</v>
      </c>
      <c r="B91" s="42">
        <f t="shared" si="29"/>
        <v>1148459</v>
      </c>
      <c r="C91" s="42">
        <f t="shared" si="29"/>
        <v>784061</v>
      </c>
      <c r="D91" s="42">
        <f t="shared" si="29"/>
        <v>593737</v>
      </c>
      <c r="E91" s="42">
        <f t="shared" si="29"/>
        <v>403485</v>
      </c>
      <c r="F91" s="42">
        <f t="shared" si="29"/>
        <v>244476</v>
      </c>
      <c r="G91" s="42">
        <f t="shared" si="29"/>
        <v>221923</v>
      </c>
      <c r="H91" s="42">
        <f t="shared" si="29"/>
        <v>182496</v>
      </c>
      <c r="I91" s="118"/>
      <c r="J91" s="118"/>
      <c r="K91" s="118"/>
    </row>
    <row r="92" spans="1:11" x14ac:dyDescent="0.25">
      <c r="A92" s="5">
        <f t="shared" si="30"/>
        <v>2014</v>
      </c>
      <c r="B92" s="42">
        <f t="shared" si="29"/>
        <v>846374</v>
      </c>
      <c r="C92" s="42">
        <f t="shared" si="29"/>
        <v>540062</v>
      </c>
      <c r="D92" s="42">
        <f t="shared" si="29"/>
        <v>358443</v>
      </c>
      <c r="E92" s="42">
        <f t="shared" si="29"/>
        <v>230039</v>
      </c>
      <c r="F92" s="42">
        <f t="shared" si="29"/>
        <v>89405</v>
      </c>
      <c r="G92" s="42">
        <f t="shared" si="29"/>
        <v>50869</v>
      </c>
      <c r="H92" s="118"/>
      <c r="I92" s="118"/>
      <c r="J92" s="118"/>
      <c r="K92" s="118"/>
    </row>
    <row r="93" spans="1:11" x14ac:dyDescent="0.25">
      <c r="A93" s="5">
        <f t="shared" si="30"/>
        <v>2015</v>
      </c>
      <c r="B93" s="42">
        <f t="shared" si="29"/>
        <v>675137</v>
      </c>
      <c r="C93" s="42">
        <f t="shared" si="29"/>
        <v>462768</v>
      </c>
      <c r="D93" s="42">
        <f t="shared" si="29"/>
        <v>321905</v>
      </c>
      <c r="E93" s="42">
        <f t="shared" si="29"/>
        <v>185770</v>
      </c>
      <c r="F93" s="42">
        <f t="shared" si="29"/>
        <v>133199</v>
      </c>
      <c r="G93" s="118"/>
      <c r="H93" s="118"/>
      <c r="I93" s="118"/>
      <c r="J93" s="118"/>
      <c r="K93" s="118"/>
    </row>
    <row r="94" spans="1:11" x14ac:dyDescent="0.25">
      <c r="A94" s="5">
        <f t="shared" si="30"/>
        <v>2016</v>
      </c>
      <c r="B94" s="42">
        <f t="shared" si="29"/>
        <v>894576</v>
      </c>
      <c r="C94" s="42">
        <f t="shared" si="29"/>
        <v>776566</v>
      </c>
      <c r="D94" s="42">
        <f t="shared" si="29"/>
        <v>519006</v>
      </c>
      <c r="E94" s="42">
        <f t="shared" si="29"/>
        <v>338426</v>
      </c>
      <c r="F94" s="118"/>
      <c r="G94" s="118"/>
      <c r="H94" s="118"/>
      <c r="I94" s="118"/>
      <c r="J94" s="118"/>
      <c r="K94" s="118"/>
    </row>
    <row r="95" spans="1:11" x14ac:dyDescent="0.25">
      <c r="A95" s="5">
        <f t="shared" si="30"/>
        <v>2017</v>
      </c>
      <c r="B95" s="42">
        <f t="shared" si="29"/>
        <v>699192</v>
      </c>
      <c r="C95" s="42">
        <f t="shared" si="29"/>
        <v>461970</v>
      </c>
      <c r="D95" s="42">
        <f t="shared" si="29"/>
        <v>313960</v>
      </c>
      <c r="E95" s="118"/>
      <c r="F95" s="118"/>
      <c r="G95" s="118"/>
      <c r="H95" s="118"/>
      <c r="I95" s="118"/>
      <c r="J95" s="118"/>
      <c r="K95" s="118"/>
    </row>
    <row r="96" spans="1:11" x14ac:dyDescent="0.25">
      <c r="A96" s="5">
        <f t="shared" si="30"/>
        <v>2018</v>
      </c>
      <c r="B96" s="42">
        <f t="shared" si="29"/>
        <v>1012204</v>
      </c>
      <c r="C96" s="42">
        <f t="shared" si="29"/>
        <v>776985</v>
      </c>
      <c r="D96" s="118"/>
      <c r="E96" s="118"/>
      <c r="F96" s="118"/>
      <c r="G96" s="118"/>
      <c r="H96" s="118"/>
      <c r="I96" s="118"/>
      <c r="J96" s="118"/>
      <c r="K96" s="118"/>
    </row>
    <row r="97" spans="1:11" ht="15.75" thickBot="1" x14ac:dyDescent="0.3">
      <c r="A97" s="6">
        <f t="shared" si="30"/>
        <v>2019</v>
      </c>
      <c r="B97" s="49">
        <f t="shared" si="29"/>
        <v>865184</v>
      </c>
      <c r="C97" s="116"/>
      <c r="D97" s="116"/>
      <c r="E97" s="117"/>
      <c r="F97" s="117"/>
      <c r="G97" s="117"/>
      <c r="H97" s="117"/>
      <c r="I97" s="117"/>
      <c r="J97" s="117"/>
      <c r="K97" s="117"/>
    </row>
  </sheetData>
  <mergeCells count="5">
    <mergeCell ref="B2:K2"/>
    <mergeCell ref="B20:K20"/>
    <mergeCell ref="A43:A44"/>
    <mergeCell ref="A67:A68"/>
    <mergeCell ref="B86:K8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F838-F8D8-2E41-95F4-4A1A7C9BBFA7}">
  <dimension ref="A1:P34"/>
  <sheetViews>
    <sheetView topLeftCell="D8" zoomScale="75" workbookViewId="0">
      <selection activeCell="G28" sqref="G28:P28"/>
    </sheetView>
  </sheetViews>
  <sheetFormatPr baseColWidth="10" defaultRowHeight="15" x14ac:dyDescent="0.25"/>
  <cols>
    <col min="1" max="1" width="12" customWidth="1"/>
    <col min="2" max="2" width="13.140625" bestFit="1" customWidth="1"/>
    <col min="3" max="4" width="12.28515625" bestFit="1" customWidth="1"/>
    <col min="5" max="5" width="11" bestFit="1" customWidth="1"/>
    <col min="6" max="6" width="15.85546875" bestFit="1" customWidth="1"/>
    <col min="7" max="7" width="19.85546875" customWidth="1"/>
    <col min="8" max="9" width="13.42578125" bestFit="1" customWidth="1"/>
    <col min="10" max="10" width="12.7109375" bestFit="1" customWidth="1"/>
    <col min="11" max="16" width="13.28515625" bestFit="1" customWidth="1"/>
  </cols>
  <sheetData>
    <row r="1" spans="1:14" ht="15.75" thickBot="1" x14ac:dyDescent="0.3">
      <c r="A1" s="33" t="s">
        <v>137</v>
      </c>
      <c r="B1" s="2"/>
      <c r="C1" s="2"/>
      <c r="D1" s="2"/>
      <c r="E1" s="2"/>
      <c r="F1" s="2"/>
      <c r="G1" s="2"/>
      <c r="H1" s="2"/>
      <c r="I1" s="2"/>
      <c r="J1" s="2"/>
      <c r="K1" s="2"/>
    </row>
    <row r="2" spans="1:14" ht="15.75" thickBot="1" x14ac:dyDescent="0.3">
      <c r="A2" s="20" t="s">
        <v>0</v>
      </c>
      <c r="B2" s="128" t="s">
        <v>1</v>
      </c>
      <c r="C2" s="129"/>
      <c r="D2" s="129"/>
      <c r="E2" s="129"/>
      <c r="F2" s="129"/>
      <c r="G2" s="129"/>
      <c r="H2" s="129"/>
      <c r="I2" s="129"/>
      <c r="J2" s="129"/>
      <c r="K2" s="130"/>
    </row>
    <row r="3" spans="1:14" ht="15.75" thickBot="1" x14ac:dyDescent="0.3">
      <c r="A3" s="21" t="s">
        <v>2</v>
      </c>
      <c r="B3" s="3">
        <v>1</v>
      </c>
      <c r="C3" s="4">
        <v>2</v>
      </c>
      <c r="D3" s="4">
        <v>3</v>
      </c>
      <c r="E3" s="4">
        <v>4</v>
      </c>
      <c r="F3" s="4">
        <v>5</v>
      </c>
      <c r="G3" s="4">
        <v>6</v>
      </c>
      <c r="H3" s="4">
        <v>7</v>
      </c>
      <c r="I3" s="4">
        <v>8</v>
      </c>
      <c r="J3" s="4">
        <v>9</v>
      </c>
      <c r="K3" s="4">
        <v>10</v>
      </c>
      <c r="M3" s="101" t="s">
        <v>164</v>
      </c>
    </row>
    <row r="4" spans="1:14" x14ac:dyDescent="0.25">
      <c r="A4" s="5">
        <v>2010</v>
      </c>
      <c r="B4" s="42">
        <v>432782</v>
      </c>
      <c r="C4" s="42">
        <v>898124</v>
      </c>
      <c r="D4" s="42">
        <v>997331</v>
      </c>
      <c r="E4" s="42">
        <v>1027219</v>
      </c>
      <c r="F4" s="42">
        <v>1035496</v>
      </c>
      <c r="G4" s="42">
        <v>1030840</v>
      </c>
      <c r="H4" s="42">
        <v>1038087</v>
      </c>
      <c r="I4" s="42">
        <v>1042345</v>
      </c>
      <c r="J4" s="42">
        <v>1042297</v>
      </c>
      <c r="K4" s="47">
        <v>1039601</v>
      </c>
      <c r="M4" s="105">
        <f>K4-K4</f>
        <v>0</v>
      </c>
    </row>
    <row r="5" spans="1:14" x14ac:dyDescent="0.25">
      <c r="A5" s="5">
        <f>A4+1</f>
        <v>2011</v>
      </c>
      <c r="B5" s="42">
        <v>441759</v>
      </c>
      <c r="C5" s="42">
        <v>913991</v>
      </c>
      <c r="D5" s="42">
        <v>1022900</v>
      </c>
      <c r="E5" s="42">
        <v>1077197</v>
      </c>
      <c r="F5" s="42">
        <v>1093877</v>
      </c>
      <c r="G5" s="42">
        <v>1105416</v>
      </c>
      <c r="H5" s="42">
        <v>1106969</v>
      </c>
      <c r="I5" s="42">
        <v>1113688</v>
      </c>
      <c r="J5" s="46">
        <v>1128980</v>
      </c>
      <c r="K5" s="44">
        <f>J5*$J$16</f>
        <v>1126059.7862029728</v>
      </c>
      <c r="M5" s="105">
        <f>K5-J5</f>
        <v>-2920.2137970272452</v>
      </c>
    </row>
    <row r="6" spans="1:14" x14ac:dyDescent="0.25">
      <c r="A6" s="5">
        <f t="shared" ref="A6:A13" si="0">A5+1</f>
        <v>2012</v>
      </c>
      <c r="B6" s="42">
        <v>419449</v>
      </c>
      <c r="C6" s="42">
        <v>848016</v>
      </c>
      <c r="D6" s="42">
        <v>925269</v>
      </c>
      <c r="E6" s="42">
        <v>979045</v>
      </c>
      <c r="F6" s="42">
        <v>1001307</v>
      </c>
      <c r="G6" s="42">
        <v>1018956</v>
      </c>
      <c r="H6" s="42">
        <v>1042093</v>
      </c>
      <c r="I6" s="46">
        <v>1041417</v>
      </c>
      <c r="J6" s="44">
        <f>I6*$I$16</f>
        <v>1048780.2271621074</v>
      </c>
      <c r="K6" s="44">
        <f t="shared" ref="K6:K13" si="1">J6*$J$16</f>
        <v>1046067.4576804442</v>
      </c>
      <c r="M6" s="105">
        <f>K6-I6</f>
        <v>4650.4576804442331</v>
      </c>
    </row>
    <row r="7" spans="1:14" x14ac:dyDescent="0.25">
      <c r="A7" s="5">
        <f t="shared" si="0"/>
        <v>2013</v>
      </c>
      <c r="B7" s="42">
        <v>407962</v>
      </c>
      <c r="C7" s="42">
        <v>876043</v>
      </c>
      <c r="D7" s="42">
        <v>999854</v>
      </c>
      <c r="E7" s="42">
        <v>1118598</v>
      </c>
      <c r="F7" s="42">
        <v>1231642</v>
      </c>
      <c r="G7" s="42">
        <v>1227681</v>
      </c>
      <c r="H7" s="46">
        <v>1244795</v>
      </c>
      <c r="I7" s="44">
        <f>H7*$H$16</f>
        <v>1248818.2299446936</v>
      </c>
      <c r="J7" s="44">
        <f t="shared" ref="J7:J13" si="2">I7*$I$16</f>
        <v>1257647.8652504969</v>
      </c>
      <c r="K7" s="44">
        <f t="shared" si="1"/>
        <v>1254394.8398223172</v>
      </c>
      <c r="M7" s="105">
        <f>K7-H7</f>
        <v>9599.8398223172408</v>
      </c>
    </row>
    <row r="8" spans="1:14" x14ac:dyDescent="0.25">
      <c r="A8" s="5">
        <f t="shared" si="0"/>
        <v>2014</v>
      </c>
      <c r="B8" s="42">
        <v>432585</v>
      </c>
      <c r="C8" s="42">
        <v>847593</v>
      </c>
      <c r="D8" s="42">
        <v>961562</v>
      </c>
      <c r="E8" s="42">
        <v>1009070</v>
      </c>
      <c r="F8" s="42">
        <v>1117569</v>
      </c>
      <c r="G8" s="46">
        <v>1124601</v>
      </c>
      <c r="H8" s="44">
        <f>G8*$G$16</f>
        <v>1137186.9343705173</v>
      </c>
      <c r="I8" s="44">
        <f t="shared" ref="I8:I13" si="3">H8*$H$16</f>
        <v>1140862.3705082538</v>
      </c>
      <c r="J8" s="44">
        <f t="shared" si="2"/>
        <v>1148928.7154927822</v>
      </c>
      <c r="K8" s="44">
        <f t="shared" si="1"/>
        <v>1145956.9024519997</v>
      </c>
      <c r="M8" s="105">
        <f>K8-G8</f>
        <v>21355.902451999718</v>
      </c>
    </row>
    <row r="9" spans="1:14" x14ac:dyDescent="0.25">
      <c r="A9" s="5">
        <f t="shared" si="0"/>
        <v>2015</v>
      </c>
      <c r="B9" s="42">
        <v>409188</v>
      </c>
      <c r="C9" s="42">
        <v>864592</v>
      </c>
      <c r="D9" s="42">
        <v>960768</v>
      </c>
      <c r="E9" s="42">
        <v>1040363</v>
      </c>
      <c r="F9" s="46">
        <v>1064804</v>
      </c>
      <c r="G9" s="44">
        <f>F9*$F$16</f>
        <v>1070167.5710659209</v>
      </c>
      <c r="H9" s="44">
        <f t="shared" ref="H9:H13" si="4">G9*$G$16</f>
        <v>1082144.3155423098</v>
      </c>
      <c r="I9" s="44">
        <f t="shared" si="3"/>
        <v>1085641.8516143295</v>
      </c>
      <c r="J9" s="44">
        <f t="shared" si="2"/>
        <v>1093317.7658447744</v>
      </c>
      <c r="K9" s="44">
        <f t="shared" si="1"/>
        <v>1090489.7957971608</v>
      </c>
      <c r="M9" s="105">
        <f>K9-F9</f>
        <v>25685.795797160827</v>
      </c>
    </row>
    <row r="10" spans="1:14" x14ac:dyDescent="0.25">
      <c r="A10" s="5">
        <f t="shared" si="0"/>
        <v>2016</v>
      </c>
      <c r="B10" s="42">
        <v>424180</v>
      </c>
      <c r="C10" s="42">
        <v>864312</v>
      </c>
      <c r="D10" s="42">
        <v>977930</v>
      </c>
      <c r="E10" s="46">
        <v>1026643</v>
      </c>
      <c r="F10" s="44">
        <f>E10*$E$16</f>
        <v>1074793.8746278489</v>
      </c>
      <c r="G10" s="44">
        <f t="shared" ref="G10:G13" si="5">F10*$F$16</f>
        <v>1080207.7661306821</v>
      </c>
      <c r="H10" s="44">
        <f t="shared" si="4"/>
        <v>1092296.8751133736</v>
      </c>
      <c r="I10" s="44">
        <f t="shared" si="3"/>
        <v>1095827.2246861558</v>
      </c>
      <c r="J10" s="44">
        <f t="shared" si="2"/>
        <v>1103575.1535040892</v>
      </c>
      <c r="K10" s="44">
        <f t="shared" si="1"/>
        <v>1100720.6517508971</v>
      </c>
      <c r="M10" s="105">
        <f>K10-E10</f>
        <v>74077.651750897057</v>
      </c>
    </row>
    <row r="11" spans="1:14" x14ac:dyDescent="0.25">
      <c r="A11" s="5">
        <f t="shared" si="0"/>
        <v>2017</v>
      </c>
      <c r="B11" s="42">
        <v>442586</v>
      </c>
      <c r="C11" s="42">
        <v>905978</v>
      </c>
      <c r="D11" s="46">
        <v>1016550</v>
      </c>
      <c r="E11" s="44">
        <f>D11*$D$16</f>
        <v>1080777.8724085232</v>
      </c>
      <c r="F11" s="44">
        <f t="shared" ref="F11:F13" si="6">E11*$E$16</f>
        <v>1131467.7420466507</v>
      </c>
      <c r="G11" s="44">
        <f t="shared" si="5"/>
        <v>1137167.1079799719</v>
      </c>
      <c r="H11" s="44">
        <f t="shared" si="4"/>
        <v>1149893.675526459</v>
      </c>
      <c r="I11" s="44">
        <f t="shared" si="3"/>
        <v>1153610.1803875742</v>
      </c>
      <c r="J11" s="44">
        <f t="shared" si="2"/>
        <v>1161766.6573941081</v>
      </c>
      <c r="K11" s="44">
        <f t="shared" si="1"/>
        <v>1158761.6377995641</v>
      </c>
      <c r="M11" s="105">
        <f>K11-D11</f>
        <v>142211.63779956405</v>
      </c>
    </row>
    <row r="12" spans="1:14" x14ac:dyDescent="0.25">
      <c r="A12" s="5">
        <f t="shared" si="0"/>
        <v>2018</v>
      </c>
      <c r="B12" s="42">
        <v>455111</v>
      </c>
      <c r="C12" s="46">
        <v>955309</v>
      </c>
      <c r="D12" s="44">
        <f>C12*C16</f>
        <v>1070119.9089277722</v>
      </c>
      <c r="E12" s="44">
        <f t="shared" ref="E12:E13" si="7">D12*$D$16</f>
        <v>1137732.4464049581</v>
      </c>
      <c r="F12" s="44">
        <f t="shared" si="6"/>
        <v>1191093.5586775602</v>
      </c>
      <c r="G12" s="44">
        <f t="shared" si="5"/>
        <v>1197093.268434593</v>
      </c>
      <c r="H12" s="44">
        <f t="shared" si="4"/>
        <v>1210490.4975957852</v>
      </c>
      <c r="I12" s="44">
        <f t="shared" si="3"/>
        <v>1214402.8539417654</v>
      </c>
      <c r="J12" s="44">
        <f t="shared" si="2"/>
        <v>1222989.159024057</v>
      </c>
      <c r="K12" s="44">
        <f t="shared" si="1"/>
        <v>1219825.7816251689</v>
      </c>
      <c r="M12" s="105">
        <f>K12-C12</f>
        <v>264516.78162516886</v>
      </c>
    </row>
    <row r="13" spans="1:14" ht="15.75" thickBot="1" x14ac:dyDescent="0.3">
      <c r="A13" s="6">
        <f t="shared" si="0"/>
        <v>2019</v>
      </c>
      <c r="B13" s="45">
        <v>462761</v>
      </c>
      <c r="C13" s="48">
        <f>B13*B16</f>
        <v>954582.69579692883</v>
      </c>
      <c r="D13" s="48">
        <f>C13*C16</f>
        <v>1069306.3160613338</v>
      </c>
      <c r="E13" s="49">
        <f t="shared" si="7"/>
        <v>1136867.4489457125</v>
      </c>
      <c r="F13" s="49">
        <f t="shared" si="6"/>
        <v>1190187.9917270567</v>
      </c>
      <c r="G13" s="49">
        <f t="shared" si="5"/>
        <v>1196183.14001297</v>
      </c>
      <c r="H13" s="49">
        <f t="shared" si="4"/>
        <v>1209570.1835024587</v>
      </c>
      <c r="I13" s="49">
        <f t="shared" si="3"/>
        <v>1213479.5653544711</v>
      </c>
      <c r="J13" s="49">
        <f t="shared" si="2"/>
        <v>1222059.3424238681</v>
      </c>
      <c r="K13" s="49">
        <f t="shared" si="1"/>
        <v>1218898.3700837628</v>
      </c>
      <c r="M13" s="105">
        <f>K13-B13</f>
        <v>756137.3700837628</v>
      </c>
    </row>
    <row r="14" spans="1:14" x14ac:dyDescent="0.25">
      <c r="M14" s="110">
        <f>SUM(M4:M13)</f>
        <v>1295315.2232142875</v>
      </c>
    </row>
    <row r="15" spans="1:14" x14ac:dyDescent="0.25">
      <c r="M15" s="113">
        <f>M14+G30</f>
        <v>1494449.2232142875</v>
      </c>
      <c r="N15" t="s">
        <v>186</v>
      </c>
    </row>
    <row r="16" spans="1:14" x14ac:dyDescent="0.25">
      <c r="A16" s="51" t="s">
        <v>163</v>
      </c>
      <c r="B16" s="50">
        <f>SUM(C4:C12)/SUM(B4:B12)</f>
        <v>2.0627984981381942</v>
      </c>
      <c r="C16" s="50">
        <f>SUM(D4:D11)/SUM(C4:C11)</f>
        <v>1.1201819609443355</v>
      </c>
      <c r="D16" s="50">
        <f>SUM(E4:E10)/SUM(D4:D10)</f>
        <v>1.0631822068845833</v>
      </c>
      <c r="E16" s="50">
        <f>SUM(F4:F9)/SUM(E4:E9)</f>
        <v>1.0469012837255491</v>
      </c>
      <c r="F16" s="50">
        <f>SUM(G4:G8)/SUM(F4:F8)</f>
        <v>1.0050371439869881</v>
      </c>
      <c r="G16" s="50">
        <f>SUM(H4:H7)/SUM(G4:G7)</f>
        <v>1.0111914664583415</v>
      </c>
      <c r="H16" s="50">
        <f>SUM(I4:I6)/SUM(H4:H6)</f>
        <v>1.0032320421793899</v>
      </c>
      <c r="I16" s="50">
        <f>SUM(J4:J5)/SUM(I4:I5)</f>
        <v>1.0070703927073472</v>
      </c>
      <c r="J16" s="50">
        <f>SUM(K4)/SUM(J4)</f>
        <v>0.99741340520024524</v>
      </c>
    </row>
    <row r="17" spans="1:16" x14ac:dyDescent="0.25">
      <c r="A17" s="126" t="s">
        <v>180</v>
      </c>
      <c r="B17">
        <f t="shared" ref="B17:I17" si="8">B16*C17</f>
        <v>2.6339695222453123</v>
      </c>
      <c r="C17">
        <f t="shared" si="8"/>
        <v>1.2768913321502977</v>
      </c>
      <c r="D17">
        <f t="shared" si="8"/>
        <v>1.1398963531548509</v>
      </c>
      <c r="E17">
        <f t="shared" si="8"/>
        <v>1.0721552202186126</v>
      </c>
      <c r="F17">
        <f t="shared" si="8"/>
        <v>1.0241225575760053</v>
      </c>
      <c r="G17">
        <f t="shared" si="8"/>
        <v>1.0189897594364576</v>
      </c>
      <c r="H17">
        <f t="shared" si="8"/>
        <v>1.0077119845615681</v>
      </c>
      <c r="I17">
        <f t="shared" si="8"/>
        <v>1.0044655096665833</v>
      </c>
      <c r="J17">
        <f>J16</f>
        <v>0.99741340520024524</v>
      </c>
    </row>
    <row r="22" spans="1:16" x14ac:dyDescent="0.25">
      <c r="A22" s="109" t="s">
        <v>177</v>
      </c>
    </row>
    <row r="24" spans="1:16" ht="30" x14ac:dyDescent="0.25">
      <c r="A24" s="102" t="s">
        <v>113</v>
      </c>
      <c r="B24" s="103" t="s">
        <v>177</v>
      </c>
      <c r="C24" s="103" t="s">
        <v>178</v>
      </c>
      <c r="D24" s="103" t="s">
        <v>179</v>
      </c>
      <c r="F24" s="101"/>
      <c r="G24" s="101">
        <v>2010</v>
      </c>
      <c r="H24" s="101">
        <v>2011</v>
      </c>
      <c r="I24" s="101">
        <v>2012</v>
      </c>
      <c r="J24" s="101">
        <v>2013</v>
      </c>
      <c r="K24" s="101">
        <v>2014</v>
      </c>
      <c r="L24" s="101">
        <v>2015</v>
      </c>
      <c r="M24" s="101">
        <v>2016</v>
      </c>
      <c r="N24" s="101">
        <v>2017</v>
      </c>
      <c r="O24" s="101">
        <v>2018</v>
      </c>
      <c r="P24" s="101">
        <v>2019</v>
      </c>
    </row>
    <row r="25" spans="1:16" x14ac:dyDescent="0.25">
      <c r="A25" s="104">
        <v>2010</v>
      </c>
      <c r="B25" s="106">
        <v>2299983</v>
      </c>
      <c r="C25" s="107">
        <f>K4</f>
        <v>1039601</v>
      </c>
      <c r="D25" s="108">
        <f t="shared" ref="D25:D34" si="9">C25/B25</f>
        <v>0.4520037756800811</v>
      </c>
      <c r="F25" s="101" t="s">
        <v>180</v>
      </c>
      <c r="G25" s="100">
        <v>1</v>
      </c>
      <c r="H25" s="100">
        <f>J17</f>
        <v>0.99741340520024524</v>
      </c>
      <c r="I25" s="100">
        <f>I17</f>
        <v>1.0044655096665833</v>
      </c>
      <c r="J25" s="100">
        <f>H17</f>
        <v>1.0077119845615681</v>
      </c>
      <c r="K25" s="100">
        <f>G17</f>
        <v>1.0189897594364576</v>
      </c>
      <c r="L25" s="100">
        <f>F17</f>
        <v>1.0241225575760053</v>
      </c>
      <c r="M25" s="100">
        <f>E17</f>
        <v>1.0721552202186126</v>
      </c>
      <c r="N25" s="100">
        <f>D17</f>
        <v>1.1398963531548509</v>
      </c>
      <c r="O25" s="100">
        <f>C17</f>
        <v>1.2768913321502977</v>
      </c>
      <c r="P25" s="100">
        <f>B17</f>
        <v>2.6339695222453123</v>
      </c>
    </row>
    <row r="26" spans="1:16" x14ac:dyDescent="0.25">
      <c r="A26" s="104">
        <v>2011</v>
      </c>
      <c r="B26" s="106">
        <v>2429825</v>
      </c>
      <c r="C26" s="107">
        <f t="shared" ref="C26:C34" si="10">B26*D25</f>
        <v>1098290.0742418531</v>
      </c>
      <c r="D26" s="108">
        <f t="shared" si="9"/>
        <v>0.4520037756800811</v>
      </c>
      <c r="F26" s="101" t="s">
        <v>181</v>
      </c>
      <c r="G26" s="100">
        <f>1-(1/G25)</f>
        <v>0</v>
      </c>
      <c r="H26" s="100">
        <f t="shared" ref="H26:P26" si="11">1-(1/H25)</f>
        <v>-2.5933026228330824E-3</v>
      </c>
      <c r="I26" s="100">
        <f t="shared" si="11"/>
        <v>4.4456575398647002E-3</v>
      </c>
      <c r="J26" s="100">
        <f t="shared" si="11"/>
        <v>7.6529650135335192E-3</v>
      </c>
      <c r="K26" s="100">
        <f t="shared" si="11"/>
        <v>1.8635868771595621E-2</v>
      </c>
      <c r="L26" s="100">
        <f t="shared" si="11"/>
        <v>2.3554366025391515E-2</v>
      </c>
      <c r="M26" s="100">
        <f t="shared" si="11"/>
        <v>6.7299229493934853E-2</v>
      </c>
      <c r="N26" s="100">
        <f t="shared" si="11"/>
        <v>0.12272725741043444</v>
      </c>
      <c r="O26" s="100">
        <f t="shared" si="11"/>
        <v>0.21684800043556562</v>
      </c>
      <c r="P26" s="100">
        <f t="shared" si="11"/>
        <v>0.62034488571167834</v>
      </c>
    </row>
    <row r="27" spans="1:16" x14ac:dyDescent="0.25">
      <c r="A27" s="104">
        <v>2012</v>
      </c>
      <c r="B27" s="106">
        <v>2587198</v>
      </c>
      <c r="C27" s="107">
        <f t="shared" si="10"/>
        <v>1169423.2644319544</v>
      </c>
      <c r="D27" s="108">
        <f t="shared" si="9"/>
        <v>0.45200377568008104</v>
      </c>
      <c r="F27" s="101" t="s">
        <v>182</v>
      </c>
      <c r="G27" s="111">
        <f>C25</f>
        <v>1039601</v>
      </c>
      <c r="H27" s="111">
        <f>C26</f>
        <v>1098290.0742418531</v>
      </c>
      <c r="I27" s="111">
        <f>C27</f>
        <v>1169423.2644319544</v>
      </c>
      <c r="J27" s="111">
        <f>C28</f>
        <v>1171624.5228195162</v>
      </c>
      <c r="K27" s="111">
        <f>C29</f>
        <v>1205558.7062786983</v>
      </c>
      <c r="L27" s="111">
        <f>C30</f>
        <v>1208232.3086118458</v>
      </c>
      <c r="M27" s="111">
        <f>C31</f>
        <v>1195028.8263204549</v>
      </c>
      <c r="N27" s="111">
        <f>C32</f>
        <v>1206243.0399950778</v>
      </c>
      <c r="O27" s="111">
        <f>C33</f>
        <v>1222427.0351833031</v>
      </c>
      <c r="P27" s="111">
        <f>C34</f>
        <v>1264325.5251699681</v>
      </c>
    </row>
    <row r="28" spans="1:16" x14ac:dyDescent="0.25">
      <c r="A28" s="104">
        <v>2013</v>
      </c>
      <c r="B28" s="106">
        <v>2592068</v>
      </c>
      <c r="C28" s="107">
        <f t="shared" si="10"/>
        <v>1171624.5228195162</v>
      </c>
      <c r="D28" s="108">
        <f t="shared" si="9"/>
        <v>0.45200377568008104</v>
      </c>
      <c r="F28" s="101" t="s">
        <v>183</v>
      </c>
      <c r="G28" s="100">
        <f>G27*G26</f>
        <v>0</v>
      </c>
      <c r="H28" s="100">
        <f>H27*H26</f>
        <v>-2848.1985301629384</v>
      </c>
      <c r="I28" s="100">
        <f t="shared" ref="I28:P28" si="12">I27*I26</f>
        <v>5198.8553528151087</v>
      </c>
      <c r="J28" s="100">
        <f t="shared" si="12"/>
        <v>8966.4014821356614</v>
      </c>
      <c r="K28" s="100">
        <f t="shared" si="12"/>
        <v>22466.633846664412</v>
      </c>
      <c r="L28" s="100">
        <f t="shared" si="12"/>
        <v>28459.146040747219</v>
      </c>
      <c r="M28" s="100">
        <f t="shared" si="12"/>
        <v>80424.519234407911</v>
      </c>
      <c r="N28" s="100">
        <f t="shared" si="12"/>
        <v>148038.90006902086</v>
      </c>
      <c r="O28" s="100">
        <f t="shared" si="12"/>
        <v>265080.85825787607</v>
      </c>
      <c r="P28" s="100">
        <f t="shared" si="12"/>
        <v>784317.87341392157</v>
      </c>
    </row>
    <row r="29" spans="1:16" x14ac:dyDescent="0.25">
      <c r="A29" s="104">
        <v>2014</v>
      </c>
      <c r="B29" s="106">
        <v>2667143</v>
      </c>
      <c r="C29" s="107">
        <f t="shared" si="10"/>
        <v>1205558.7062786983</v>
      </c>
      <c r="D29" s="108">
        <f t="shared" si="9"/>
        <v>0.45200377568008099</v>
      </c>
      <c r="F29" s="109" t="s">
        <v>184</v>
      </c>
      <c r="G29" s="119">
        <f>SUM(G28:P28)</f>
        <v>1340104.9891674258</v>
      </c>
    </row>
    <row r="30" spans="1:16" x14ac:dyDescent="0.25">
      <c r="A30" s="104">
        <v>2015</v>
      </c>
      <c r="B30" s="106">
        <v>2673058</v>
      </c>
      <c r="C30" s="107">
        <f t="shared" si="10"/>
        <v>1208232.3086118458</v>
      </c>
      <c r="D30" s="108">
        <f t="shared" si="9"/>
        <v>0.45200377568008093</v>
      </c>
      <c r="F30" s="109" t="s">
        <v>125</v>
      </c>
      <c r="G30">
        <f>33189+165945</f>
        <v>199134</v>
      </c>
    </row>
    <row r="31" spans="1:16" x14ac:dyDescent="0.25">
      <c r="A31" s="104">
        <v>2016</v>
      </c>
      <c r="B31" s="106">
        <v>2643847</v>
      </c>
      <c r="C31" s="107">
        <f t="shared" si="10"/>
        <v>1195028.8263204549</v>
      </c>
      <c r="D31" s="108">
        <f t="shared" si="9"/>
        <v>0.45200377568008093</v>
      </c>
      <c r="F31" s="109" t="s">
        <v>185</v>
      </c>
      <c r="G31" s="112">
        <f>SUM(G29:G30)</f>
        <v>1539238.9891674258</v>
      </c>
    </row>
    <row r="32" spans="1:16" x14ac:dyDescent="0.25">
      <c r="A32" s="104">
        <v>2017</v>
      </c>
      <c r="B32" s="106">
        <v>2668657</v>
      </c>
      <c r="C32" s="107">
        <f t="shared" si="10"/>
        <v>1206243.0399950778</v>
      </c>
      <c r="D32" s="108">
        <f t="shared" si="9"/>
        <v>0.45200377568008093</v>
      </c>
    </row>
    <row r="33" spans="1:4" x14ac:dyDescent="0.25">
      <c r="A33" s="104">
        <v>2018</v>
      </c>
      <c r="B33" s="106">
        <v>2704462</v>
      </c>
      <c r="C33" s="107">
        <f t="shared" si="10"/>
        <v>1222427.0351833031</v>
      </c>
      <c r="D33" s="108">
        <f t="shared" si="9"/>
        <v>0.45200377568008093</v>
      </c>
    </row>
    <row r="34" spans="1:4" x14ac:dyDescent="0.25">
      <c r="A34" s="104">
        <v>2019</v>
      </c>
      <c r="B34" s="106">
        <v>2797157</v>
      </c>
      <c r="C34" s="107">
        <f t="shared" si="10"/>
        <v>1264325.5251699681</v>
      </c>
      <c r="D34" s="108">
        <f t="shared" si="9"/>
        <v>0.45200377568008093</v>
      </c>
    </row>
  </sheetData>
  <mergeCells count="1">
    <mergeCell ref="B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1D91-EB1C-4F6A-B5D7-E940D6610944}">
  <dimension ref="A1:G13"/>
  <sheetViews>
    <sheetView showGridLines="0" workbookViewId="0">
      <selection activeCell="E22" sqref="E22"/>
    </sheetView>
  </sheetViews>
  <sheetFormatPr baseColWidth="10" defaultRowHeight="15" x14ac:dyDescent="0.25"/>
  <cols>
    <col min="2" max="2" width="15.42578125" customWidth="1"/>
    <col min="3" max="4" width="21.42578125" customWidth="1"/>
    <col min="5" max="5" width="13" customWidth="1"/>
    <col min="6" max="6" width="18.7109375" customWidth="1"/>
    <col min="7" max="7" width="20.28515625" customWidth="1"/>
  </cols>
  <sheetData>
    <row r="1" spans="1:7" x14ac:dyDescent="0.25">
      <c r="A1" s="137" t="s">
        <v>212</v>
      </c>
      <c r="B1" s="135" t="s">
        <v>209</v>
      </c>
      <c r="C1" s="135"/>
      <c r="D1" s="135"/>
      <c r="E1" s="135"/>
      <c r="F1" s="135" t="s">
        <v>210</v>
      </c>
      <c r="G1" s="135"/>
    </row>
    <row r="2" spans="1:7" x14ac:dyDescent="0.25">
      <c r="A2" s="137" t="s">
        <v>213</v>
      </c>
      <c r="B2" s="137" t="s">
        <v>206</v>
      </c>
      <c r="C2" s="137" t="s">
        <v>207</v>
      </c>
      <c r="D2" s="137" t="s">
        <v>214</v>
      </c>
      <c r="E2" s="137" t="s">
        <v>208</v>
      </c>
      <c r="F2" s="137" t="s">
        <v>206</v>
      </c>
      <c r="G2" s="137" t="s">
        <v>207</v>
      </c>
    </row>
    <row r="3" spans="1:7" x14ac:dyDescent="0.25">
      <c r="A3" s="137">
        <v>2010</v>
      </c>
      <c r="B3" s="136">
        <v>0</v>
      </c>
      <c r="C3" s="136">
        <v>0</v>
      </c>
      <c r="D3" s="136">
        <v>0</v>
      </c>
      <c r="E3" s="136">
        <v>0</v>
      </c>
      <c r="F3" s="136">
        <v>0</v>
      </c>
      <c r="G3" s="136">
        <v>0</v>
      </c>
    </row>
    <row r="4" spans="1:7" x14ac:dyDescent="0.25">
      <c r="A4" s="137">
        <v>2011</v>
      </c>
      <c r="B4" s="136">
        <v>-2920.2137970272452</v>
      </c>
      <c r="C4" s="136">
        <v>-2848.1985301629384</v>
      </c>
      <c r="D4" s="136">
        <v>-2920.2137970272452</v>
      </c>
      <c r="E4" s="136">
        <v>1.4752910938113928E-3</v>
      </c>
      <c r="F4" s="136">
        <v>-4518.4699291079305</v>
      </c>
      <c r="G4" s="136">
        <v>-4139.1846591908343</v>
      </c>
    </row>
    <row r="5" spans="1:7" x14ac:dyDescent="0.25">
      <c r="A5" s="137">
        <v>2012</v>
      </c>
      <c r="B5" s="136">
        <v>4650.4576804442331</v>
      </c>
      <c r="C5" s="136">
        <v>5198.8553528151087</v>
      </c>
      <c r="D5" s="136">
        <v>4650.4576804442331</v>
      </c>
      <c r="E5" s="136">
        <v>7206.9433101224713</v>
      </c>
      <c r="F5" s="136">
        <v>-11324.622063798597</v>
      </c>
      <c r="G5" s="136">
        <v>-13071.38267385429</v>
      </c>
    </row>
    <row r="6" spans="1:7" x14ac:dyDescent="0.25">
      <c r="A6" s="137">
        <v>2013</v>
      </c>
      <c r="B6" s="136">
        <v>9599.8398223172408</v>
      </c>
      <c r="C6" s="136">
        <v>8966.4014821356614</v>
      </c>
      <c r="D6" s="136">
        <v>9599.8398223172408</v>
      </c>
      <c r="E6" s="136">
        <v>11300.390462961746</v>
      </c>
      <c r="F6" s="136">
        <v>-25823.586540347198</v>
      </c>
      <c r="G6" s="136">
        <v>-22380.185421967039</v>
      </c>
    </row>
    <row r="7" spans="1:7" x14ac:dyDescent="0.25">
      <c r="A7" s="137">
        <v>2014</v>
      </c>
      <c r="B7" s="136">
        <v>21355.902451999718</v>
      </c>
      <c r="C7" s="136">
        <v>22466.633846664412</v>
      </c>
      <c r="D7" s="136">
        <v>21355.902451999718</v>
      </c>
      <c r="E7" s="136">
        <v>22430.468270377023</v>
      </c>
      <c r="F7" s="136">
        <v>-39822.342146775918</v>
      </c>
      <c r="G7" s="136">
        <v>-43824.122143245324</v>
      </c>
    </row>
    <row r="8" spans="1:7" x14ac:dyDescent="0.25">
      <c r="A8" s="137">
        <v>2015</v>
      </c>
      <c r="B8" s="136">
        <v>25685.795797160827</v>
      </c>
      <c r="C8" s="136">
        <v>28459.146040747219</v>
      </c>
      <c r="D8" s="136">
        <v>25685.795797160827</v>
      </c>
      <c r="E8" s="136">
        <v>27977.706396286143</v>
      </c>
      <c r="F8" s="136">
        <v>-81832.032245473238</v>
      </c>
      <c r="G8" s="136">
        <v>-91830.031038703703</v>
      </c>
    </row>
    <row r="9" spans="1:7" x14ac:dyDescent="0.25">
      <c r="A9" s="137">
        <v>2016</v>
      </c>
      <c r="B9" s="136">
        <v>74077.651750897057</v>
      </c>
      <c r="C9" s="136">
        <v>80424.519234407911</v>
      </c>
      <c r="D9" s="136">
        <v>74077.651750897057</v>
      </c>
      <c r="E9" s="136">
        <v>76240.319040545961</v>
      </c>
      <c r="F9" s="136">
        <v>-134842.63416829519</v>
      </c>
      <c r="G9" s="136">
        <v>-135788.26853746444</v>
      </c>
    </row>
    <row r="10" spans="1:7" x14ac:dyDescent="0.25">
      <c r="A10" s="137">
        <v>2017</v>
      </c>
      <c r="B10" s="136">
        <v>142211.63779956405</v>
      </c>
      <c r="C10" s="136">
        <v>148038.90006902086</v>
      </c>
      <c r="D10" s="136">
        <v>142211.63779956405</v>
      </c>
      <c r="E10" s="136">
        <v>144176.05616068607</v>
      </c>
      <c r="F10" s="136">
        <v>-203988.06157254381</v>
      </c>
      <c r="G10" s="136">
        <v>-226433.97439687562</v>
      </c>
    </row>
    <row r="11" spans="1:7" x14ac:dyDescent="0.25">
      <c r="A11" s="137">
        <v>2018</v>
      </c>
      <c r="B11" s="136">
        <v>264516.78162516886</v>
      </c>
      <c r="C11" s="136">
        <v>265080.85825787607</v>
      </c>
      <c r="D11" s="136">
        <v>264516.78162516886</v>
      </c>
      <c r="E11" s="136">
        <v>267108.7800530293</v>
      </c>
      <c r="F11" s="136">
        <v>-364145.93463419843</v>
      </c>
      <c r="G11" s="136">
        <v>-337292.73195144581</v>
      </c>
    </row>
    <row r="12" spans="1:7" x14ac:dyDescent="0.25">
      <c r="A12" s="137">
        <v>2019</v>
      </c>
      <c r="B12" s="136">
        <v>756137.3700837628</v>
      </c>
      <c r="C12" s="136">
        <v>784317.87341392157</v>
      </c>
      <c r="D12" s="136">
        <v>756137.3700837628</v>
      </c>
      <c r="E12" s="136">
        <v>759173.73153128778</v>
      </c>
      <c r="F12" s="136">
        <v>-145020.55434259423</v>
      </c>
      <c r="G12" s="136">
        <v>-160684.18402299783</v>
      </c>
    </row>
    <row r="13" spans="1:7" x14ac:dyDescent="0.25">
      <c r="A13" s="137" t="s">
        <v>211</v>
      </c>
      <c r="B13" s="136">
        <v>1295315.2232142875</v>
      </c>
      <c r="C13" s="136">
        <f>SUM(C3:C12)</f>
        <v>1340104.9891674258</v>
      </c>
      <c r="D13" s="136">
        <v>1295315.2232142875</v>
      </c>
      <c r="E13" s="136">
        <v>1315614.3967005876</v>
      </c>
      <c r="F13" s="136">
        <v>-1011318.2376431345</v>
      </c>
      <c r="G13" s="136">
        <f>SUM(G3:G12)</f>
        <v>-1035444.0648457449</v>
      </c>
    </row>
  </sheetData>
  <mergeCells count="2">
    <mergeCell ref="B1:E1"/>
    <mergeCell ref="F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7AA14-AD77-4B09-A1F8-A0F61FCF4C4B}">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21E32-614D-1A47-AB7B-919AEA62C260}">
  <dimension ref="A1:Q34"/>
  <sheetViews>
    <sheetView topLeftCell="E15" zoomScale="108" workbookViewId="0">
      <selection activeCell="G28" sqref="G28:P28"/>
    </sheetView>
  </sheetViews>
  <sheetFormatPr baseColWidth="10" defaultRowHeight="15" x14ac:dyDescent="0.25"/>
  <cols>
    <col min="1" max="1" width="17" customWidth="1"/>
    <col min="2" max="2" width="13" bestFit="1" customWidth="1"/>
    <col min="3" max="4" width="12.140625" bestFit="1" customWidth="1"/>
    <col min="6" max="6" width="16.28515625" bestFit="1" customWidth="1"/>
    <col min="7" max="7" width="17.140625" customWidth="1"/>
    <col min="16" max="16" width="28.28515625" bestFit="1" customWidth="1"/>
  </cols>
  <sheetData>
    <row r="1" spans="1:17" ht="15.75" thickBot="1" x14ac:dyDescent="0.3">
      <c r="A1" s="33" t="s">
        <v>138</v>
      </c>
      <c r="B1" s="2"/>
      <c r="C1" s="2"/>
      <c r="D1" s="2"/>
      <c r="E1" s="2"/>
      <c r="F1" s="2"/>
      <c r="G1" s="2"/>
      <c r="H1" s="2"/>
      <c r="I1" s="2"/>
      <c r="J1" s="2"/>
      <c r="K1" s="2"/>
    </row>
    <row r="2" spans="1:17" ht="15.75" thickBot="1" x14ac:dyDescent="0.3">
      <c r="A2" s="20" t="s">
        <v>0</v>
      </c>
      <c r="B2" s="128" t="s">
        <v>1</v>
      </c>
      <c r="C2" s="129"/>
      <c r="D2" s="129"/>
      <c r="E2" s="129"/>
      <c r="F2" s="129"/>
      <c r="G2" s="129"/>
      <c r="H2" s="129"/>
      <c r="I2" s="129"/>
      <c r="J2" s="129"/>
      <c r="K2" s="130"/>
    </row>
    <row r="3" spans="1:17" ht="15.75" thickBot="1" x14ac:dyDescent="0.3">
      <c r="A3" s="21" t="s">
        <v>2</v>
      </c>
      <c r="B3" s="3">
        <v>1</v>
      </c>
      <c r="C3" s="4">
        <v>2</v>
      </c>
      <c r="D3" s="4">
        <v>3</v>
      </c>
      <c r="E3" s="4">
        <v>4</v>
      </c>
      <c r="F3" s="4">
        <v>5</v>
      </c>
      <c r="G3" s="4">
        <v>6</v>
      </c>
      <c r="H3" s="4">
        <v>7</v>
      </c>
      <c r="I3" s="4">
        <v>8</v>
      </c>
      <c r="J3" s="4">
        <v>9</v>
      </c>
      <c r="K3" s="4">
        <v>10</v>
      </c>
      <c r="M3" t="s">
        <v>164</v>
      </c>
    </row>
    <row r="4" spans="1:17" x14ac:dyDescent="0.25">
      <c r="A4" s="5">
        <v>2010</v>
      </c>
      <c r="B4" s="42">
        <v>1245296</v>
      </c>
      <c r="C4" s="42">
        <v>1393172</v>
      </c>
      <c r="D4" s="42">
        <v>1283063</v>
      </c>
      <c r="E4" s="42">
        <v>1222759</v>
      </c>
      <c r="F4" s="42">
        <v>1164264</v>
      </c>
      <c r="G4" s="42">
        <v>1105788</v>
      </c>
      <c r="H4" s="42">
        <v>1095652</v>
      </c>
      <c r="I4" s="42">
        <v>1089077</v>
      </c>
      <c r="J4" s="42">
        <v>1081644</v>
      </c>
      <c r="K4" s="47">
        <v>1077726</v>
      </c>
      <c r="M4" s="52">
        <f>K4-K4</f>
        <v>0</v>
      </c>
      <c r="P4" s="123"/>
      <c r="Q4" s="124"/>
    </row>
    <row r="5" spans="1:17" x14ac:dyDescent="0.25">
      <c r="A5" s="5">
        <v>2011</v>
      </c>
      <c r="B5" s="42">
        <v>1457612</v>
      </c>
      <c r="C5" s="42">
        <v>1650747</v>
      </c>
      <c r="D5" s="42">
        <v>1481550</v>
      </c>
      <c r="E5" s="42">
        <v>1380109</v>
      </c>
      <c r="F5" s="42">
        <v>1339858</v>
      </c>
      <c r="G5" s="42">
        <v>1289025</v>
      </c>
      <c r="H5" s="42">
        <v>1266666</v>
      </c>
      <c r="I5" s="42">
        <v>1256568</v>
      </c>
      <c r="J5" s="46">
        <v>1247416</v>
      </c>
      <c r="K5" s="44">
        <f>J5*$J$16</f>
        <v>1242897.5300708921</v>
      </c>
      <c r="M5" s="52">
        <f>K5-J5</f>
        <v>-4518.4699291079305</v>
      </c>
      <c r="P5" s="123"/>
      <c r="Q5" s="124"/>
    </row>
    <row r="6" spans="1:17" x14ac:dyDescent="0.25">
      <c r="A6" s="5">
        <v>2012</v>
      </c>
      <c r="B6" s="42">
        <v>1516436</v>
      </c>
      <c r="C6" s="42">
        <v>1449934</v>
      </c>
      <c r="D6" s="42">
        <v>1291319</v>
      </c>
      <c r="E6" s="42">
        <v>1203932</v>
      </c>
      <c r="F6" s="42">
        <v>1153978</v>
      </c>
      <c r="G6" s="42">
        <v>1095327</v>
      </c>
      <c r="H6" s="42">
        <v>1070724</v>
      </c>
      <c r="I6" s="46">
        <v>1061630</v>
      </c>
      <c r="J6" s="44">
        <f>I6*$I$16</f>
        <v>1054123.6921187988</v>
      </c>
      <c r="K6" s="44">
        <f>J6*J16</f>
        <v>1050305.3779362014</v>
      </c>
      <c r="M6" s="52">
        <f>K6-I6</f>
        <v>-11324.622063798597</v>
      </c>
      <c r="P6" s="123"/>
      <c r="Q6" s="124"/>
    </row>
    <row r="7" spans="1:17" x14ac:dyDescent="0.25">
      <c r="A7" s="5">
        <v>2013</v>
      </c>
      <c r="B7" s="42">
        <v>1556421</v>
      </c>
      <c r="C7" s="42">
        <v>1660104</v>
      </c>
      <c r="D7" s="42">
        <v>1593591</v>
      </c>
      <c r="E7" s="42">
        <v>1522083</v>
      </c>
      <c r="F7" s="42">
        <v>1476118</v>
      </c>
      <c r="G7" s="42">
        <v>1449604</v>
      </c>
      <c r="H7" s="46">
        <v>1427291</v>
      </c>
      <c r="I7" s="44">
        <f>H7*$H$16</f>
        <v>1416578.3413150785</v>
      </c>
      <c r="J7" s="44">
        <f t="shared" ref="J7:J13" si="0">I7*$I$16</f>
        <v>1406562.3534777416</v>
      </c>
      <c r="K7" s="44">
        <f>J7*J16</f>
        <v>1401467.4134596528</v>
      </c>
      <c r="M7" s="52">
        <f>K7-H7</f>
        <v>-25823.586540347198</v>
      </c>
      <c r="P7" s="123"/>
      <c r="Q7" s="123"/>
    </row>
    <row r="8" spans="1:17" x14ac:dyDescent="0.25">
      <c r="A8" s="5">
        <v>2014</v>
      </c>
      <c r="B8" s="42">
        <v>1278959</v>
      </c>
      <c r="C8" s="42">
        <v>1387655</v>
      </c>
      <c r="D8" s="42">
        <v>1320005</v>
      </c>
      <c r="E8" s="42">
        <v>1239109</v>
      </c>
      <c r="F8" s="42">
        <v>1206974</v>
      </c>
      <c r="G8" s="46">
        <v>1175470</v>
      </c>
      <c r="H8" s="44">
        <f>G8*$G$16</f>
        <v>1156573.2215090499</v>
      </c>
      <c r="I8" s="44">
        <f t="shared" ref="I8:I13" si="1">H8*$H$16</f>
        <v>1147892.4590253332</v>
      </c>
      <c r="J8" s="44">
        <f t="shared" si="0"/>
        <v>1139776.228123839</v>
      </c>
      <c r="K8" s="44">
        <f>J8*J16</f>
        <v>1135647.6578532241</v>
      </c>
      <c r="M8" s="52">
        <f>K8-G8</f>
        <v>-39822.342146775918</v>
      </c>
      <c r="P8" s="123"/>
      <c r="Q8" s="123"/>
    </row>
    <row r="9" spans="1:17" x14ac:dyDescent="0.25">
      <c r="A9" s="5">
        <v>2015</v>
      </c>
      <c r="B9" s="42">
        <v>1084325</v>
      </c>
      <c r="C9" s="42">
        <v>1327360</v>
      </c>
      <c r="D9" s="42">
        <v>1282673</v>
      </c>
      <c r="E9" s="42">
        <v>1226133</v>
      </c>
      <c r="F9" s="46">
        <v>1198003</v>
      </c>
      <c r="G9" s="44">
        <f>F9*$F$16</f>
        <v>1155310.3450647765</v>
      </c>
      <c r="H9" s="44">
        <f t="shared" ref="H9:H13" si="2">G9*$G$16</f>
        <v>1136737.6518620641</v>
      </c>
      <c r="I9" s="44">
        <f t="shared" si="1"/>
        <v>1128205.7669985727</v>
      </c>
      <c r="J9" s="44">
        <f t="shared" si="0"/>
        <v>1120228.7318352505</v>
      </c>
      <c r="K9" s="44">
        <f>J9*J16</f>
        <v>1116170.9677545268</v>
      </c>
      <c r="M9" s="52">
        <f>K9-F9</f>
        <v>-81832.032245473238</v>
      </c>
      <c r="P9" s="123"/>
      <c r="Q9" s="123"/>
    </row>
    <row r="10" spans="1:17" x14ac:dyDescent="0.25">
      <c r="A10" s="5">
        <v>2016</v>
      </c>
      <c r="B10" s="42">
        <v>1318756</v>
      </c>
      <c r="C10" s="42">
        <v>1640878</v>
      </c>
      <c r="D10" s="42">
        <v>1496936</v>
      </c>
      <c r="E10" s="46">
        <v>1365069</v>
      </c>
      <c r="F10" s="44">
        <f>E10*$E$16</f>
        <v>1320420.3652693536</v>
      </c>
      <c r="G10" s="44">
        <f t="shared" ref="G10:G13" si="3">F10*$F$16</f>
        <v>1273365.1817482053</v>
      </c>
      <c r="H10" s="44">
        <f t="shared" si="2"/>
        <v>1252894.6467472403</v>
      </c>
      <c r="I10" s="44">
        <f t="shared" si="1"/>
        <v>1243490.9352975299</v>
      </c>
      <c r="J10" s="44">
        <f t="shared" si="0"/>
        <v>1234698.770600012</v>
      </c>
      <c r="K10" s="44">
        <f>J10*J16</f>
        <v>1230226.3658317048</v>
      </c>
      <c r="M10" s="52">
        <f>K10-E10</f>
        <v>-134842.63416829519</v>
      </c>
    </row>
    <row r="11" spans="1:17" x14ac:dyDescent="0.25">
      <c r="A11" s="5">
        <v>2017</v>
      </c>
      <c r="B11" s="42">
        <v>1141778</v>
      </c>
      <c r="C11" s="42">
        <v>1367948</v>
      </c>
      <c r="D11" s="46">
        <v>1330510</v>
      </c>
      <c r="E11" s="44">
        <f>D11*D16</f>
        <v>1249997.73917835</v>
      </c>
      <c r="F11" s="44">
        <f t="shared" ref="F11:F13" si="4">E11*$E$16</f>
        <v>1209112.8516959532</v>
      </c>
      <c r="G11" s="44">
        <f t="shared" si="3"/>
        <v>1166024.2803357819</v>
      </c>
      <c r="H11" s="44">
        <f t="shared" si="2"/>
        <v>1147279.3506135645</v>
      </c>
      <c r="I11" s="44">
        <f t="shared" si="1"/>
        <v>1138668.3440988583</v>
      </c>
      <c r="J11" s="44">
        <f t="shared" si="0"/>
        <v>1130617.3327621559</v>
      </c>
      <c r="K11" s="44">
        <f>J11*J16</f>
        <v>1126521.9384274562</v>
      </c>
      <c r="M11" s="52">
        <f>K11-D11</f>
        <v>-203988.06157254381</v>
      </c>
    </row>
    <row r="12" spans="1:17" x14ac:dyDescent="0.25">
      <c r="A12" s="5">
        <v>2018</v>
      </c>
      <c r="B12" s="42">
        <v>1467315</v>
      </c>
      <c r="C12" s="46">
        <v>1732294</v>
      </c>
      <c r="D12" s="44">
        <f>C12*C16</f>
        <v>1615889.2431255355</v>
      </c>
      <c r="E12" s="44">
        <f>D12*D16</f>
        <v>1518108.0192328764</v>
      </c>
      <c r="F12" s="44">
        <f t="shared" si="4"/>
        <v>1468453.7889834209</v>
      </c>
      <c r="G12" s="44">
        <f t="shared" si="3"/>
        <v>1416123.2097600044</v>
      </c>
      <c r="H12" s="44">
        <f t="shared" si="2"/>
        <v>1393357.7060800055</v>
      </c>
      <c r="I12" s="44">
        <f t="shared" si="1"/>
        <v>1382899.7367302091</v>
      </c>
      <c r="J12" s="44">
        <f t="shared" si="0"/>
        <v>1373121.8751468619</v>
      </c>
      <c r="K12" s="44">
        <f>J12*J16</f>
        <v>1368148.0653658016</v>
      </c>
      <c r="M12" s="52">
        <f>K12-C12</f>
        <v>-364145.93463419843</v>
      </c>
    </row>
    <row r="13" spans="1:17" ht="15.75" thickBot="1" x14ac:dyDescent="0.3">
      <c r="A13" s="6">
        <v>2019</v>
      </c>
      <c r="B13" s="45">
        <v>1327945</v>
      </c>
      <c r="C13" s="48">
        <f>B13*B16</f>
        <v>1497771.3096555551</v>
      </c>
      <c r="D13" s="49">
        <f>C13*C16</f>
        <v>1397125.7465155781</v>
      </c>
      <c r="E13" s="49">
        <f>D13*D16</f>
        <v>1312582.4116258705</v>
      </c>
      <c r="F13" s="44">
        <f t="shared" si="4"/>
        <v>1269650.5066082086</v>
      </c>
      <c r="G13" s="44">
        <f t="shared" si="3"/>
        <v>1224404.5840462819</v>
      </c>
      <c r="H13" s="44">
        <f t="shared" si="2"/>
        <v>1204721.1363972337</v>
      </c>
      <c r="I13" s="44">
        <f t="shared" si="1"/>
        <v>1195678.9954850201</v>
      </c>
      <c r="J13" s="44">
        <f t="shared" si="0"/>
        <v>1187224.8874933508</v>
      </c>
      <c r="K13" s="49">
        <f>J13*J16</f>
        <v>1182924.4456574058</v>
      </c>
      <c r="M13" s="52">
        <f>K13-B13</f>
        <v>-145020.55434259423</v>
      </c>
    </row>
    <row r="14" spans="1:17" x14ac:dyDescent="0.25">
      <c r="A14" s="16"/>
      <c r="B14" s="17"/>
      <c r="C14" s="17"/>
      <c r="D14" s="17"/>
      <c r="E14" s="17"/>
      <c r="F14" s="17"/>
      <c r="G14" s="17"/>
      <c r="H14" s="17"/>
      <c r="I14" s="17"/>
      <c r="J14" s="17"/>
      <c r="K14" s="17"/>
      <c r="M14" s="52">
        <f>SUM(M4:M13)</f>
        <v>-1011318.2376431345</v>
      </c>
    </row>
    <row r="15" spans="1:17" x14ac:dyDescent="0.25">
      <c r="B15" s="52"/>
    </row>
    <row r="16" spans="1:17" x14ac:dyDescent="0.25">
      <c r="A16" s="53" t="s">
        <v>163</v>
      </c>
      <c r="B16" s="54">
        <f>SUM(C4:C12)/SUM(B4:B12)</f>
        <v>1.1278865537771181</v>
      </c>
      <c r="C16" s="54">
        <f>SUM(D4:D11)/SUM(C4:C11)</f>
        <v>0.93280311721078268</v>
      </c>
      <c r="D16" s="54">
        <f>SUM(E4:E10)/SUM(D4:D10)</f>
        <v>0.93948766952397944</v>
      </c>
      <c r="E16" s="54">
        <f>SUM(F4:F9)/SUM(E4:E9)</f>
        <v>0.96729203085657467</v>
      </c>
      <c r="F16" s="54">
        <f>SUM(G4:G8)/SUM(F4:F8)</f>
        <v>0.96436348244935655</v>
      </c>
      <c r="G16" s="54">
        <f>SUM(H4:H7)/SUM(G4:G7)</f>
        <v>0.98392406570057067</v>
      </c>
      <c r="H16" s="54">
        <f>SUM(I4:I6)/SUM(H4:H6)</f>
        <v>0.99249441166172736</v>
      </c>
      <c r="I16" s="54">
        <f>SUM(J4:J5)/SUM(I4:I5)</f>
        <v>0.99292945010860556</v>
      </c>
      <c r="J16" s="54">
        <f>SUM(K4)/SUM(J4)</f>
        <v>0.99637773611280611</v>
      </c>
    </row>
    <row r="17" spans="1:16" x14ac:dyDescent="0.25">
      <c r="A17" t="s">
        <v>176</v>
      </c>
      <c r="B17">
        <f t="shared" ref="B17:I17" si="5">B16*C17</f>
        <v>0.8907932524746176</v>
      </c>
      <c r="C17">
        <f t="shared" si="5"/>
        <v>0.78978976164888959</v>
      </c>
      <c r="D17">
        <f t="shared" si="5"/>
        <v>0.84668430784244819</v>
      </c>
      <c r="E17">
        <f t="shared" si="5"/>
        <v>0.90121918073863283</v>
      </c>
      <c r="F17">
        <f t="shared" si="5"/>
        <v>0.93169296550553427</v>
      </c>
      <c r="G17">
        <f t="shared" si="5"/>
        <v>0.96612219610302597</v>
      </c>
      <c r="H17">
        <f t="shared" si="5"/>
        <v>0.98190727291046642</v>
      </c>
      <c r="I17">
        <f t="shared" si="5"/>
        <v>0.98933279761894588</v>
      </c>
      <c r="J17">
        <f>J16</f>
        <v>0.99637773611280611</v>
      </c>
    </row>
    <row r="22" spans="1:16" x14ac:dyDescent="0.25">
      <c r="A22" s="109" t="s">
        <v>177</v>
      </c>
    </row>
    <row r="24" spans="1:16" x14ac:dyDescent="0.25">
      <c r="A24" s="109" t="s">
        <v>113</v>
      </c>
      <c r="B24" s="109" t="s">
        <v>177</v>
      </c>
      <c r="C24" s="109" t="s">
        <v>187</v>
      </c>
      <c r="D24" s="109" t="s">
        <v>188</v>
      </c>
      <c r="F24" s="109"/>
      <c r="G24" s="109">
        <v>2010</v>
      </c>
      <c r="H24" s="109">
        <v>2011</v>
      </c>
      <c r="I24" s="109">
        <v>2012</v>
      </c>
      <c r="J24" s="109">
        <v>2013</v>
      </c>
      <c r="K24" s="109">
        <v>2014</v>
      </c>
      <c r="L24" s="109">
        <v>2015</v>
      </c>
      <c r="M24" s="109">
        <v>2016</v>
      </c>
      <c r="N24" s="109">
        <v>2017</v>
      </c>
      <c r="O24" s="109">
        <v>2018</v>
      </c>
      <c r="P24" s="109">
        <v>2019</v>
      </c>
    </row>
    <row r="25" spans="1:16" x14ac:dyDescent="0.25">
      <c r="A25" s="114">
        <v>2010</v>
      </c>
      <c r="B25">
        <v>2299983</v>
      </c>
      <c r="C25" s="52">
        <f>K4</f>
        <v>1077726</v>
      </c>
      <c r="D25">
        <f t="shared" ref="D25:D34" si="6">C25/B25</f>
        <v>0.46857998515641203</v>
      </c>
      <c r="F25" s="109" t="s">
        <v>180</v>
      </c>
      <c r="G25" s="100">
        <v>1</v>
      </c>
      <c r="H25" s="100">
        <f>J17</f>
        <v>0.99637773611280611</v>
      </c>
      <c r="I25" s="100">
        <f>I17</f>
        <v>0.98933279761894588</v>
      </c>
      <c r="J25" s="100">
        <f>H17</f>
        <v>0.98190727291046642</v>
      </c>
      <c r="K25" s="100">
        <f>G17</f>
        <v>0.96612219610302597</v>
      </c>
      <c r="L25" s="100">
        <f>F17</f>
        <v>0.93169296550553427</v>
      </c>
      <c r="M25" s="100">
        <f>E17</f>
        <v>0.90121918073863283</v>
      </c>
      <c r="N25" s="100">
        <f>D17</f>
        <v>0.84668430784244819</v>
      </c>
      <c r="O25" s="100">
        <f>C17</f>
        <v>0.78978976164888959</v>
      </c>
      <c r="P25" s="100">
        <f>B17</f>
        <v>0.8907932524746176</v>
      </c>
    </row>
    <row r="26" spans="1:16" x14ac:dyDescent="0.25">
      <c r="A26" s="114">
        <v>2011</v>
      </c>
      <c r="B26">
        <v>2429825</v>
      </c>
      <c r="C26">
        <f t="shared" ref="C26:C34" si="7">B26*D25</f>
        <v>1138567.3624326789</v>
      </c>
      <c r="D26">
        <f t="shared" si="6"/>
        <v>0.46857998515641208</v>
      </c>
      <c r="F26" s="109" t="s">
        <v>181</v>
      </c>
      <c r="G26" s="100">
        <f>1-(1/G25)</f>
        <v>0</v>
      </c>
      <c r="H26" s="100">
        <f t="shared" ref="H26:P26" si="8">1-(1/H25)</f>
        <v>-3.6354323826277568E-3</v>
      </c>
      <c r="I26" s="100">
        <f t="shared" si="8"/>
        <v>-1.0782218487779938E-2</v>
      </c>
      <c r="J26" s="100">
        <f t="shared" si="8"/>
        <v>-1.842610558928337E-2</v>
      </c>
      <c r="K26" s="100">
        <f t="shared" si="8"/>
        <v>-3.5065754656734338E-2</v>
      </c>
      <c r="L26" s="100">
        <f t="shared" si="8"/>
        <v>-7.3314962142493556E-2</v>
      </c>
      <c r="M26" s="100">
        <f t="shared" si="8"/>
        <v>-0.10960798590683241</v>
      </c>
      <c r="N26" s="100">
        <f t="shared" si="8"/>
        <v>-0.18107775322804365</v>
      </c>
      <c r="O26" s="100">
        <f t="shared" si="8"/>
        <v>-0.26615974093186834</v>
      </c>
      <c r="P26" s="100">
        <f t="shared" si="8"/>
        <v>-0.12259494245382618</v>
      </c>
    </row>
    <row r="27" spans="1:16" x14ac:dyDescent="0.25">
      <c r="A27" s="114">
        <v>2012</v>
      </c>
      <c r="B27">
        <v>2587198</v>
      </c>
      <c r="C27">
        <f t="shared" si="7"/>
        <v>1212309.200436699</v>
      </c>
      <c r="D27">
        <f t="shared" si="6"/>
        <v>0.46857998515641208</v>
      </c>
      <c r="F27" s="109" t="s">
        <v>189</v>
      </c>
      <c r="G27" s="105">
        <f>C25</f>
        <v>1077726</v>
      </c>
      <c r="H27" s="100">
        <f>C26</f>
        <v>1138567.3624326789</v>
      </c>
      <c r="I27" s="100">
        <f>C27</f>
        <v>1212309.200436699</v>
      </c>
      <c r="J27" s="100">
        <f>C28</f>
        <v>1214591.1849644107</v>
      </c>
      <c r="K27" s="100">
        <f>C29</f>
        <v>1249769.8273500283</v>
      </c>
      <c r="L27" s="100">
        <f>C30</f>
        <v>1252541.4779622285</v>
      </c>
      <c r="M27" s="100">
        <f>C31</f>
        <v>1238853.7880158245</v>
      </c>
      <c r="N27" s="100">
        <f>C32</f>
        <v>1250479.257447555</v>
      </c>
      <c r="O27" s="100">
        <f>C33</f>
        <v>1267256.7638160803</v>
      </c>
      <c r="P27" s="100">
        <f>C34</f>
        <v>1310691.7855401537</v>
      </c>
    </row>
    <row r="28" spans="1:16" x14ac:dyDescent="0.25">
      <c r="A28" s="114">
        <v>2013</v>
      </c>
      <c r="B28">
        <v>2592068</v>
      </c>
      <c r="C28">
        <f t="shared" si="7"/>
        <v>1214591.1849644107</v>
      </c>
      <c r="D28">
        <f t="shared" si="6"/>
        <v>0.46857998515641208</v>
      </c>
      <c r="F28" s="109" t="s">
        <v>183</v>
      </c>
      <c r="G28" s="100">
        <f>G27*G26</f>
        <v>0</v>
      </c>
      <c r="H28" s="100">
        <f t="shared" ref="H28:P28" si="9">H27*H26</f>
        <v>-4139.1846591908343</v>
      </c>
      <c r="I28" s="100">
        <f t="shared" si="9"/>
        <v>-13071.38267385429</v>
      </c>
      <c r="J28" s="100">
        <f t="shared" si="9"/>
        <v>-22380.185421967039</v>
      </c>
      <c r="K28" s="100">
        <f t="shared" si="9"/>
        <v>-43824.122143245324</v>
      </c>
      <c r="L28" s="100">
        <f t="shared" si="9"/>
        <v>-91830.031038703703</v>
      </c>
      <c r="M28" s="100">
        <f t="shared" si="9"/>
        <v>-135788.26853746444</v>
      </c>
      <c r="N28" s="100">
        <f t="shared" si="9"/>
        <v>-226433.97439687562</v>
      </c>
      <c r="O28" s="100">
        <f t="shared" si="9"/>
        <v>-337292.73195144581</v>
      </c>
      <c r="P28" s="100">
        <f t="shared" si="9"/>
        <v>-160684.18402299783</v>
      </c>
    </row>
    <row r="29" spans="1:16" x14ac:dyDescent="0.25">
      <c r="A29" s="114">
        <v>2014</v>
      </c>
      <c r="B29">
        <v>2667143</v>
      </c>
      <c r="C29">
        <f t="shared" si="7"/>
        <v>1249769.8273500283</v>
      </c>
      <c r="D29">
        <f t="shared" si="6"/>
        <v>0.46857998515641208</v>
      </c>
      <c r="F29" s="109" t="s">
        <v>184</v>
      </c>
      <c r="G29" s="119">
        <f>SUM(G28:P28)</f>
        <v>-1035444.0648457449</v>
      </c>
    </row>
    <row r="30" spans="1:16" x14ac:dyDescent="0.25">
      <c r="A30" s="114">
        <v>2015</v>
      </c>
      <c r="B30">
        <v>2673058</v>
      </c>
      <c r="C30">
        <f t="shared" si="7"/>
        <v>1252541.4779622285</v>
      </c>
      <c r="D30">
        <f t="shared" si="6"/>
        <v>0.46857998515641203</v>
      </c>
      <c r="F30" s="109" t="s">
        <v>125</v>
      </c>
      <c r="G30">
        <v>199134</v>
      </c>
    </row>
    <row r="31" spans="1:16" x14ac:dyDescent="0.25">
      <c r="A31" s="114">
        <v>2016</v>
      </c>
      <c r="B31">
        <v>2643847</v>
      </c>
      <c r="C31">
        <f t="shared" si="7"/>
        <v>1238853.7880158245</v>
      </c>
      <c r="D31">
        <f t="shared" si="6"/>
        <v>0.46857998515641203</v>
      </c>
      <c r="F31" s="109" t="s">
        <v>190</v>
      </c>
      <c r="G31" s="119">
        <f>SUM(G29:G30)</f>
        <v>-836310.06484574487</v>
      </c>
    </row>
    <row r="32" spans="1:16" x14ac:dyDescent="0.25">
      <c r="A32" s="114">
        <v>2017</v>
      </c>
      <c r="B32">
        <v>2668657</v>
      </c>
      <c r="C32">
        <f t="shared" si="7"/>
        <v>1250479.257447555</v>
      </c>
      <c r="D32">
        <f t="shared" si="6"/>
        <v>0.46857998515641197</v>
      </c>
    </row>
    <row r="33" spans="1:4" x14ac:dyDescent="0.25">
      <c r="A33" s="114">
        <v>2018</v>
      </c>
      <c r="B33">
        <v>2704462</v>
      </c>
      <c r="C33">
        <f t="shared" si="7"/>
        <v>1267256.7638160803</v>
      </c>
      <c r="D33">
        <f t="shared" si="6"/>
        <v>0.46857998515641197</v>
      </c>
    </row>
    <row r="34" spans="1:4" x14ac:dyDescent="0.25">
      <c r="A34" s="114">
        <v>2019</v>
      </c>
      <c r="B34">
        <v>2797157</v>
      </c>
      <c r="C34">
        <f t="shared" si="7"/>
        <v>1310691.7855401537</v>
      </c>
      <c r="D34">
        <f t="shared" si="6"/>
        <v>0.46857998515641192</v>
      </c>
    </row>
  </sheetData>
  <mergeCells count="1">
    <mergeCell ref="B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E6E09-E2CA-4AD8-B821-EAE558E79D63}">
  <dimension ref="A1:Y135"/>
  <sheetViews>
    <sheetView topLeftCell="A52" workbookViewId="0">
      <selection activeCell="Y19" sqref="Y19:Y29"/>
    </sheetView>
  </sheetViews>
  <sheetFormatPr baseColWidth="10" defaultRowHeight="15" x14ac:dyDescent="0.25"/>
  <cols>
    <col min="1" max="1" width="27.140625" customWidth="1"/>
    <col min="2" max="2" width="11" bestFit="1" customWidth="1"/>
    <col min="3" max="3" width="10.140625" bestFit="1" customWidth="1"/>
    <col min="4" max="4" width="13.28515625" customWidth="1"/>
    <col min="5" max="7" width="8.85546875" bestFit="1" customWidth="1"/>
    <col min="8" max="8" width="9.5703125" bestFit="1" customWidth="1"/>
    <col min="9" max="9" width="10.7109375" bestFit="1" customWidth="1"/>
    <col min="10" max="11" width="11.5703125" bestFit="1" customWidth="1"/>
    <col min="24" max="24" width="12.85546875" bestFit="1" customWidth="1"/>
    <col min="25" max="25" width="14.85546875" bestFit="1" customWidth="1"/>
  </cols>
  <sheetData>
    <row r="1" spans="1:25" ht="15.75" thickBot="1" x14ac:dyDescent="0.3">
      <c r="A1" s="149" t="s">
        <v>137</v>
      </c>
      <c r="B1" s="150"/>
      <c r="C1" s="150"/>
      <c r="D1" s="150"/>
      <c r="E1" s="150"/>
      <c r="F1" s="150"/>
      <c r="G1" s="150"/>
      <c r="H1" s="150"/>
      <c r="I1" s="150"/>
      <c r="J1" s="150"/>
      <c r="K1" s="150"/>
      <c r="N1" t="s">
        <v>245</v>
      </c>
      <c r="O1" t="s">
        <v>246</v>
      </c>
      <c r="P1" t="s">
        <v>164</v>
      </c>
      <c r="Q1" t="s">
        <v>247</v>
      </c>
    </row>
    <row r="2" spans="1:25" ht="15.75" thickBot="1" x14ac:dyDescent="0.3">
      <c r="A2" s="151" t="s">
        <v>0</v>
      </c>
      <c r="B2" s="152" t="s">
        <v>1</v>
      </c>
      <c r="C2" s="153"/>
      <c r="D2" s="153"/>
      <c r="E2" s="153"/>
      <c r="F2" s="153"/>
      <c r="G2" s="153"/>
      <c r="H2" s="153"/>
      <c r="I2" s="153"/>
      <c r="J2" s="153"/>
      <c r="K2" s="154"/>
      <c r="N2" s="155">
        <f>W19</f>
        <v>1039601</v>
      </c>
      <c r="O2" s="156">
        <v>1</v>
      </c>
      <c r="P2" s="157">
        <f t="shared" ref="P2:P11" si="0">Y19</f>
        <v>0</v>
      </c>
      <c r="Q2" s="157">
        <f>X19</f>
        <v>1039601</v>
      </c>
    </row>
    <row r="3" spans="1:25" ht="15.75" thickBot="1" x14ac:dyDescent="0.3">
      <c r="A3" s="158" t="s">
        <v>2</v>
      </c>
      <c r="B3" s="159">
        <v>1</v>
      </c>
      <c r="C3" s="160">
        <v>2</v>
      </c>
      <c r="D3" s="160">
        <v>3</v>
      </c>
      <c r="E3" s="160">
        <v>4</v>
      </c>
      <c r="F3" s="160">
        <v>5</v>
      </c>
      <c r="G3" s="160">
        <v>6</v>
      </c>
      <c r="H3" s="160">
        <v>7</v>
      </c>
      <c r="I3" s="160">
        <v>8</v>
      </c>
      <c r="J3" s="160">
        <v>9</v>
      </c>
      <c r="K3" s="160">
        <v>10</v>
      </c>
      <c r="N3" s="155">
        <f>V20</f>
        <v>1128980</v>
      </c>
      <c r="O3" s="156">
        <v>0.99741340520024524</v>
      </c>
      <c r="P3" s="157">
        <f t="shared" si="0"/>
        <v>1.4752910938113928E-3</v>
      </c>
      <c r="Q3" s="157">
        <f>X20</f>
        <v>1128980.0014752911</v>
      </c>
    </row>
    <row r="4" spans="1:25" x14ac:dyDescent="0.25">
      <c r="A4" s="161">
        <v>2010</v>
      </c>
      <c r="B4" s="162">
        <v>432782</v>
      </c>
      <c r="C4" s="162">
        <v>898124</v>
      </c>
      <c r="D4" s="162">
        <v>997331</v>
      </c>
      <c r="E4" s="162">
        <v>1027219</v>
      </c>
      <c r="F4" s="162">
        <v>1035496</v>
      </c>
      <c r="G4" s="162">
        <v>1030840</v>
      </c>
      <c r="H4" s="162">
        <v>1038087</v>
      </c>
      <c r="I4" s="162">
        <v>1042345</v>
      </c>
      <c r="J4" s="162">
        <v>1042297</v>
      </c>
      <c r="K4" s="163">
        <v>1039601</v>
      </c>
      <c r="N4" s="155">
        <f>U21</f>
        <v>1041417</v>
      </c>
      <c r="O4" s="156">
        <v>1.0070703927073472</v>
      </c>
      <c r="P4" s="157">
        <f t="shared" si="0"/>
        <v>7206.9433101224713</v>
      </c>
      <c r="Q4" s="157">
        <f t="shared" ref="Q4:Q11" si="1">X21</f>
        <v>1048623.9433101225</v>
      </c>
    </row>
    <row r="5" spans="1:25" x14ac:dyDescent="0.25">
      <c r="A5" s="161">
        <f>A4+1</f>
        <v>2011</v>
      </c>
      <c r="B5" s="162">
        <v>441759</v>
      </c>
      <c r="C5" s="162">
        <v>913991</v>
      </c>
      <c r="D5" s="162">
        <v>1022900</v>
      </c>
      <c r="E5" s="162">
        <v>1077197</v>
      </c>
      <c r="F5" s="162">
        <v>1093877</v>
      </c>
      <c r="G5" s="162">
        <v>1105416</v>
      </c>
      <c r="H5" s="162">
        <v>1106969</v>
      </c>
      <c r="I5" s="162">
        <v>1113688</v>
      </c>
      <c r="J5" s="164">
        <v>1128980</v>
      </c>
      <c r="K5" s="165"/>
      <c r="N5" s="155">
        <f>T22</f>
        <v>1244795</v>
      </c>
      <c r="O5" s="156">
        <v>1.0032320421793899</v>
      </c>
      <c r="P5" s="157">
        <f t="shared" si="0"/>
        <v>11300.390462961746</v>
      </c>
      <c r="Q5" s="157">
        <f t="shared" si="1"/>
        <v>1256095.3904629617</v>
      </c>
    </row>
    <row r="6" spans="1:25" x14ac:dyDescent="0.25">
      <c r="A6" s="161">
        <f t="shared" ref="A6:A13" si="2">A5+1</f>
        <v>2012</v>
      </c>
      <c r="B6" s="162">
        <v>419449</v>
      </c>
      <c r="C6" s="162">
        <v>848016</v>
      </c>
      <c r="D6" s="162">
        <v>925269</v>
      </c>
      <c r="E6" s="162">
        <v>979045</v>
      </c>
      <c r="F6" s="162">
        <v>1001307</v>
      </c>
      <c r="G6" s="162">
        <v>1018956</v>
      </c>
      <c r="H6" s="162">
        <v>1042093</v>
      </c>
      <c r="I6" s="164">
        <v>1041417</v>
      </c>
      <c r="J6" s="165"/>
      <c r="K6" s="165"/>
      <c r="N6" s="155">
        <f>S23</f>
        <v>1124601</v>
      </c>
      <c r="O6" s="156">
        <v>1.0111914664583415</v>
      </c>
      <c r="P6" s="157">
        <f t="shared" si="0"/>
        <v>22430.468270377023</v>
      </c>
      <c r="Q6" s="157">
        <f t="shared" si="1"/>
        <v>1147031.468270377</v>
      </c>
    </row>
    <row r="7" spans="1:25" x14ac:dyDescent="0.25">
      <c r="A7" s="161">
        <f t="shared" si="2"/>
        <v>2013</v>
      </c>
      <c r="B7" s="162">
        <v>407962</v>
      </c>
      <c r="C7" s="162">
        <v>876043</v>
      </c>
      <c r="D7" s="162">
        <v>999854</v>
      </c>
      <c r="E7" s="162">
        <v>1118598</v>
      </c>
      <c r="F7" s="162">
        <v>1231642</v>
      </c>
      <c r="G7" s="162">
        <v>1227681</v>
      </c>
      <c r="H7" s="164">
        <v>1244795</v>
      </c>
      <c r="I7" s="165"/>
      <c r="J7" s="165"/>
      <c r="K7" s="165"/>
      <c r="N7" s="155">
        <f>R24</f>
        <v>1064804</v>
      </c>
      <c r="O7" s="156">
        <v>1.0050371439869881</v>
      </c>
      <c r="P7" s="157">
        <f t="shared" si="0"/>
        <v>27977.706396286143</v>
      </c>
      <c r="Q7" s="157">
        <f t="shared" si="1"/>
        <v>1092781.7063962861</v>
      </c>
    </row>
    <row r="8" spans="1:25" x14ac:dyDescent="0.25">
      <c r="A8" s="161">
        <f t="shared" si="2"/>
        <v>2014</v>
      </c>
      <c r="B8" s="162">
        <v>432585</v>
      </c>
      <c r="C8" s="162">
        <v>847593</v>
      </c>
      <c r="D8" s="162">
        <v>961562</v>
      </c>
      <c r="E8" s="162">
        <v>1009070</v>
      </c>
      <c r="F8" s="162">
        <v>1117569</v>
      </c>
      <c r="G8" s="164">
        <v>1124601</v>
      </c>
      <c r="H8" s="165"/>
      <c r="I8" s="165"/>
      <c r="J8" s="165"/>
      <c r="K8" s="165"/>
      <c r="N8" s="155">
        <f>Q25</f>
        <v>1026643</v>
      </c>
      <c r="O8" s="156">
        <v>1.0469012837255491</v>
      </c>
      <c r="P8" s="157">
        <f t="shared" si="0"/>
        <v>76240.319040545961</v>
      </c>
      <c r="Q8" s="157">
        <f t="shared" si="1"/>
        <v>1102883.319040546</v>
      </c>
    </row>
    <row r="9" spans="1:25" x14ac:dyDescent="0.25">
      <c r="A9" s="161">
        <f t="shared" si="2"/>
        <v>2015</v>
      </c>
      <c r="B9" s="162">
        <v>409188</v>
      </c>
      <c r="C9" s="162">
        <v>864592</v>
      </c>
      <c r="D9" s="162">
        <v>960768</v>
      </c>
      <c r="E9" s="162">
        <v>1040363</v>
      </c>
      <c r="F9" s="164">
        <v>1064804</v>
      </c>
      <c r="G9" s="165"/>
      <c r="H9" s="165"/>
      <c r="I9" s="165"/>
      <c r="J9" s="165"/>
      <c r="K9" s="165"/>
      <c r="N9" s="155">
        <f>P26</f>
        <v>1016550</v>
      </c>
      <c r="O9" s="156">
        <v>1.0631822068845833</v>
      </c>
      <c r="P9" s="157">
        <f t="shared" si="0"/>
        <v>144176.05616068607</v>
      </c>
      <c r="Q9" s="157">
        <f t="shared" si="1"/>
        <v>1160726.0561606861</v>
      </c>
    </row>
    <row r="10" spans="1:25" x14ac:dyDescent="0.25">
      <c r="A10" s="161">
        <f t="shared" si="2"/>
        <v>2016</v>
      </c>
      <c r="B10" s="162">
        <v>424180</v>
      </c>
      <c r="C10" s="162">
        <v>864312</v>
      </c>
      <c r="D10" s="162">
        <v>977930</v>
      </c>
      <c r="E10" s="164">
        <v>1026643</v>
      </c>
      <c r="F10" s="165"/>
      <c r="G10" s="165"/>
      <c r="H10" s="165"/>
      <c r="I10" s="165"/>
      <c r="J10" s="165"/>
      <c r="K10" s="165"/>
      <c r="N10" s="155">
        <f>O27</f>
        <v>955309</v>
      </c>
      <c r="O10" s="156">
        <v>1.1201819609443355</v>
      </c>
      <c r="P10" s="157">
        <f t="shared" si="0"/>
        <v>267108.7800530293</v>
      </c>
      <c r="Q10" s="157">
        <f t="shared" si="1"/>
        <v>1222417.7800530293</v>
      </c>
    </row>
    <row r="11" spans="1:25" x14ac:dyDescent="0.25">
      <c r="A11" s="161">
        <f t="shared" si="2"/>
        <v>2017</v>
      </c>
      <c r="B11" s="162">
        <v>442586</v>
      </c>
      <c r="C11" s="162">
        <v>905978</v>
      </c>
      <c r="D11" s="164">
        <v>1016550</v>
      </c>
      <c r="E11" s="165"/>
      <c r="F11" s="165"/>
      <c r="G11" s="165"/>
      <c r="H11" s="165"/>
      <c r="I11" s="165"/>
      <c r="J11" s="165"/>
      <c r="K11" s="165"/>
      <c r="N11" s="155">
        <f>N28</f>
        <v>462761</v>
      </c>
      <c r="O11" s="156">
        <v>2.0627984981381942</v>
      </c>
      <c r="P11" s="157">
        <f t="shared" si="0"/>
        <v>759173.73153128778</v>
      </c>
      <c r="Q11" s="157">
        <f t="shared" si="1"/>
        <v>1221934.7315312878</v>
      </c>
    </row>
    <row r="12" spans="1:25" x14ac:dyDescent="0.25">
      <c r="A12" s="161">
        <f t="shared" si="2"/>
        <v>2018</v>
      </c>
      <c r="B12" s="162">
        <v>455111</v>
      </c>
      <c r="C12" s="164">
        <v>955309</v>
      </c>
      <c r="D12" s="165"/>
      <c r="E12" s="165"/>
      <c r="F12" s="165"/>
      <c r="G12" s="165"/>
      <c r="H12" s="165"/>
      <c r="I12" s="165"/>
      <c r="J12" s="165"/>
      <c r="K12" s="165"/>
    </row>
    <row r="13" spans="1:25" ht="15.75" thickBot="1" x14ac:dyDescent="0.3">
      <c r="A13" s="166">
        <f t="shared" si="2"/>
        <v>2019</v>
      </c>
      <c r="B13" s="167">
        <v>462761</v>
      </c>
      <c r="C13" s="168"/>
      <c r="D13" s="168"/>
      <c r="E13" s="168"/>
      <c r="F13" s="168"/>
      <c r="G13" s="168"/>
      <c r="H13" s="168"/>
      <c r="I13" s="168"/>
      <c r="J13" s="168"/>
      <c r="K13" s="168"/>
    </row>
    <row r="16" spans="1:25" x14ac:dyDescent="0.25">
      <c r="A16" s="169" t="s">
        <v>248</v>
      </c>
      <c r="B16" s="170"/>
      <c r="C16" s="170"/>
      <c r="D16" s="170"/>
      <c r="E16" s="170"/>
      <c r="F16" s="170"/>
      <c r="G16" s="170"/>
      <c r="H16" s="170"/>
      <c r="I16" s="170"/>
      <c r="J16" s="170"/>
      <c r="K16" s="171"/>
      <c r="M16" s="172" t="s">
        <v>249</v>
      </c>
      <c r="N16" s="172"/>
      <c r="O16" s="172"/>
      <c r="P16" s="172"/>
      <c r="Q16" s="172"/>
      <c r="R16" s="172"/>
      <c r="S16" s="172"/>
      <c r="T16" s="172"/>
      <c r="U16" s="172"/>
      <c r="V16" s="172"/>
      <c r="W16" s="172"/>
      <c r="X16" s="173" t="s">
        <v>250</v>
      </c>
      <c r="Y16" s="173" t="s">
        <v>251</v>
      </c>
    </row>
    <row r="17" spans="1:25" ht="15.75" customHeight="1" x14ac:dyDescent="0.25">
      <c r="A17" s="174" t="s">
        <v>0</v>
      </c>
      <c r="B17" s="175" t="s">
        <v>1</v>
      </c>
      <c r="C17" s="175"/>
      <c r="D17" s="175"/>
      <c r="E17" s="175"/>
      <c r="F17" s="175"/>
      <c r="G17" s="175"/>
      <c r="H17" s="175"/>
      <c r="I17" s="175"/>
      <c r="J17" s="175"/>
      <c r="K17" s="175"/>
      <c r="M17" s="176" t="s">
        <v>0</v>
      </c>
      <c r="N17" s="177" t="s">
        <v>1</v>
      </c>
      <c r="O17" s="177"/>
      <c r="P17" s="177"/>
      <c r="Q17" s="177"/>
      <c r="R17" s="177"/>
      <c r="S17" s="177"/>
      <c r="T17" s="177"/>
      <c r="U17" s="177"/>
      <c r="V17" s="177"/>
      <c r="W17" s="177"/>
      <c r="X17" s="173"/>
      <c r="Y17" s="173"/>
    </row>
    <row r="18" spans="1:25" x14ac:dyDescent="0.25">
      <c r="A18" s="174" t="s">
        <v>2</v>
      </c>
      <c r="B18" s="178">
        <v>1</v>
      </c>
      <c r="C18" s="178">
        <v>2</v>
      </c>
      <c r="D18" s="178">
        <v>3</v>
      </c>
      <c r="E18" s="178">
        <v>4</v>
      </c>
      <c r="F18" s="178">
        <v>5</v>
      </c>
      <c r="G18" s="178">
        <v>6</v>
      </c>
      <c r="H18" s="178">
        <v>7</v>
      </c>
      <c r="I18" s="178">
        <v>8</v>
      </c>
      <c r="J18" s="178">
        <v>9</v>
      </c>
      <c r="K18" s="178">
        <v>10</v>
      </c>
      <c r="M18" s="176" t="s">
        <v>2</v>
      </c>
      <c r="N18" s="179">
        <v>1</v>
      </c>
      <c r="O18" s="179">
        <v>2</v>
      </c>
      <c r="P18" s="179">
        <v>3</v>
      </c>
      <c r="Q18" s="179">
        <v>4</v>
      </c>
      <c r="R18" s="179">
        <v>5</v>
      </c>
      <c r="S18" s="179">
        <v>6</v>
      </c>
      <c r="T18" s="179">
        <v>7</v>
      </c>
      <c r="U18" s="179">
        <v>8</v>
      </c>
      <c r="V18" s="179">
        <v>9</v>
      </c>
      <c r="W18" s="179">
        <v>10</v>
      </c>
      <c r="X18" s="173"/>
      <c r="Y18" s="173"/>
    </row>
    <row r="19" spans="1:25" x14ac:dyDescent="0.25">
      <c r="A19" s="180">
        <v>2010</v>
      </c>
      <c r="B19" s="181">
        <v>432782</v>
      </c>
      <c r="C19" s="181">
        <f>C4-B4</f>
        <v>465342</v>
      </c>
      <c r="D19" s="181">
        <f>D4-C4</f>
        <v>99207</v>
      </c>
      <c r="E19" s="181">
        <f t="shared" ref="E19:J19" si="3">E4-D4</f>
        <v>29888</v>
      </c>
      <c r="F19" s="181">
        <f t="shared" si="3"/>
        <v>8277</v>
      </c>
      <c r="G19" s="181">
        <f t="shared" si="3"/>
        <v>-4656</v>
      </c>
      <c r="H19" s="181">
        <f t="shared" si="3"/>
        <v>7247</v>
      </c>
      <c r="I19" s="181">
        <f t="shared" si="3"/>
        <v>4258</v>
      </c>
      <c r="J19" s="181">
        <f t="shared" si="3"/>
        <v>-48</v>
      </c>
      <c r="K19" s="181">
        <f>K4-J4</f>
        <v>-2696</v>
      </c>
      <c r="M19" s="179">
        <v>2010</v>
      </c>
      <c r="N19" s="182">
        <v>432782</v>
      </c>
      <c r="O19" s="183">
        <f t="shared" ref="O19:X28" si="4">N19+C19</f>
        <v>898124</v>
      </c>
      <c r="P19" s="183">
        <f t="shared" si="4"/>
        <v>997331</v>
      </c>
      <c r="Q19" s="183">
        <f t="shared" si="4"/>
        <v>1027219</v>
      </c>
      <c r="R19" s="183">
        <f t="shared" si="4"/>
        <v>1035496</v>
      </c>
      <c r="S19" s="183">
        <f t="shared" si="4"/>
        <v>1030840</v>
      </c>
      <c r="T19" s="183">
        <f t="shared" si="4"/>
        <v>1038087</v>
      </c>
      <c r="U19" s="183">
        <f t="shared" si="4"/>
        <v>1042345</v>
      </c>
      <c r="V19" s="183">
        <f t="shared" si="4"/>
        <v>1042297</v>
      </c>
      <c r="W19" s="184">
        <f t="shared" si="4"/>
        <v>1039601</v>
      </c>
      <c r="X19" s="185">
        <f t="shared" si="4"/>
        <v>1039601</v>
      </c>
      <c r="Y19" s="133">
        <f>0</f>
        <v>0</v>
      </c>
    </row>
    <row r="20" spans="1:25" x14ac:dyDescent="0.25">
      <c r="A20" s="180">
        <f>A19+1</f>
        <v>2011</v>
      </c>
      <c r="B20" s="181">
        <v>441759</v>
      </c>
      <c r="C20" s="181">
        <f t="shared" ref="C20:J27" si="5">C5-B5</f>
        <v>472232</v>
      </c>
      <c r="D20" s="181">
        <f t="shared" si="5"/>
        <v>108909</v>
      </c>
      <c r="E20" s="181">
        <f t="shared" si="5"/>
        <v>54297</v>
      </c>
      <c r="F20" s="181">
        <f t="shared" si="5"/>
        <v>16680</v>
      </c>
      <c r="G20" s="181">
        <f t="shared" si="5"/>
        <v>11539</v>
      </c>
      <c r="H20" s="181">
        <f t="shared" si="5"/>
        <v>1553</v>
      </c>
      <c r="I20" s="181">
        <f t="shared" si="5"/>
        <v>6719</v>
      </c>
      <c r="J20" s="181">
        <f t="shared" si="5"/>
        <v>15292</v>
      </c>
      <c r="K20" s="186">
        <f t="shared" ref="K20:K28" si="6">EXP($D$114+$D$126+D116)</f>
        <v>1.4752910302633913E-3</v>
      </c>
      <c r="M20" s="179">
        <v>2011</v>
      </c>
      <c r="N20" s="182">
        <v>441759</v>
      </c>
      <c r="O20" s="183">
        <f t="shared" si="4"/>
        <v>913991</v>
      </c>
      <c r="P20" s="183">
        <f t="shared" si="4"/>
        <v>1022900</v>
      </c>
      <c r="Q20" s="183">
        <f t="shared" si="4"/>
        <v>1077197</v>
      </c>
      <c r="R20" s="183">
        <f t="shared" si="4"/>
        <v>1093877</v>
      </c>
      <c r="S20" s="183">
        <f t="shared" si="4"/>
        <v>1105416</v>
      </c>
      <c r="T20" s="183">
        <f t="shared" si="4"/>
        <v>1106969</v>
      </c>
      <c r="U20" s="183">
        <f t="shared" si="4"/>
        <v>1113688</v>
      </c>
      <c r="V20" s="184">
        <f t="shared" si="4"/>
        <v>1128980</v>
      </c>
      <c r="W20" s="187">
        <f t="shared" si="4"/>
        <v>1128980.0014752911</v>
      </c>
      <c r="X20" s="185">
        <f t="shared" si="4"/>
        <v>1128980.0014752911</v>
      </c>
      <c r="Y20" s="133">
        <f>X20-V20</f>
        <v>1.4752910938113928E-3</v>
      </c>
    </row>
    <row r="21" spans="1:25" x14ac:dyDescent="0.25">
      <c r="A21" s="180">
        <f t="shared" ref="A21:A28" si="7">A20+1</f>
        <v>2012</v>
      </c>
      <c r="B21" s="181">
        <v>419449</v>
      </c>
      <c r="C21" s="181">
        <f t="shared" si="5"/>
        <v>428567</v>
      </c>
      <c r="D21" s="181">
        <f t="shared" si="5"/>
        <v>77253</v>
      </c>
      <c r="E21" s="181">
        <f t="shared" si="5"/>
        <v>53776</v>
      </c>
      <c r="F21" s="181">
        <f t="shared" si="5"/>
        <v>22262</v>
      </c>
      <c r="G21" s="181">
        <f t="shared" si="5"/>
        <v>17649</v>
      </c>
      <c r="H21" s="181">
        <f t="shared" si="5"/>
        <v>23137</v>
      </c>
      <c r="I21" s="181">
        <f t="shared" si="5"/>
        <v>-676</v>
      </c>
      <c r="J21" s="188">
        <f t="shared" ref="J21:J28" si="8">EXP($D$114+D117)</f>
        <v>7206.9419483933643</v>
      </c>
      <c r="K21" s="186">
        <f t="shared" si="6"/>
        <v>1.3617290859962458E-3</v>
      </c>
      <c r="M21" s="179">
        <v>2012</v>
      </c>
      <c r="N21" s="182">
        <v>419449</v>
      </c>
      <c r="O21" s="183">
        <f t="shared" si="4"/>
        <v>848016</v>
      </c>
      <c r="P21" s="183">
        <f t="shared" si="4"/>
        <v>925269</v>
      </c>
      <c r="Q21" s="183">
        <f t="shared" si="4"/>
        <v>979045</v>
      </c>
      <c r="R21" s="183">
        <f t="shared" si="4"/>
        <v>1001307</v>
      </c>
      <c r="S21" s="183">
        <f t="shared" si="4"/>
        <v>1018956</v>
      </c>
      <c r="T21" s="183">
        <f t="shared" si="4"/>
        <v>1042093</v>
      </c>
      <c r="U21" s="184">
        <f t="shared" si="4"/>
        <v>1041417</v>
      </c>
      <c r="V21" s="187">
        <f t="shared" si="4"/>
        <v>1048623.9419483934</v>
      </c>
      <c r="W21" s="187">
        <f t="shared" si="4"/>
        <v>1048623.9433101225</v>
      </c>
      <c r="X21" s="185">
        <f t="shared" si="4"/>
        <v>1048623.9433101225</v>
      </c>
      <c r="Y21" s="133">
        <f>X21-U21</f>
        <v>7206.9433101224713</v>
      </c>
    </row>
    <row r="22" spans="1:25" x14ac:dyDescent="0.25">
      <c r="A22" s="180">
        <f t="shared" si="7"/>
        <v>2013</v>
      </c>
      <c r="B22" s="181">
        <v>407962</v>
      </c>
      <c r="C22" s="181">
        <f t="shared" si="5"/>
        <v>468081</v>
      </c>
      <c r="D22" s="181">
        <f>D7-C7</f>
        <v>123811</v>
      </c>
      <c r="E22" s="181">
        <f>E7-D7</f>
        <v>118744</v>
      </c>
      <c r="F22" s="181">
        <f>F7-E7</f>
        <v>113044</v>
      </c>
      <c r="G22" s="181">
        <f>G7-F7</f>
        <v>-3961</v>
      </c>
      <c r="H22" s="181">
        <f>H7-G7</f>
        <v>17114</v>
      </c>
      <c r="I22" s="188">
        <f t="shared" ref="I22:I28" si="9">EXP($D$114+$D$133+D118)</f>
        <v>3603.2806459041294</v>
      </c>
      <c r="J22" s="188">
        <f t="shared" si="8"/>
        <v>7697.1083627131529</v>
      </c>
      <c r="K22" s="186">
        <f t="shared" si="6"/>
        <v>1.4543444932157464E-3</v>
      </c>
      <c r="M22" s="179">
        <v>2013</v>
      </c>
      <c r="N22" s="182">
        <v>407962</v>
      </c>
      <c r="O22" s="183">
        <f t="shared" si="4"/>
        <v>876043</v>
      </c>
      <c r="P22" s="183">
        <f t="shared" si="4"/>
        <v>999854</v>
      </c>
      <c r="Q22" s="183">
        <f t="shared" si="4"/>
        <v>1118598</v>
      </c>
      <c r="R22" s="183">
        <f t="shared" si="4"/>
        <v>1231642</v>
      </c>
      <c r="S22" s="183">
        <f t="shared" si="4"/>
        <v>1227681</v>
      </c>
      <c r="T22" s="184">
        <f t="shared" si="4"/>
        <v>1244795</v>
      </c>
      <c r="U22" s="187">
        <f t="shared" si="4"/>
        <v>1248398.2806459041</v>
      </c>
      <c r="V22" s="187">
        <f t="shared" si="4"/>
        <v>1256095.3890086173</v>
      </c>
      <c r="W22" s="187">
        <f t="shared" si="4"/>
        <v>1256095.3904629617</v>
      </c>
      <c r="X22" s="185">
        <f t="shared" si="4"/>
        <v>1256095.3904629617</v>
      </c>
      <c r="Y22" s="133">
        <f>X22-T22</f>
        <v>11300.390462961746</v>
      </c>
    </row>
    <row r="23" spans="1:25" x14ac:dyDescent="0.25">
      <c r="A23" s="180">
        <f t="shared" si="7"/>
        <v>2014</v>
      </c>
      <c r="B23" s="181">
        <v>432585</v>
      </c>
      <c r="C23" s="181">
        <f t="shared" si="5"/>
        <v>415008</v>
      </c>
      <c r="D23" s="181">
        <f>D8-C8</f>
        <v>113969</v>
      </c>
      <c r="E23" s="181">
        <f>E8-D8</f>
        <v>47508</v>
      </c>
      <c r="F23" s="181">
        <f>F8-E8</f>
        <v>108499</v>
      </c>
      <c r="G23" s="181">
        <f>G8-F8</f>
        <v>7032</v>
      </c>
      <c r="H23" s="188">
        <f t="shared" ref="H23:H28" si="10">EXP($D$114+$D$132+D119)</f>
        <v>11658.607180708424</v>
      </c>
      <c r="I23" s="188">
        <f t="shared" si="9"/>
        <v>3434.751985959088</v>
      </c>
      <c r="J23" s="188">
        <f t="shared" si="8"/>
        <v>7337.1077173861404</v>
      </c>
      <c r="K23" s="186">
        <f t="shared" si="6"/>
        <v>1.3863234999526473E-3</v>
      </c>
      <c r="M23" s="179">
        <v>2014</v>
      </c>
      <c r="N23" s="182">
        <v>432585</v>
      </c>
      <c r="O23" s="183">
        <f t="shared" si="4"/>
        <v>847593</v>
      </c>
      <c r="P23" s="183">
        <f t="shared" si="4"/>
        <v>961562</v>
      </c>
      <c r="Q23" s="183">
        <f t="shared" si="4"/>
        <v>1009070</v>
      </c>
      <c r="R23" s="183">
        <f t="shared" si="4"/>
        <v>1117569</v>
      </c>
      <c r="S23" s="184">
        <f t="shared" si="4"/>
        <v>1124601</v>
      </c>
      <c r="T23" s="187">
        <f t="shared" si="4"/>
        <v>1136259.6071807083</v>
      </c>
      <c r="U23" s="187">
        <f t="shared" si="4"/>
        <v>1139694.3591666673</v>
      </c>
      <c r="V23" s="187">
        <f t="shared" si="4"/>
        <v>1147031.4668840535</v>
      </c>
      <c r="W23" s="187">
        <f t="shared" si="4"/>
        <v>1147031.468270377</v>
      </c>
      <c r="X23" s="185">
        <f t="shared" si="4"/>
        <v>1147031.468270377</v>
      </c>
      <c r="Y23" s="133">
        <f>X23-S23</f>
        <v>22430.468270377023</v>
      </c>
    </row>
    <row r="24" spans="1:25" x14ac:dyDescent="0.25">
      <c r="A24" s="180">
        <f t="shared" si="7"/>
        <v>2015</v>
      </c>
      <c r="B24" s="181">
        <v>409188</v>
      </c>
      <c r="C24" s="181">
        <f t="shared" si="5"/>
        <v>455404</v>
      </c>
      <c r="D24" s="181">
        <f>D9-C9</f>
        <v>96176</v>
      </c>
      <c r="E24" s="181">
        <f>E9-D9</f>
        <v>79595</v>
      </c>
      <c r="F24" s="181">
        <f>F9-E9</f>
        <v>24441</v>
      </c>
      <c r="G24" s="188">
        <f>EXP($D$114+$D$131+D120)</f>
        <v>5299.1409420652008</v>
      </c>
      <c r="H24" s="188">
        <f t="shared" si="10"/>
        <v>11787.559798826245</v>
      </c>
      <c r="I24" s="188">
        <f t="shared" si="9"/>
        <v>3472.7428243422278</v>
      </c>
      <c r="J24" s="188">
        <f t="shared" si="8"/>
        <v>7418.2614293951528</v>
      </c>
      <c r="K24" s="186">
        <f t="shared" si="6"/>
        <v>1.4016572394042158E-3</v>
      </c>
      <c r="M24" s="179">
        <v>2015</v>
      </c>
      <c r="N24" s="182">
        <v>409188</v>
      </c>
      <c r="O24" s="183">
        <f t="shared" si="4"/>
        <v>864592</v>
      </c>
      <c r="P24" s="183">
        <f t="shared" si="4"/>
        <v>960768</v>
      </c>
      <c r="Q24" s="183">
        <f t="shared" si="4"/>
        <v>1040363</v>
      </c>
      <c r="R24" s="184">
        <f t="shared" si="4"/>
        <v>1064804</v>
      </c>
      <c r="S24" s="187">
        <f t="shared" si="4"/>
        <v>1070103.1409420653</v>
      </c>
      <c r="T24" s="187">
        <f t="shared" si="4"/>
        <v>1081890.7007408915</v>
      </c>
      <c r="U24" s="187">
        <f t="shared" si="4"/>
        <v>1085363.4435652338</v>
      </c>
      <c r="V24" s="187">
        <f t="shared" si="4"/>
        <v>1092781.7049946289</v>
      </c>
      <c r="W24" s="187">
        <f t="shared" si="4"/>
        <v>1092781.7063962861</v>
      </c>
      <c r="X24" s="185">
        <f t="shared" si="4"/>
        <v>1092781.7063962861</v>
      </c>
      <c r="Y24" s="133">
        <f>X24-R24</f>
        <v>27977.706396286143</v>
      </c>
    </row>
    <row r="25" spans="1:25" x14ac:dyDescent="0.25">
      <c r="A25" s="180">
        <f t="shared" si="7"/>
        <v>2016</v>
      </c>
      <c r="B25" s="181">
        <v>424180</v>
      </c>
      <c r="C25" s="181">
        <f t="shared" si="5"/>
        <v>440132</v>
      </c>
      <c r="D25" s="181">
        <f>D10-C10</f>
        <v>113618</v>
      </c>
      <c r="E25" s="181">
        <f>E10-D10</f>
        <v>48713</v>
      </c>
      <c r="F25" s="188">
        <f>EXP($D$114+$D$130+D121)</f>
        <v>48223.416424352916</v>
      </c>
      <c r="G25" s="188">
        <f>EXP($D$114+$D$131+D121)</f>
        <v>5306.5649349665391</v>
      </c>
      <c r="H25" s="188">
        <f t="shared" si="10"/>
        <v>11804.07393974594</v>
      </c>
      <c r="I25" s="188">
        <f t="shared" si="9"/>
        <v>3477.6080691730331</v>
      </c>
      <c r="J25" s="188">
        <f t="shared" si="8"/>
        <v>7428.6542686863149</v>
      </c>
      <c r="K25" s="186">
        <f t="shared" si="6"/>
        <v>1.4036209338047258E-3</v>
      </c>
      <c r="M25" s="179">
        <v>2016</v>
      </c>
      <c r="N25" s="182">
        <v>424180</v>
      </c>
      <c r="O25" s="183">
        <f t="shared" si="4"/>
        <v>864312</v>
      </c>
      <c r="P25" s="183">
        <f t="shared" si="4"/>
        <v>977930</v>
      </c>
      <c r="Q25" s="184">
        <f t="shared" si="4"/>
        <v>1026643</v>
      </c>
      <c r="R25" s="187">
        <f t="shared" si="4"/>
        <v>1074866.4164243529</v>
      </c>
      <c r="S25" s="187">
        <f t="shared" si="4"/>
        <v>1080172.9813593195</v>
      </c>
      <c r="T25" s="187">
        <f t="shared" si="4"/>
        <v>1091977.0552990655</v>
      </c>
      <c r="U25" s="187">
        <f t="shared" si="4"/>
        <v>1095454.6633682386</v>
      </c>
      <c r="V25" s="187">
        <f t="shared" si="4"/>
        <v>1102883.317636925</v>
      </c>
      <c r="W25" s="187">
        <f t="shared" si="4"/>
        <v>1102883.319040546</v>
      </c>
      <c r="X25" s="185">
        <f t="shared" si="4"/>
        <v>1102883.319040546</v>
      </c>
      <c r="Y25" s="133">
        <f>X25-Q25</f>
        <v>76240.319040545961</v>
      </c>
    </row>
    <row r="26" spans="1:25" x14ac:dyDescent="0.25">
      <c r="A26" s="180">
        <f t="shared" si="7"/>
        <v>2017</v>
      </c>
      <c r="B26" s="181">
        <v>442586</v>
      </c>
      <c r="C26" s="181">
        <f t="shared" si="5"/>
        <v>463392</v>
      </c>
      <c r="D26" s="181">
        <f>D11-C11</f>
        <v>110572</v>
      </c>
      <c r="E26" s="188">
        <f>EXP($D$114+D122+$D$129)</f>
        <v>64266.899795035148</v>
      </c>
      <c r="F26" s="188">
        <f>EXP($D$114+$D$130+D122)</f>
        <v>50544.024107377678</v>
      </c>
      <c r="G26" s="188">
        <f>EXP($D$114+$D$131+D122)</f>
        <v>5561.9275009487847</v>
      </c>
      <c r="H26" s="188">
        <f t="shared" si="10"/>
        <v>12372.109693051329</v>
      </c>
      <c r="I26" s="188">
        <f t="shared" si="9"/>
        <v>3644.9575562532636</v>
      </c>
      <c r="J26" s="188">
        <f t="shared" si="8"/>
        <v>7786.1360368536652</v>
      </c>
      <c r="K26" s="186">
        <f t="shared" si="6"/>
        <v>1.4711659931256711E-3</v>
      </c>
      <c r="M26" s="179">
        <v>2017</v>
      </c>
      <c r="N26" s="182">
        <v>442586</v>
      </c>
      <c r="O26" s="183">
        <f t="shared" si="4"/>
        <v>905978</v>
      </c>
      <c r="P26" s="184">
        <f t="shared" si="4"/>
        <v>1016550</v>
      </c>
      <c r="Q26" s="187">
        <f t="shared" si="4"/>
        <v>1080816.8997950351</v>
      </c>
      <c r="R26" s="187">
        <f t="shared" si="4"/>
        <v>1131360.9239024129</v>
      </c>
      <c r="S26" s="187">
        <f t="shared" si="4"/>
        <v>1136922.8514033617</v>
      </c>
      <c r="T26" s="187">
        <f t="shared" si="4"/>
        <v>1149294.961096413</v>
      </c>
      <c r="U26" s="187">
        <f t="shared" si="4"/>
        <v>1152939.9186526663</v>
      </c>
      <c r="V26" s="187">
        <f t="shared" si="4"/>
        <v>1160726.05468952</v>
      </c>
      <c r="W26" s="187">
        <f t="shared" si="4"/>
        <v>1160726.0561606861</v>
      </c>
      <c r="X26" s="185">
        <f t="shared" si="4"/>
        <v>1160726.0561606861</v>
      </c>
      <c r="Y26" s="133">
        <f>X26-P26</f>
        <v>144176.05616068607</v>
      </c>
    </row>
    <row r="27" spans="1:25" x14ac:dyDescent="0.25">
      <c r="A27" s="180">
        <f t="shared" si="7"/>
        <v>2018</v>
      </c>
      <c r="B27" s="181">
        <v>455111</v>
      </c>
      <c r="C27" s="181">
        <f t="shared" si="5"/>
        <v>500198</v>
      </c>
      <c r="D27" s="188">
        <f>EXP(D114+D123+D128)</f>
        <v>115024.45075421385</v>
      </c>
      <c r="E27" s="188">
        <f>EXP($D$114+D123+$D$129)</f>
        <v>67792.035735454469</v>
      </c>
      <c r="F27" s="188">
        <f>EXP($D$114+$D$130+D123)</f>
        <v>53316.439713585314</v>
      </c>
      <c r="G27" s="188">
        <f>EXP($D$114+$D$131+D123)</f>
        <v>5867.0075747368764</v>
      </c>
      <c r="H27" s="188">
        <f t="shared" si="10"/>
        <v>13050.738484495767</v>
      </c>
      <c r="I27" s="188">
        <f t="shared" si="9"/>
        <v>3844.8889505453531</v>
      </c>
      <c r="J27" s="188">
        <f t="shared" si="8"/>
        <v>8213.2172881361075</v>
      </c>
      <c r="K27" s="186">
        <f t="shared" si="6"/>
        <v>1.5518616565734142E-3</v>
      </c>
      <c r="M27" s="179">
        <v>2018</v>
      </c>
      <c r="N27" s="182">
        <v>455111</v>
      </c>
      <c r="O27" s="184">
        <f t="shared" si="4"/>
        <v>955309</v>
      </c>
      <c r="P27" s="187">
        <f t="shared" si="4"/>
        <v>1070333.4507542138</v>
      </c>
      <c r="Q27" s="187">
        <f t="shared" si="4"/>
        <v>1138125.4864896683</v>
      </c>
      <c r="R27" s="187">
        <f t="shared" si="4"/>
        <v>1191441.9262032537</v>
      </c>
      <c r="S27" s="187">
        <f t="shared" si="4"/>
        <v>1197308.9337779905</v>
      </c>
      <c r="T27" s="187">
        <f t="shared" si="4"/>
        <v>1210359.6722624863</v>
      </c>
      <c r="U27" s="187">
        <f t="shared" si="4"/>
        <v>1214204.5612130316</v>
      </c>
      <c r="V27" s="187">
        <f t="shared" si="4"/>
        <v>1222417.7785011677</v>
      </c>
      <c r="W27" s="187">
        <f t="shared" si="4"/>
        <v>1222417.7800530293</v>
      </c>
      <c r="X27" s="185">
        <f t="shared" si="4"/>
        <v>1222417.7800530293</v>
      </c>
      <c r="Y27" s="133">
        <f>X27-O27</f>
        <v>267108.7800530293</v>
      </c>
    </row>
    <row r="28" spans="1:25" x14ac:dyDescent="0.25">
      <c r="A28" s="180">
        <f t="shared" si="7"/>
        <v>2019</v>
      </c>
      <c r="B28" s="181">
        <v>462761</v>
      </c>
      <c r="C28" s="189">
        <f>EXP(D114+D127)</f>
        <v>492278.55305027997</v>
      </c>
      <c r="D28" s="188">
        <f>EXP(D114+D128)</f>
        <v>114932.46799162126</v>
      </c>
      <c r="E28" s="188">
        <f>EXP($D$114+$D$129)</f>
        <v>67737.82379453379</v>
      </c>
      <c r="F28" s="188">
        <f>EXP($D$114+$D$130+D124)</f>
        <v>53273.803618526399</v>
      </c>
      <c r="G28" s="188">
        <f>EXP($D$114+$D$131+D124)</f>
        <v>5862.3158456189603</v>
      </c>
      <c r="H28" s="188">
        <f t="shared" si="10"/>
        <v>13040.302068831046</v>
      </c>
      <c r="I28" s="188">
        <f t="shared" si="9"/>
        <v>3841.8142694213498</v>
      </c>
      <c r="J28" s="188">
        <f t="shared" si="8"/>
        <v>8206.6493418344107</v>
      </c>
      <c r="K28" s="186">
        <f t="shared" si="6"/>
        <v>1.5506206637114868E-3</v>
      </c>
      <c r="M28" s="179">
        <v>2019</v>
      </c>
      <c r="N28" s="190">
        <v>462761</v>
      </c>
      <c r="O28" s="191">
        <f t="shared" si="4"/>
        <v>955039.55305027997</v>
      </c>
      <c r="P28" s="191">
        <f>O28+D28</f>
        <v>1069972.0210419013</v>
      </c>
      <c r="Q28" s="191">
        <f t="shared" si="4"/>
        <v>1137709.844836435</v>
      </c>
      <c r="R28" s="191">
        <f t="shared" si="4"/>
        <v>1190983.6484549614</v>
      </c>
      <c r="S28" s="191">
        <f t="shared" si="4"/>
        <v>1196845.9643005803</v>
      </c>
      <c r="T28" s="191">
        <f t="shared" si="4"/>
        <v>1209886.2663694113</v>
      </c>
      <c r="U28" s="191">
        <f t="shared" si="4"/>
        <v>1213728.0806388326</v>
      </c>
      <c r="V28" s="191">
        <f t="shared" si="4"/>
        <v>1221934.7299806671</v>
      </c>
      <c r="W28" s="191">
        <f t="shared" si="4"/>
        <v>1221934.7315312878</v>
      </c>
      <c r="X28" s="192">
        <f t="shared" si="4"/>
        <v>1221934.7315312878</v>
      </c>
      <c r="Y28" s="133">
        <f>X28-N28</f>
        <v>759173.73153128778</v>
      </c>
    </row>
    <row r="29" spans="1:25" x14ac:dyDescent="0.25">
      <c r="X29" s="193"/>
      <c r="Y29" s="134">
        <f>SUM(Y19:Y28)</f>
        <v>1315614.3967005876</v>
      </c>
    </row>
    <row r="30" spans="1:25" ht="15" customHeight="1" x14ac:dyDescent="0.25"/>
    <row r="31" spans="1:25" ht="30" customHeight="1" x14ac:dyDescent="0.25">
      <c r="A31" t="s">
        <v>215</v>
      </c>
      <c r="B31" t="s">
        <v>252</v>
      </c>
      <c r="C31" t="s">
        <v>217</v>
      </c>
    </row>
    <row r="32" spans="1:25" ht="15" customHeight="1" x14ac:dyDescent="0.25">
      <c r="A32">
        <v>2010</v>
      </c>
      <c r="B32">
        <v>1</v>
      </c>
      <c r="C32">
        <v>432782</v>
      </c>
    </row>
    <row r="33" spans="1:3" x14ac:dyDescent="0.25">
      <c r="A33">
        <v>2010</v>
      </c>
      <c r="B33">
        <v>2</v>
      </c>
      <c r="C33">
        <v>465342</v>
      </c>
    </row>
    <row r="34" spans="1:3" x14ac:dyDescent="0.25">
      <c r="A34">
        <v>2010</v>
      </c>
      <c r="B34">
        <v>3</v>
      </c>
      <c r="C34">
        <v>99207</v>
      </c>
    </row>
    <row r="35" spans="1:3" x14ac:dyDescent="0.25">
      <c r="A35">
        <v>2010</v>
      </c>
      <c r="B35">
        <v>4</v>
      </c>
      <c r="C35">
        <v>29888</v>
      </c>
    </row>
    <row r="36" spans="1:3" x14ac:dyDescent="0.25">
      <c r="A36">
        <v>2010</v>
      </c>
      <c r="B36">
        <v>5</v>
      </c>
      <c r="C36">
        <v>8277</v>
      </c>
    </row>
    <row r="37" spans="1:3" x14ac:dyDescent="0.25">
      <c r="A37">
        <v>2010</v>
      </c>
      <c r="B37">
        <v>6</v>
      </c>
      <c r="C37">
        <v>-4656</v>
      </c>
    </row>
    <row r="38" spans="1:3" x14ac:dyDescent="0.25">
      <c r="A38">
        <v>2010</v>
      </c>
      <c r="B38">
        <v>7</v>
      </c>
      <c r="C38">
        <v>7247</v>
      </c>
    </row>
    <row r="39" spans="1:3" x14ac:dyDescent="0.25">
      <c r="A39">
        <v>2010</v>
      </c>
      <c r="B39">
        <v>8</v>
      </c>
      <c r="C39">
        <v>4258</v>
      </c>
    </row>
    <row r="40" spans="1:3" x14ac:dyDescent="0.25">
      <c r="A40">
        <v>2010</v>
      </c>
      <c r="B40">
        <v>9</v>
      </c>
      <c r="C40">
        <v>-48</v>
      </c>
    </row>
    <row r="41" spans="1:3" x14ac:dyDescent="0.25">
      <c r="A41">
        <v>2010</v>
      </c>
      <c r="B41">
        <v>10</v>
      </c>
      <c r="C41">
        <v>-2696</v>
      </c>
    </row>
    <row r="42" spans="1:3" x14ac:dyDescent="0.25">
      <c r="A42">
        <v>2011</v>
      </c>
      <c r="B42">
        <v>1</v>
      </c>
      <c r="C42">
        <v>441759</v>
      </c>
    </row>
    <row r="43" spans="1:3" x14ac:dyDescent="0.25">
      <c r="A43">
        <v>2011</v>
      </c>
      <c r="B43">
        <v>2</v>
      </c>
      <c r="C43">
        <v>472232</v>
      </c>
    </row>
    <row r="44" spans="1:3" x14ac:dyDescent="0.25">
      <c r="A44">
        <v>2011</v>
      </c>
      <c r="B44">
        <v>3</v>
      </c>
      <c r="C44">
        <v>108909</v>
      </c>
    </row>
    <row r="45" spans="1:3" x14ac:dyDescent="0.25">
      <c r="A45">
        <v>2011</v>
      </c>
      <c r="B45">
        <v>4</v>
      </c>
      <c r="C45">
        <v>54297</v>
      </c>
    </row>
    <row r="46" spans="1:3" x14ac:dyDescent="0.25">
      <c r="A46">
        <v>2011</v>
      </c>
      <c r="B46">
        <v>5</v>
      </c>
      <c r="C46">
        <v>16680</v>
      </c>
    </row>
    <row r="47" spans="1:3" x14ac:dyDescent="0.25">
      <c r="A47">
        <v>2011</v>
      </c>
      <c r="B47">
        <v>6</v>
      </c>
      <c r="C47">
        <v>11539</v>
      </c>
    </row>
    <row r="48" spans="1:3" x14ac:dyDescent="0.25">
      <c r="A48">
        <v>2011</v>
      </c>
      <c r="B48">
        <v>7</v>
      </c>
      <c r="C48">
        <v>1553</v>
      </c>
    </row>
    <row r="49" spans="1:3" x14ac:dyDescent="0.25">
      <c r="A49">
        <v>2011</v>
      </c>
      <c r="B49">
        <v>8</v>
      </c>
      <c r="C49">
        <v>6719</v>
      </c>
    </row>
    <row r="50" spans="1:3" x14ac:dyDescent="0.25">
      <c r="A50">
        <v>2011</v>
      </c>
      <c r="B50">
        <v>9</v>
      </c>
      <c r="C50">
        <v>15292</v>
      </c>
    </row>
    <row r="51" spans="1:3" x14ac:dyDescent="0.25">
      <c r="A51">
        <v>2012</v>
      </c>
      <c r="B51">
        <v>1</v>
      </c>
      <c r="C51">
        <v>419449</v>
      </c>
    </row>
    <row r="52" spans="1:3" x14ac:dyDescent="0.25">
      <c r="A52">
        <v>2012</v>
      </c>
      <c r="B52">
        <v>2</v>
      </c>
      <c r="C52">
        <v>428567</v>
      </c>
    </row>
    <row r="53" spans="1:3" x14ac:dyDescent="0.25">
      <c r="A53">
        <v>2012</v>
      </c>
      <c r="B53">
        <v>3</v>
      </c>
      <c r="C53">
        <v>77253</v>
      </c>
    </row>
    <row r="54" spans="1:3" x14ac:dyDescent="0.25">
      <c r="A54">
        <v>2012</v>
      </c>
      <c r="B54">
        <v>4</v>
      </c>
      <c r="C54">
        <v>53776</v>
      </c>
    </row>
    <row r="55" spans="1:3" x14ac:dyDescent="0.25">
      <c r="A55">
        <v>2012</v>
      </c>
      <c r="B55">
        <v>5</v>
      </c>
      <c r="C55">
        <v>22262</v>
      </c>
    </row>
    <row r="56" spans="1:3" x14ac:dyDescent="0.25">
      <c r="A56">
        <v>2012</v>
      </c>
      <c r="B56">
        <v>6</v>
      </c>
      <c r="C56">
        <v>17649</v>
      </c>
    </row>
    <row r="57" spans="1:3" x14ac:dyDescent="0.25">
      <c r="A57">
        <v>2012</v>
      </c>
      <c r="B57">
        <v>7</v>
      </c>
      <c r="C57">
        <v>23137</v>
      </c>
    </row>
    <row r="58" spans="1:3" x14ac:dyDescent="0.25">
      <c r="A58">
        <v>2012</v>
      </c>
      <c r="B58">
        <v>8</v>
      </c>
      <c r="C58">
        <v>-676</v>
      </c>
    </row>
    <row r="59" spans="1:3" x14ac:dyDescent="0.25">
      <c r="A59">
        <v>2013</v>
      </c>
      <c r="B59">
        <v>1</v>
      </c>
      <c r="C59">
        <v>407962</v>
      </c>
    </row>
    <row r="60" spans="1:3" x14ac:dyDescent="0.25">
      <c r="A60">
        <v>2013</v>
      </c>
      <c r="B60">
        <v>2</v>
      </c>
      <c r="C60">
        <v>468081</v>
      </c>
    </row>
    <row r="61" spans="1:3" x14ac:dyDescent="0.25">
      <c r="A61">
        <v>2013</v>
      </c>
      <c r="B61">
        <v>3</v>
      </c>
      <c r="C61">
        <v>123811</v>
      </c>
    </row>
    <row r="62" spans="1:3" x14ac:dyDescent="0.25">
      <c r="A62">
        <v>2013</v>
      </c>
      <c r="B62">
        <v>4</v>
      </c>
      <c r="C62">
        <v>118744</v>
      </c>
    </row>
    <row r="63" spans="1:3" x14ac:dyDescent="0.25">
      <c r="A63">
        <v>2013</v>
      </c>
      <c r="B63">
        <v>5</v>
      </c>
      <c r="C63">
        <v>113044</v>
      </c>
    </row>
    <row r="64" spans="1:3" x14ac:dyDescent="0.25">
      <c r="A64">
        <v>2013</v>
      </c>
      <c r="B64">
        <v>6</v>
      </c>
      <c r="C64">
        <v>-3961</v>
      </c>
    </row>
    <row r="65" spans="1:3" x14ac:dyDescent="0.25">
      <c r="A65">
        <v>2013</v>
      </c>
      <c r="B65">
        <v>7</v>
      </c>
      <c r="C65">
        <v>17114</v>
      </c>
    </row>
    <row r="66" spans="1:3" x14ac:dyDescent="0.25">
      <c r="A66">
        <v>2014</v>
      </c>
      <c r="B66">
        <v>1</v>
      </c>
      <c r="C66">
        <v>432585</v>
      </c>
    </row>
    <row r="67" spans="1:3" x14ac:dyDescent="0.25">
      <c r="A67">
        <v>2014</v>
      </c>
      <c r="B67">
        <v>2</v>
      </c>
      <c r="C67">
        <v>415008</v>
      </c>
    </row>
    <row r="68" spans="1:3" x14ac:dyDescent="0.25">
      <c r="A68">
        <v>2014</v>
      </c>
      <c r="B68">
        <v>3</v>
      </c>
      <c r="C68">
        <v>113969</v>
      </c>
    </row>
    <row r="69" spans="1:3" x14ac:dyDescent="0.25">
      <c r="A69">
        <v>2014</v>
      </c>
      <c r="B69">
        <v>4</v>
      </c>
      <c r="C69">
        <v>47508</v>
      </c>
    </row>
    <row r="70" spans="1:3" x14ac:dyDescent="0.25">
      <c r="A70">
        <v>2014</v>
      </c>
      <c r="B70">
        <v>5</v>
      </c>
      <c r="C70">
        <v>108499</v>
      </c>
    </row>
    <row r="71" spans="1:3" x14ac:dyDescent="0.25">
      <c r="A71">
        <v>2014</v>
      </c>
      <c r="B71">
        <v>6</v>
      </c>
      <c r="C71">
        <v>7032</v>
      </c>
    </row>
    <row r="72" spans="1:3" x14ac:dyDescent="0.25">
      <c r="A72">
        <v>2015</v>
      </c>
      <c r="B72">
        <v>1</v>
      </c>
      <c r="C72">
        <v>409188</v>
      </c>
    </row>
    <row r="73" spans="1:3" x14ac:dyDescent="0.25">
      <c r="A73">
        <v>2015</v>
      </c>
      <c r="B73">
        <v>2</v>
      </c>
      <c r="C73">
        <v>455404</v>
      </c>
    </row>
    <row r="74" spans="1:3" x14ac:dyDescent="0.25">
      <c r="A74">
        <v>2015</v>
      </c>
      <c r="B74">
        <v>3</v>
      </c>
      <c r="C74">
        <v>96176</v>
      </c>
    </row>
    <row r="75" spans="1:3" x14ac:dyDescent="0.25">
      <c r="A75">
        <v>2015</v>
      </c>
      <c r="B75">
        <v>4</v>
      </c>
      <c r="C75">
        <v>79595</v>
      </c>
    </row>
    <row r="76" spans="1:3" x14ac:dyDescent="0.25">
      <c r="A76">
        <v>2015</v>
      </c>
      <c r="B76">
        <v>5</v>
      </c>
      <c r="C76">
        <v>24441</v>
      </c>
    </row>
    <row r="77" spans="1:3" x14ac:dyDescent="0.25">
      <c r="A77">
        <v>2016</v>
      </c>
      <c r="B77">
        <v>1</v>
      </c>
      <c r="C77">
        <v>424180</v>
      </c>
    </row>
    <row r="78" spans="1:3" x14ac:dyDescent="0.25">
      <c r="A78">
        <v>2016</v>
      </c>
      <c r="B78">
        <v>2</v>
      </c>
      <c r="C78">
        <v>440132</v>
      </c>
    </row>
    <row r="79" spans="1:3" x14ac:dyDescent="0.25">
      <c r="A79">
        <v>2016</v>
      </c>
      <c r="B79">
        <v>3</v>
      </c>
      <c r="C79">
        <v>113618</v>
      </c>
    </row>
    <row r="80" spans="1:3" x14ac:dyDescent="0.25">
      <c r="A80">
        <v>2016</v>
      </c>
      <c r="B80">
        <v>4</v>
      </c>
      <c r="C80">
        <v>48713</v>
      </c>
    </row>
    <row r="81" spans="1:4" x14ac:dyDescent="0.25">
      <c r="A81">
        <v>2017</v>
      </c>
      <c r="B81">
        <v>1</v>
      </c>
      <c r="C81">
        <v>442586</v>
      </c>
    </row>
    <row r="82" spans="1:4" x14ac:dyDescent="0.25">
      <c r="A82">
        <v>2017</v>
      </c>
      <c r="B82">
        <v>2</v>
      </c>
      <c r="C82">
        <v>463392</v>
      </c>
    </row>
    <row r="83" spans="1:4" x14ac:dyDescent="0.25">
      <c r="A83">
        <v>2017</v>
      </c>
      <c r="B83">
        <v>3</v>
      </c>
      <c r="C83">
        <v>110572</v>
      </c>
    </row>
    <row r="84" spans="1:4" x14ac:dyDescent="0.25">
      <c r="A84">
        <v>2018</v>
      </c>
      <c r="B84">
        <v>1</v>
      </c>
      <c r="C84">
        <v>455111</v>
      </c>
    </row>
    <row r="85" spans="1:4" x14ac:dyDescent="0.25">
      <c r="A85">
        <v>2018</v>
      </c>
      <c r="B85">
        <v>2</v>
      </c>
      <c r="C85">
        <v>500198</v>
      </c>
    </row>
    <row r="86" spans="1:4" x14ac:dyDescent="0.25">
      <c r="A86">
        <v>2019</v>
      </c>
      <c r="B86">
        <v>1</v>
      </c>
      <c r="C86">
        <v>462761</v>
      </c>
    </row>
    <row r="89" spans="1:4" ht="15" customHeight="1" x14ac:dyDescent="0.25"/>
    <row r="90" spans="1:4" ht="30" customHeight="1" x14ac:dyDescent="0.25"/>
    <row r="91" spans="1:4" ht="15" customHeight="1" x14ac:dyDescent="0.25">
      <c r="A91" s="194" t="s">
        <v>253</v>
      </c>
      <c r="B91" s="194"/>
      <c r="C91" s="194"/>
      <c r="D91" s="194"/>
    </row>
    <row r="92" spans="1:4" x14ac:dyDescent="0.25">
      <c r="A92" s="195" t="s">
        <v>254</v>
      </c>
      <c r="B92" s="195" t="s">
        <v>255</v>
      </c>
      <c r="C92" s="195" t="s">
        <v>256</v>
      </c>
      <c r="D92" s="195" t="s">
        <v>257</v>
      </c>
    </row>
    <row r="93" spans="1:4" x14ac:dyDescent="0.25">
      <c r="A93" s="195" t="s">
        <v>215</v>
      </c>
      <c r="B93" s="196">
        <v>8</v>
      </c>
      <c r="C93" s="196">
        <v>11.05</v>
      </c>
      <c r="D93" s="196">
        <v>0.1988</v>
      </c>
    </row>
    <row r="94" spans="1:4" x14ac:dyDescent="0.25">
      <c r="A94" s="195" t="s">
        <v>216</v>
      </c>
      <c r="B94" s="196">
        <v>7</v>
      </c>
      <c r="C94" s="196">
        <v>114.47</v>
      </c>
      <c r="D94" s="196" t="s">
        <v>258</v>
      </c>
    </row>
    <row r="97" spans="1:9" x14ac:dyDescent="0.25">
      <c r="A97" s="194" t="s">
        <v>259</v>
      </c>
      <c r="B97" s="194"/>
      <c r="C97" s="194"/>
      <c r="D97" s="194"/>
    </row>
    <row r="98" spans="1:9" x14ac:dyDescent="0.25">
      <c r="A98" s="195" t="s">
        <v>260</v>
      </c>
      <c r="B98" s="195" t="s">
        <v>255</v>
      </c>
      <c r="C98" s="195" t="s">
        <v>261</v>
      </c>
      <c r="D98" s="195" t="s">
        <v>262</v>
      </c>
    </row>
    <row r="99" spans="1:9" x14ac:dyDescent="0.25">
      <c r="A99" s="195" t="s">
        <v>263</v>
      </c>
      <c r="B99" s="196">
        <v>34</v>
      </c>
      <c r="C99" s="196">
        <v>9.4601000000000006</v>
      </c>
      <c r="D99" s="196">
        <v>0.2782</v>
      </c>
    </row>
    <row r="100" spans="1:9" x14ac:dyDescent="0.25">
      <c r="A100" s="195" t="s">
        <v>264</v>
      </c>
      <c r="B100" s="196">
        <v>34</v>
      </c>
      <c r="C100" s="196">
        <v>50</v>
      </c>
      <c r="D100" s="196">
        <v>1.4705999999999999</v>
      </c>
    </row>
    <row r="101" spans="1:9" x14ac:dyDescent="0.25">
      <c r="A101" s="195" t="s">
        <v>265</v>
      </c>
      <c r="B101" s="196">
        <v>34</v>
      </c>
      <c r="C101" s="196">
        <v>9.4601000000000006</v>
      </c>
      <c r="D101" s="196">
        <v>0.2782</v>
      </c>
    </row>
    <row r="102" spans="1:9" x14ac:dyDescent="0.25">
      <c r="A102" s="195" t="s">
        <v>266</v>
      </c>
      <c r="B102" s="196">
        <v>34</v>
      </c>
      <c r="C102" s="196">
        <v>50</v>
      </c>
      <c r="D102" s="196">
        <v>1.4705999999999999</v>
      </c>
    </row>
    <row r="103" spans="1:9" x14ac:dyDescent="0.25">
      <c r="A103" s="195" t="s">
        <v>267</v>
      </c>
      <c r="B103" s="196"/>
      <c r="C103" s="197">
        <v>-29.323399999999999</v>
      </c>
      <c r="D103" s="196"/>
    </row>
    <row r="104" spans="1:9" ht="30" x14ac:dyDescent="0.25">
      <c r="A104" s="195" t="s">
        <v>268</v>
      </c>
      <c r="B104" s="196"/>
      <c r="C104" s="197">
        <v>-29.323399999999999</v>
      </c>
      <c r="D104" s="196"/>
    </row>
    <row r="105" spans="1:9" ht="30" x14ac:dyDescent="0.25">
      <c r="A105" s="195" t="s">
        <v>269</v>
      </c>
      <c r="B105" s="196"/>
      <c r="C105" s="196">
        <v>92.646799999999999</v>
      </c>
      <c r="D105" s="196"/>
    </row>
    <row r="106" spans="1:9" ht="30" x14ac:dyDescent="0.25">
      <c r="A106" s="195" t="s">
        <v>270</v>
      </c>
      <c r="B106" s="196"/>
      <c r="C106" s="196">
        <v>111.7718</v>
      </c>
      <c r="D106" s="196"/>
    </row>
    <row r="107" spans="1:9" ht="30" x14ac:dyDescent="0.25">
      <c r="A107" s="195" t="s">
        <v>271</v>
      </c>
      <c r="B107" s="196"/>
      <c r="C107" s="196">
        <v>125.1512</v>
      </c>
      <c r="D107" s="100"/>
    </row>
    <row r="111" spans="1:9" x14ac:dyDescent="0.25">
      <c r="A111" s="198" t="s">
        <v>272</v>
      </c>
      <c r="B111" s="198"/>
      <c r="C111" s="198"/>
      <c r="D111" s="198"/>
      <c r="E111" s="198"/>
      <c r="F111" s="198"/>
      <c r="G111" s="198"/>
      <c r="H111" s="198"/>
      <c r="I111" s="198"/>
    </row>
    <row r="112" spans="1:9" x14ac:dyDescent="0.25">
      <c r="A112" s="198" t="s">
        <v>273</v>
      </c>
      <c r="B112" s="198"/>
      <c r="C112" s="198" t="s">
        <v>255</v>
      </c>
      <c r="D112" s="198" t="s">
        <v>274</v>
      </c>
      <c r="E112" s="199" t="s">
        <v>275</v>
      </c>
      <c r="F112" s="198" t="s">
        <v>276</v>
      </c>
      <c r="G112" s="198"/>
      <c r="H112" s="198" t="s">
        <v>277</v>
      </c>
      <c r="I112" s="198" t="s">
        <v>257</v>
      </c>
    </row>
    <row r="113" spans="1:9" ht="15" customHeight="1" x14ac:dyDescent="0.25">
      <c r="A113" s="198"/>
      <c r="B113" s="198"/>
      <c r="C113" s="198"/>
      <c r="D113" s="198"/>
      <c r="E113" s="199" t="s">
        <v>278</v>
      </c>
      <c r="F113" s="198" t="s">
        <v>279</v>
      </c>
      <c r="G113" s="198"/>
      <c r="H113" s="198"/>
      <c r="I113" s="198"/>
    </row>
    <row r="114" spans="1:9" x14ac:dyDescent="0.25">
      <c r="A114" s="199" t="s">
        <v>280</v>
      </c>
      <c r="B114" s="199"/>
      <c r="C114" s="200">
        <v>1</v>
      </c>
      <c r="D114" s="200">
        <v>9.0127000000000006</v>
      </c>
      <c r="E114" s="200">
        <v>1.7923</v>
      </c>
      <c r="F114" s="200">
        <v>5.4999000000000002</v>
      </c>
      <c r="G114" s="200">
        <v>12.525499999999999</v>
      </c>
      <c r="H114" s="200">
        <v>25.29</v>
      </c>
      <c r="I114" s="200" t="s">
        <v>258</v>
      </c>
    </row>
    <row r="115" spans="1:9" x14ac:dyDescent="0.25">
      <c r="A115" s="199" t="s">
        <v>215</v>
      </c>
      <c r="B115" s="199">
        <v>2010</v>
      </c>
      <c r="C115" s="200">
        <v>1</v>
      </c>
      <c r="D115" s="201">
        <v>-7.4099999999999999E-2</v>
      </c>
      <c r="E115" s="200">
        <v>5.33E-2</v>
      </c>
      <c r="F115" s="201">
        <v>-0.1787</v>
      </c>
      <c r="G115" s="200">
        <v>3.04E-2</v>
      </c>
      <c r="H115" s="200">
        <v>1.93</v>
      </c>
      <c r="I115" s="200">
        <v>0.1646</v>
      </c>
    </row>
    <row r="116" spans="1:9" x14ac:dyDescent="0.25">
      <c r="A116" s="199" t="s">
        <v>215</v>
      </c>
      <c r="B116" s="199">
        <v>2011</v>
      </c>
      <c r="C116" s="200">
        <v>1</v>
      </c>
      <c r="D116" s="201">
        <v>-4.9799999999999997E-2</v>
      </c>
      <c r="E116" s="200">
        <v>5.2900000000000003E-2</v>
      </c>
      <c r="F116" s="201">
        <v>-0.1535</v>
      </c>
      <c r="G116" s="200">
        <v>5.3900000000000003E-2</v>
      </c>
      <c r="H116" s="200">
        <v>0.89</v>
      </c>
      <c r="I116" s="200">
        <v>0.34649999999999997</v>
      </c>
    </row>
    <row r="117" spans="1:9" x14ac:dyDescent="0.25">
      <c r="A117" s="199" t="s">
        <v>215</v>
      </c>
      <c r="B117" s="199">
        <v>2012</v>
      </c>
      <c r="C117" s="200">
        <v>1</v>
      </c>
      <c r="D117" s="201">
        <v>-0.12989999999999999</v>
      </c>
      <c r="E117" s="200">
        <v>5.4399999999999997E-2</v>
      </c>
      <c r="F117" s="201">
        <v>-0.23649999999999999</v>
      </c>
      <c r="G117" s="201">
        <v>-2.3300000000000001E-2</v>
      </c>
      <c r="H117" s="200">
        <v>5.71</v>
      </c>
      <c r="I117" s="200">
        <v>1.6899999999999998E-2</v>
      </c>
    </row>
    <row r="118" spans="1:9" x14ac:dyDescent="0.25">
      <c r="A118" s="199" t="s">
        <v>215</v>
      </c>
      <c r="B118" s="199">
        <v>2013</v>
      </c>
      <c r="C118" s="200">
        <v>1</v>
      </c>
      <c r="D118" s="201">
        <v>-6.4100000000000004E-2</v>
      </c>
      <c r="E118" s="200">
        <v>5.2999999999999999E-2</v>
      </c>
      <c r="F118" s="201">
        <v>-0.16800000000000001</v>
      </c>
      <c r="G118" s="200">
        <v>3.9899999999999998E-2</v>
      </c>
      <c r="H118" s="200">
        <v>1.46</v>
      </c>
      <c r="I118" s="200">
        <v>0.22689999999999999</v>
      </c>
    </row>
    <row r="119" spans="1:9" ht="15" customHeight="1" x14ac:dyDescent="0.25">
      <c r="A119" s="199" t="s">
        <v>215</v>
      </c>
      <c r="B119" s="199">
        <v>2014</v>
      </c>
      <c r="C119" s="200">
        <v>1</v>
      </c>
      <c r="D119" s="201">
        <v>-0.112</v>
      </c>
      <c r="E119" s="200">
        <v>5.4100000000000002E-2</v>
      </c>
      <c r="F119" s="201">
        <v>-0.21790000000000001</v>
      </c>
      <c r="G119" s="201">
        <v>-6.0000000000000001E-3</v>
      </c>
      <c r="H119" s="200">
        <v>4.29</v>
      </c>
      <c r="I119" s="200">
        <v>3.8399999999999997E-2</v>
      </c>
    </row>
    <row r="120" spans="1:9" x14ac:dyDescent="0.25">
      <c r="A120" s="199" t="s">
        <v>215</v>
      </c>
      <c r="B120" s="199">
        <v>2015</v>
      </c>
      <c r="C120" s="200">
        <v>1</v>
      </c>
      <c r="D120" s="201">
        <v>-0.10100000000000001</v>
      </c>
      <c r="E120" s="200">
        <v>5.3699999999999998E-2</v>
      </c>
      <c r="F120" s="201">
        <v>-0.20630000000000001</v>
      </c>
      <c r="G120" s="200">
        <v>4.3E-3</v>
      </c>
      <c r="H120" s="200">
        <v>3.53</v>
      </c>
      <c r="I120" s="200">
        <v>6.0199999999999997E-2</v>
      </c>
    </row>
    <row r="121" spans="1:9" x14ac:dyDescent="0.25">
      <c r="A121" s="199" t="s">
        <v>215</v>
      </c>
      <c r="B121" s="199">
        <v>2016</v>
      </c>
      <c r="C121" s="200">
        <v>1</v>
      </c>
      <c r="D121" s="201">
        <v>-9.9599999999999994E-2</v>
      </c>
      <c r="E121" s="200">
        <v>5.3800000000000001E-2</v>
      </c>
      <c r="F121" s="201">
        <v>-0.2051</v>
      </c>
      <c r="G121" s="200">
        <v>5.8999999999999999E-3</v>
      </c>
      <c r="H121" s="200">
        <v>3.43</v>
      </c>
      <c r="I121" s="200">
        <v>6.4199999999999993E-2</v>
      </c>
    </row>
    <row r="122" spans="1:9" x14ac:dyDescent="0.25">
      <c r="A122" s="199" t="s">
        <v>215</v>
      </c>
      <c r="B122" s="199">
        <v>2017</v>
      </c>
      <c r="C122" s="200">
        <v>1</v>
      </c>
      <c r="D122" s="201">
        <v>-5.2600000000000001E-2</v>
      </c>
      <c r="E122" s="200">
        <v>5.3100000000000001E-2</v>
      </c>
      <c r="F122" s="201">
        <v>-0.15659999999999999</v>
      </c>
      <c r="G122" s="200">
        <v>5.1400000000000001E-2</v>
      </c>
      <c r="H122" s="200">
        <v>0.98</v>
      </c>
      <c r="I122" s="200">
        <v>0.3216</v>
      </c>
    </row>
    <row r="123" spans="1:9" x14ac:dyDescent="0.25">
      <c r="A123" s="199" t="s">
        <v>215</v>
      </c>
      <c r="B123" s="199">
        <v>2018</v>
      </c>
      <c r="C123" s="200">
        <v>1</v>
      </c>
      <c r="D123" s="200">
        <v>8.0000000000000004E-4</v>
      </c>
      <c r="E123" s="200">
        <v>5.2299999999999999E-2</v>
      </c>
      <c r="F123" s="201">
        <v>-0.1018</v>
      </c>
      <c r="G123" s="200">
        <v>0.1033</v>
      </c>
      <c r="H123" s="200">
        <v>0</v>
      </c>
      <c r="I123" s="200">
        <v>0.98809999999999998</v>
      </c>
    </row>
    <row r="124" spans="1:9" x14ac:dyDescent="0.25">
      <c r="A124" s="199" t="s">
        <v>215</v>
      </c>
      <c r="B124" s="199">
        <v>2019</v>
      </c>
      <c r="C124" s="200">
        <v>0</v>
      </c>
      <c r="D124" s="200">
        <v>0</v>
      </c>
      <c r="E124" s="200">
        <v>0</v>
      </c>
      <c r="F124" s="200">
        <v>0</v>
      </c>
      <c r="G124" s="200">
        <v>0</v>
      </c>
      <c r="H124" s="200" t="s">
        <v>281</v>
      </c>
      <c r="I124" s="200" t="s">
        <v>281</v>
      </c>
    </row>
    <row r="125" spans="1:9" x14ac:dyDescent="0.25">
      <c r="A125" s="199" t="s">
        <v>216</v>
      </c>
      <c r="B125" s="199">
        <v>1</v>
      </c>
      <c r="C125" s="200">
        <v>1</v>
      </c>
      <c r="D125" s="200">
        <v>4.0323000000000002</v>
      </c>
      <c r="E125" s="200">
        <v>1.7918000000000001</v>
      </c>
      <c r="F125" s="200">
        <v>0.52039999999999997</v>
      </c>
      <c r="G125" s="200">
        <v>7.5441000000000003</v>
      </c>
      <c r="H125" s="200">
        <v>5.0599999999999996</v>
      </c>
      <c r="I125" s="200">
        <v>2.4400000000000002E-2</v>
      </c>
    </row>
    <row r="126" spans="1:9" x14ac:dyDescent="0.25">
      <c r="A126" s="199" t="s">
        <v>216</v>
      </c>
      <c r="B126" s="199">
        <v>10</v>
      </c>
      <c r="C126" s="200">
        <v>1</v>
      </c>
      <c r="D126" s="201">
        <v>-15.4818</v>
      </c>
      <c r="E126" s="200">
        <v>9920.4519999999993</v>
      </c>
      <c r="F126" s="201">
        <v>-19459.2</v>
      </c>
      <c r="G126" s="200">
        <v>19428.25</v>
      </c>
      <c r="H126" s="200">
        <v>0</v>
      </c>
      <c r="I126" s="200">
        <v>0.99880000000000002</v>
      </c>
    </row>
    <row r="127" spans="1:9" x14ac:dyDescent="0.25">
      <c r="A127" s="199" t="s">
        <v>216</v>
      </c>
      <c r="B127" s="199">
        <v>2</v>
      </c>
      <c r="C127" s="200">
        <v>1</v>
      </c>
      <c r="D127" s="200">
        <v>4.0941000000000001</v>
      </c>
      <c r="E127" s="200">
        <v>1.7918000000000001</v>
      </c>
      <c r="F127" s="200">
        <v>0.58230000000000004</v>
      </c>
      <c r="G127" s="200">
        <v>7.6059999999999999</v>
      </c>
      <c r="H127" s="200">
        <v>5.22</v>
      </c>
      <c r="I127" s="200">
        <v>2.23E-2</v>
      </c>
    </row>
    <row r="128" spans="1:9" x14ac:dyDescent="0.25">
      <c r="A128" s="199" t="s">
        <v>216</v>
      </c>
      <c r="B128" s="199">
        <v>3</v>
      </c>
      <c r="C128" s="200">
        <v>1</v>
      </c>
      <c r="D128" s="200">
        <v>2.6394000000000002</v>
      </c>
      <c r="E128" s="200">
        <v>1.7928999999999999</v>
      </c>
      <c r="F128" s="201">
        <v>-0.87470000000000003</v>
      </c>
      <c r="G128" s="200">
        <v>6.1535000000000002</v>
      </c>
      <c r="H128" s="200">
        <v>2.17</v>
      </c>
      <c r="I128" s="200">
        <v>0.14099999999999999</v>
      </c>
    </row>
    <row r="129" spans="1:9" x14ac:dyDescent="0.25">
      <c r="A129" s="199" t="s">
        <v>216</v>
      </c>
      <c r="B129" s="199">
        <v>4</v>
      </c>
      <c r="C129" s="200">
        <v>1</v>
      </c>
      <c r="D129" s="200">
        <v>2.1107</v>
      </c>
      <c r="E129" s="200">
        <v>1.7957000000000001</v>
      </c>
      <c r="F129" s="201">
        <v>-1.4088000000000001</v>
      </c>
      <c r="G129" s="200">
        <v>5.6300999999999997</v>
      </c>
      <c r="H129" s="200">
        <v>1.38</v>
      </c>
      <c r="I129" s="200">
        <v>0.23980000000000001</v>
      </c>
    </row>
    <row r="130" spans="1:9" x14ac:dyDescent="0.25">
      <c r="A130" s="199" t="s">
        <v>216</v>
      </c>
      <c r="B130" s="199">
        <v>5</v>
      </c>
      <c r="C130" s="200">
        <v>1</v>
      </c>
      <c r="D130" s="200">
        <v>1.8705000000000001</v>
      </c>
      <c r="E130" s="200">
        <v>1.7990999999999999</v>
      </c>
      <c r="F130" s="201">
        <v>-1.6556999999999999</v>
      </c>
      <c r="G130" s="200">
        <v>5.3967999999999998</v>
      </c>
      <c r="H130" s="200">
        <v>1.08</v>
      </c>
      <c r="I130" s="200">
        <v>0.29849999999999999</v>
      </c>
    </row>
    <row r="131" spans="1:9" x14ac:dyDescent="0.25">
      <c r="A131" s="199" t="s">
        <v>216</v>
      </c>
      <c r="B131" s="199">
        <v>6</v>
      </c>
      <c r="C131" s="200">
        <v>1</v>
      </c>
      <c r="D131" s="201">
        <v>-0.33639999999999998</v>
      </c>
      <c r="E131" s="200">
        <v>2.4178000000000002</v>
      </c>
      <c r="F131" s="201">
        <v>-5.0751999999999997</v>
      </c>
      <c r="G131" s="200">
        <v>4.4024000000000001</v>
      </c>
      <c r="H131" s="200">
        <v>0.02</v>
      </c>
      <c r="I131" s="200">
        <v>0.88929999999999998</v>
      </c>
    </row>
    <row r="132" spans="1:9" x14ac:dyDescent="0.25">
      <c r="A132" s="199" t="s">
        <v>216</v>
      </c>
      <c r="B132" s="199">
        <v>7</v>
      </c>
      <c r="C132" s="200">
        <v>1</v>
      </c>
      <c r="D132" s="200">
        <v>0.46310000000000001</v>
      </c>
      <c r="E132" s="200">
        <v>1.9665999999999999</v>
      </c>
      <c r="F132" s="201">
        <v>-3.3913000000000002</v>
      </c>
      <c r="G132" s="200">
        <v>4.3174999999999999</v>
      </c>
      <c r="H132" s="200">
        <v>0.06</v>
      </c>
      <c r="I132" s="200">
        <v>0.81379999999999997</v>
      </c>
    </row>
    <row r="133" spans="1:9" x14ac:dyDescent="0.25">
      <c r="A133" s="199" t="s">
        <v>216</v>
      </c>
      <c r="B133" s="199">
        <v>8</v>
      </c>
      <c r="C133" s="200">
        <v>1</v>
      </c>
      <c r="D133" s="201">
        <v>-0.75900000000000001</v>
      </c>
      <c r="E133" s="200">
        <v>3.6616</v>
      </c>
      <c r="F133" s="201">
        <v>-7.9355000000000002</v>
      </c>
      <c r="G133" s="200">
        <v>6.4175000000000004</v>
      </c>
      <c r="H133" s="200">
        <v>0.04</v>
      </c>
      <c r="I133" s="200">
        <v>0.83579999999999999</v>
      </c>
    </row>
    <row r="134" spans="1:9" x14ac:dyDescent="0.25">
      <c r="A134" s="199" t="s">
        <v>216</v>
      </c>
      <c r="B134" s="199">
        <v>9</v>
      </c>
      <c r="C134" s="200">
        <v>0</v>
      </c>
      <c r="D134" s="200">
        <v>0</v>
      </c>
      <c r="E134" s="200">
        <v>0</v>
      </c>
      <c r="F134" s="200">
        <v>0</v>
      </c>
      <c r="G134" s="200">
        <v>0</v>
      </c>
      <c r="H134" s="200" t="s">
        <v>281</v>
      </c>
      <c r="I134" s="200" t="s">
        <v>281</v>
      </c>
    </row>
    <row r="135" spans="1:9" x14ac:dyDescent="0.25">
      <c r="A135" s="199" t="s">
        <v>282</v>
      </c>
      <c r="B135" s="199"/>
      <c r="C135" s="200">
        <v>1</v>
      </c>
      <c r="D135" s="200">
        <v>19545.97</v>
      </c>
      <c r="E135" s="200">
        <v>1863.635</v>
      </c>
      <c r="F135" s="200">
        <v>16214.3</v>
      </c>
      <c r="G135" s="200">
        <v>23562.21</v>
      </c>
      <c r="H135" s="200"/>
      <c r="I135" s="100"/>
    </row>
  </sheetData>
  <mergeCells count="18">
    <mergeCell ref="F113:G113"/>
    <mergeCell ref="A91:D91"/>
    <mergeCell ref="A97:D97"/>
    <mergeCell ref="A111:I111"/>
    <mergeCell ref="A112:A113"/>
    <mergeCell ref="B112:B113"/>
    <mergeCell ref="C112:C113"/>
    <mergeCell ref="D112:D113"/>
    <mergeCell ref="F112:G112"/>
    <mergeCell ref="H112:H113"/>
    <mergeCell ref="I112:I113"/>
    <mergeCell ref="B2:K2"/>
    <mergeCell ref="A16:K16"/>
    <mergeCell ref="M16:W16"/>
    <mergeCell ref="X16:X18"/>
    <mergeCell ref="Y16:Y18"/>
    <mergeCell ref="B17:K17"/>
    <mergeCell ref="N17:W1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8E23-6CB2-470A-85E7-6DCB14717A11}">
  <dimension ref="A1:O111"/>
  <sheetViews>
    <sheetView topLeftCell="A55" workbookViewId="0">
      <selection activeCell="F50" sqref="F50"/>
    </sheetView>
  </sheetViews>
  <sheetFormatPr baseColWidth="10" defaultRowHeight="15" x14ac:dyDescent="0.25"/>
  <sheetData>
    <row r="1" spans="1:15" ht="15.75" thickBot="1" x14ac:dyDescent="0.3">
      <c r="A1" s="100" t="s">
        <v>215</v>
      </c>
      <c r="B1" s="100" t="s">
        <v>216</v>
      </c>
      <c r="C1" s="100" t="s">
        <v>217</v>
      </c>
      <c r="E1" s="33" t="s">
        <v>137</v>
      </c>
      <c r="F1" s="2"/>
      <c r="G1" s="2"/>
      <c r="H1" s="2"/>
      <c r="I1" s="2"/>
      <c r="J1" s="2"/>
      <c r="K1" s="2"/>
      <c r="L1" s="2"/>
      <c r="M1" s="2"/>
      <c r="N1" s="2"/>
      <c r="O1" s="2"/>
    </row>
    <row r="2" spans="1:15" ht="15.75" thickBot="1" x14ac:dyDescent="0.3">
      <c r="A2" s="138">
        <v>2010</v>
      </c>
      <c r="B2" s="100">
        <v>1</v>
      </c>
      <c r="C2" s="139">
        <v>432782</v>
      </c>
      <c r="E2" s="20" t="s">
        <v>0</v>
      </c>
      <c r="F2" s="128" t="s">
        <v>1</v>
      </c>
      <c r="G2" s="129"/>
      <c r="H2" s="129"/>
      <c r="I2" s="129"/>
      <c r="J2" s="129"/>
      <c r="K2" s="129"/>
      <c r="L2" s="129"/>
      <c r="M2" s="129"/>
      <c r="N2" s="129"/>
      <c r="O2" s="130"/>
    </row>
    <row r="3" spans="1:15" ht="15.75" thickBot="1" x14ac:dyDescent="0.3">
      <c r="A3" s="138">
        <v>2010</v>
      </c>
      <c r="B3" s="100">
        <v>2</v>
      </c>
      <c r="C3" s="139">
        <v>898124</v>
      </c>
      <c r="E3" s="21" t="s">
        <v>2</v>
      </c>
      <c r="F3" s="3">
        <v>1</v>
      </c>
      <c r="G3" s="4">
        <v>2</v>
      </c>
      <c r="H3" s="4">
        <v>3</v>
      </c>
      <c r="I3" s="4">
        <v>4</v>
      </c>
      <c r="J3" s="4">
        <v>5</v>
      </c>
      <c r="K3" s="4">
        <v>6</v>
      </c>
      <c r="L3" s="4">
        <v>7</v>
      </c>
      <c r="M3" s="4">
        <v>8</v>
      </c>
      <c r="N3" s="4">
        <v>9</v>
      </c>
      <c r="O3" s="4">
        <v>10</v>
      </c>
    </row>
    <row r="4" spans="1:15" x14ac:dyDescent="0.25">
      <c r="A4" s="138">
        <v>2010</v>
      </c>
      <c r="B4" s="100">
        <v>3</v>
      </c>
      <c r="C4" s="139">
        <v>997331</v>
      </c>
      <c r="E4" s="5">
        <v>2010</v>
      </c>
      <c r="F4" s="42">
        <v>432782</v>
      </c>
      <c r="G4" s="42">
        <v>898124</v>
      </c>
      <c r="H4" s="42">
        <v>997331</v>
      </c>
      <c r="I4" s="42">
        <v>1027219</v>
      </c>
      <c r="J4" s="42">
        <v>1035496</v>
      </c>
      <c r="K4" s="42">
        <v>1030840</v>
      </c>
      <c r="L4" s="42">
        <v>1038087</v>
      </c>
      <c r="M4" s="42">
        <v>1042345</v>
      </c>
      <c r="N4" s="42">
        <v>1042297</v>
      </c>
      <c r="O4" s="140">
        <v>1039601</v>
      </c>
    </row>
    <row r="5" spans="1:15" x14ac:dyDescent="0.25">
      <c r="A5" s="138">
        <v>2010</v>
      </c>
      <c r="B5" s="100">
        <v>4</v>
      </c>
      <c r="C5" s="139">
        <v>1027219</v>
      </c>
      <c r="E5" s="5">
        <f>E4+1</f>
        <v>2011</v>
      </c>
      <c r="F5" s="42">
        <v>441759</v>
      </c>
      <c r="G5" s="42">
        <v>913991</v>
      </c>
      <c r="H5" s="42">
        <v>1022900</v>
      </c>
      <c r="I5" s="42">
        <v>1077197</v>
      </c>
      <c r="J5" s="42">
        <v>1093877</v>
      </c>
      <c r="K5" s="42">
        <v>1105416</v>
      </c>
      <c r="L5" s="42">
        <v>1106969</v>
      </c>
      <c r="M5" s="42">
        <v>1113688</v>
      </c>
      <c r="N5" s="44">
        <v>1128980</v>
      </c>
      <c r="O5" s="11"/>
    </row>
    <row r="6" spans="1:15" x14ac:dyDescent="0.25">
      <c r="A6" s="138">
        <v>2010</v>
      </c>
      <c r="B6" s="100">
        <v>5</v>
      </c>
      <c r="C6" s="139">
        <v>1035496</v>
      </c>
      <c r="E6" s="5">
        <f t="shared" ref="E6:E13" si="0">E5+1</f>
        <v>2012</v>
      </c>
      <c r="F6" s="42">
        <v>419449</v>
      </c>
      <c r="G6" s="42">
        <v>848016</v>
      </c>
      <c r="H6" s="42">
        <v>925269</v>
      </c>
      <c r="I6" s="42">
        <v>979045</v>
      </c>
      <c r="J6" s="42">
        <v>1001307</v>
      </c>
      <c r="K6" s="42">
        <v>1018956</v>
      </c>
      <c r="L6" s="42">
        <v>1042093</v>
      </c>
      <c r="M6" s="44">
        <v>1041417</v>
      </c>
      <c r="N6" s="11"/>
      <c r="O6" s="11"/>
    </row>
    <row r="7" spans="1:15" x14ac:dyDescent="0.25">
      <c r="A7" s="138">
        <v>2010</v>
      </c>
      <c r="B7" s="100">
        <v>6</v>
      </c>
      <c r="C7" s="139">
        <v>1030840</v>
      </c>
      <c r="E7" s="5">
        <f t="shared" si="0"/>
        <v>2013</v>
      </c>
      <c r="F7" s="42">
        <v>407962</v>
      </c>
      <c r="G7" s="42">
        <v>876043</v>
      </c>
      <c r="H7" s="42">
        <v>999854</v>
      </c>
      <c r="I7" s="42">
        <v>1118598</v>
      </c>
      <c r="J7" s="42">
        <v>1231642</v>
      </c>
      <c r="K7" s="42">
        <v>1227681</v>
      </c>
      <c r="L7" s="44">
        <v>1244795</v>
      </c>
      <c r="M7" s="11"/>
      <c r="N7" s="11"/>
      <c r="O7" s="11"/>
    </row>
    <row r="8" spans="1:15" x14ac:dyDescent="0.25">
      <c r="A8" s="138">
        <v>2010</v>
      </c>
      <c r="B8" s="100">
        <v>7</v>
      </c>
      <c r="C8" s="139">
        <v>1038087</v>
      </c>
      <c r="E8" s="5">
        <f t="shared" si="0"/>
        <v>2014</v>
      </c>
      <c r="F8" s="42">
        <v>432585</v>
      </c>
      <c r="G8" s="42">
        <v>847593</v>
      </c>
      <c r="H8" s="42">
        <v>961562</v>
      </c>
      <c r="I8" s="42">
        <v>1009070</v>
      </c>
      <c r="J8" s="42">
        <v>1117569</v>
      </c>
      <c r="K8" s="44">
        <v>1124601</v>
      </c>
      <c r="L8" s="11"/>
      <c r="M8" s="11"/>
      <c r="N8" s="11"/>
      <c r="O8" s="11"/>
    </row>
    <row r="9" spans="1:15" x14ac:dyDescent="0.25">
      <c r="A9" s="138">
        <v>2010</v>
      </c>
      <c r="B9" s="100">
        <v>8</v>
      </c>
      <c r="C9" s="139">
        <v>1042345</v>
      </c>
      <c r="E9" s="5">
        <f t="shared" si="0"/>
        <v>2015</v>
      </c>
      <c r="F9" s="42">
        <v>409188</v>
      </c>
      <c r="G9" s="42">
        <v>864592</v>
      </c>
      <c r="H9" s="42">
        <v>960768</v>
      </c>
      <c r="I9" s="42">
        <v>1040363</v>
      </c>
      <c r="J9" s="44">
        <v>1064804</v>
      </c>
      <c r="K9" s="11"/>
      <c r="L9" s="11"/>
      <c r="M9" s="11"/>
      <c r="N9" s="11"/>
      <c r="O9" s="11"/>
    </row>
    <row r="10" spans="1:15" x14ac:dyDescent="0.25">
      <c r="A10" s="138">
        <v>2010</v>
      </c>
      <c r="B10" s="100">
        <v>9</v>
      </c>
      <c r="C10" s="139">
        <v>1042297</v>
      </c>
      <c r="E10" s="5">
        <f t="shared" si="0"/>
        <v>2016</v>
      </c>
      <c r="F10" s="42">
        <v>424180</v>
      </c>
      <c r="G10" s="42">
        <v>864312</v>
      </c>
      <c r="H10" s="42">
        <v>977930</v>
      </c>
      <c r="I10" s="44">
        <v>1026643</v>
      </c>
      <c r="J10" s="11"/>
      <c r="K10" s="11"/>
      <c r="L10" s="11"/>
      <c r="M10" s="11"/>
      <c r="N10" s="11"/>
      <c r="O10" s="11"/>
    </row>
    <row r="11" spans="1:15" x14ac:dyDescent="0.25">
      <c r="A11" s="138">
        <v>2010</v>
      </c>
      <c r="B11" s="100">
        <v>10</v>
      </c>
      <c r="C11" s="139">
        <v>1039601</v>
      </c>
      <c r="E11" s="5">
        <f t="shared" si="0"/>
        <v>2017</v>
      </c>
      <c r="F11" s="42">
        <v>442586</v>
      </c>
      <c r="G11" s="42">
        <v>905978</v>
      </c>
      <c r="H11" s="44">
        <v>1016550</v>
      </c>
      <c r="I11" s="11"/>
      <c r="J11" s="11"/>
      <c r="K11" s="11"/>
      <c r="L11" s="11"/>
      <c r="M11" s="11"/>
      <c r="N11" s="11"/>
      <c r="O11" s="11"/>
    </row>
    <row r="12" spans="1:15" x14ac:dyDescent="0.25">
      <c r="A12" s="138">
        <v>2011</v>
      </c>
      <c r="B12" s="100">
        <v>1</v>
      </c>
      <c r="C12" s="139">
        <v>441759</v>
      </c>
      <c r="E12" s="5">
        <f t="shared" si="0"/>
        <v>2018</v>
      </c>
      <c r="F12" s="42">
        <v>455111</v>
      </c>
      <c r="G12" s="44">
        <v>955309</v>
      </c>
      <c r="H12" s="11"/>
      <c r="I12" s="11"/>
      <c r="J12" s="11"/>
      <c r="K12" s="11"/>
      <c r="L12" s="11"/>
      <c r="M12" s="11"/>
      <c r="N12" s="11"/>
      <c r="O12" s="11"/>
    </row>
    <row r="13" spans="1:15" ht="15.75" thickBot="1" x14ac:dyDescent="0.3">
      <c r="A13" s="138">
        <v>2011</v>
      </c>
      <c r="B13" s="100">
        <v>2</v>
      </c>
      <c r="C13" s="139">
        <v>913991</v>
      </c>
      <c r="E13" s="6">
        <f t="shared" si="0"/>
        <v>2019</v>
      </c>
      <c r="F13" s="141">
        <v>462761</v>
      </c>
      <c r="G13" s="12"/>
      <c r="H13" s="12"/>
      <c r="I13" s="12"/>
      <c r="J13" s="12"/>
      <c r="K13" s="12"/>
      <c r="L13" s="12"/>
      <c r="M13" s="12"/>
      <c r="N13" s="12"/>
      <c r="O13" s="12"/>
    </row>
    <row r="14" spans="1:15" x14ac:dyDescent="0.25">
      <c r="A14" s="138">
        <v>2011</v>
      </c>
      <c r="B14" s="100">
        <v>3</v>
      </c>
      <c r="C14" s="139">
        <v>1022900</v>
      </c>
    </row>
    <row r="15" spans="1:15" x14ac:dyDescent="0.25">
      <c r="A15" s="138">
        <v>2011</v>
      </c>
      <c r="B15" s="100">
        <v>4</v>
      </c>
      <c r="C15" s="139">
        <v>1077197</v>
      </c>
    </row>
    <row r="16" spans="1:15" x14ac:dyDescent="0.25">
      <c r="A16" s="138">
        <v>2011</v>
      </c>
      <c r="B16" s="100">
        <v>5</v>
      </c>
      <c r="C16" s="139">
        <v>1093877</v>
      </c>
    </row>
    <row r="17" spans="1:3" x14ac:dyDescent="0.25">
      <c r="A17" s="138">
        <v>2011</v>
      </c>
      <c r="B17" s="100">
        <v>6</v>
      </c>
      <c r="C17" s="139">
        <v>1105416</v>
      </c>
    </row>
    <row r="18" spans="1:3" x14ac:dyDescent="0.25">
      <c r="A18" s="138">
        <v>2011</v>
      </c>
      <c r="B18" s="100">
        <v>7</v>
      </c>
      <c r="C18" s="139">
        <v>1106969</v>
      </c>
    </row>
    <row r="19" spans="1:3" x14ac:dyDescent="0.25">
      <c r="A19" s="138">
        <v>2011</v>
      </c>
      <c r="B19" s="100">
        <v>8</v>
      </c>
      <c r="C19" s="139">
        <v>1113688</v>
      </c>
    </row>
    <row r="20" spans="1:3" x14ac:dyDescent="0.25">
      <c r="A20" s="138">
        <v>2011</v>
      </c>
      <c r="B20" s="100">
        <v>9</v>
      </c>
      <c r="C20" s="139">
        <v>1128980</v>
      </c>
    </row>
    <row r="21" spans="1:3" x14ac:dyDescent="0.25">
      <c r="A21" s="138">
        <v>2011</v>
      </c>
      <c r="B21" s="100">
        <v>10</v>
      </c>
      <c r="C21" s="100" t="s">
        <v>218</v>
      </c>
    </row>
    <row r="22" spans="1:3" x14ac:dyDescent="0.25">
      <c r="A22" s="138">
        <v>2012</v>
      </c>
      <c r="B22" s="100">
        <v>1</v>
      </c>
      <c r="C22" s="139">
        <v>419449</v>
      </c>
    </row>
    <row r="23" spans="1:3" x14ac:dyDescent="0.25">
      <c r="A23" s="138">
        <v>2012</v>
      </c>
      <c r="B23" s="100">
        <v>2</v>
      </c>
      <c r="C23" s="139">
        <v>848016</v>
      </c>
    </row>
    <row r="24" spans="1:3" x14ac:dyDescent="0.25">
      <c r="A24" s="138">
        <v>2012</v>
      </c>
      <c r="B24" s="100">
        <v>3</v>
      </c>
      <c r="C24" s="139">
        <v>925269</v>
      </c>
    </row>
    <row r="25" spans="1:3" x14ac:dyDescent="0.25">
      <c r="A25" s="138">
        <v>2012</v>
      </c>
      <c r="B25" s="100">
        <v>4</v>
      </c>
      <c r="C25" s="139">
        <v>979045</v>
      </c>
    </row>
    <row r="26" spans="1:3" x14ac:dyDescent="0.25">
      <c r="A26" s="138">
        <v>2012</v>
      </c>
      <c r="B26" s="100">
        <v>5</v>
      </c>
      <c r="C26" s="139">
        <v>1001307</v>
      </c>
    </row>
    <row r="27" spans="1:3" x14ac:dyDescent="0.25">
      <c r="A27" s="138">
        <v>2012</v>
      </c>
      <c r="B27" s="100">
        <v>6</v>
      </c>
      <c r="C27" s="139">
        <v>1018956</v>
      </c>
    </row>
    <row r="28" spans="1:3" x14ac:dyDescent="0.25">
      <c r="A28" s="138">
        <v>2012</v>
      </c>
      <c r="B28" s="100">
        <v>7</v>
      </c>
      <c r="C28" s="139">
        <v>1042093</v>
      </c>
    </row>
    <row r="29" spans="1:3" x14ac:dyDescent="0.25">
      <c r="A29" s="138">
        <v>2012</v>
      </c>
      <c r="B29" s="100">
        <v>8</v>
      </c>
      <c r="C29" s="139">
        <v>1041417</v>
      </c>
    </row>
    <row r="30" spans="1:3" x14ac:dyDescent="0.25">
      <c r="A30" s="138">
        <v>2012</v>
      </c>
      <c r="B30" s="100">
        <v>9</v>
      </c>
      <c r="C30" s="100" t="s">
        <v>218</v>
      </c>
    </row>
    <row r="31" spans="1:3" x14ac:dyDescent="0.25">
      <c r="A31" s="138">
        <v>2012</v>
      </c>
      <c r="B31" s="100">
        <v>10</v>
      </c>
      <c r="C31" s="100" t="s">
        <v>218</v>
      </c>
    </row>
    <row r="32" spans="1:3" x14ac:dyDescent="0.25">
      <c r="A32" s="138">
        <v>2013</v>
      </c>
      <c r="B32" s="100">
        <v>1</v>
      </c>
      <c r="C32" s="139">
        <v>407962</v>
      </c>
    </row>
    <row r="33" spans="1:3" x14ac:dyDescent="0.25">
      <c r="A33" s="138">
        <v>2013</v>
      </c>
      <c r="B33" s="100">
        <v>2</v>
      </c>
      <c r="C33" s="139">
        <v>876043</v>
      </c>
    </row>
    <row r="34" spans="1:3" x14ac:dyDescent="0.25">
      <c r="A34" s="138">
        <v>2013</v>
      </c>
      <c r="B34" s="100">
        <v>3</v>
      </c>
      <c r="C34" s="139">
        <v>999854</v>
      </c>
    </row>
    <row r="35" spans="1:3" x14ac:dyDescent="0.25">
      <c r="A35" s="138">
        <v>2013</v>
      </c>
      <c r="B35" s="100">
        <v>4</v>
      </c>
      <c r="C35" s="139">
        <v>1118598</v>
      </c>
    </row>
    <row r="36" spans="1:3" x14ac:dyDescent="0.25">
      <c r="A36" s="138">
        <v>2013</v>
      </c>
      <c r="B36" s="100">
        <v>5</v>
      </c>
      <c r="C36" s="139">
        <v>1231642</v>
      </c>
    </row>
    <row r="37" spans="1:3" x14ac:dyDescent="0.25">
      <c r="A37" s="138">
        <v>2013</v>
      </c>
      <c r="B37" s="100">
        <v>6</v>
      </c>
      <c r="C37" s="139">
        <v>1227681</v>
      </c>
    </row>
    <row r="38" spans="1:3" x14ac:dyDescent="0.25">
      <c r="A38" s="138">
        <v>2013</v>
      </c>
      <c r="B38" s="100">
        <v>7</v>
      </c>
      <c r="C38" s="139">
        <v>1244795</v>
      </c>
    </row>
    <row r="39" spans="1:3" x14ac:dyDescent="0.25">
      <c r="A39" s="138">
        <v>2013</v>
      </c>
      <c r="B39" s="100">
        <v>8</v>
      </c>
      <c r="C39" s="100" t="s">
        <v>218</v>
      </c>
    </row>
    <row r="40" spans="1:3" x14ac:dyDescent="0.25">
      <c r="A40" s="138">
        <v>2013</v>
      </c>
      <c r="B40" s="100">
        <v>9</v>
      </c>
      <c r="C40" s="100" t="s">
        <v>218</v>
      </c>
    </row>
    <row r="41" spans="1:3" x14ac:dyDescent="0.25">
      <c r="A41" s="138">
        <v>2013</v>
      </c>
      <c r="B41" s="100">
        <v>10</v>
      </c>
      <c r="C41" s="100" t="s">
        <v>218</v>
      </c>
    </row>
    <row r="42" spans="1:3" x14ac:dyDescent="0.25">
      <c r="A42" s="138">
        <v>2014</v>
      </c>
      <c r="B42" s="100">
        <v>1</v>
      </c>
      <c r="C42" s="139">
        <v>432585</v>
      </c>
    </row>
    <row r="43" spans="1:3" x14ac:dyDescent="0.25">
      <c r="A43" s="138">
        <v>2014</v>
      </c>
      <c r="B43" s="100">
        <v>2</v>
      </c>
      <c r="C43" s="139">
        <v>847593</v>
      </c>
    </row>
    <row r="44" spans="1:3" x14ac:dyDescent="0.25">
      <c r="A44" s="138">
        <v>2014</v>
      </c>
      <c r="B44" s="100">
        <v>3</v>
      </c>
      <c r="C44" s="139">
        <v>961562</v>
      </c>
    </row>
    <row r="45" spans="1:3" x14ac:dyDescent="0.25">
      <c r="A45" s="138">
        <v>2014</v>
      </c>
      <c r="B45" s="100">
        <v>4</v>
      </c>
      <c r="C45" s="139">
        <v>1009070</v>
      </c>
    </row>
    <row r="46" spans="1:3" x14ac:dyDescent="0.25">
      <c r="A46" s="138">
        <v>2014</v>
      </c>
      <c r="B46" s="100">
        <v>5</v>
      </c>
      <c r="C46" s="139">
        <v>1117569</v>
      </c>
    </row>
    <row r="47" spans="1:3" x14ac:dyDescent="0.25">
      <c r="A47" s="138">
        <v>2014</v>
      </c>
      <c r="B47" s="100">
        <v>6</v>
      </c>
      <c r="C47" s="139">
        <v>1124601</v>
      </c>
    </row>
    <row r="48" spans="1:3" x14ac:dyDescent="0.25">
      <c r="A48" s="138">
        <v>2014</v>
      </c>
      <c r="B48" s="100">
        <v>7</v>
      </c>
      <c r="C48" s="100" t="s">
        <v>218</v>
      </c>
    </row>
    <row r="49" spans="1:3" x14ac:dyDescent="0.25">
      <c r="A49" s="138">
        <v>2014</v>
      </c>
      <c r="B49" s="100">
        <v>8</v>
      </c>
      <c r="C49" s="100" t="s">
        <v>218</v>
      </c>
    </row>
    <row r="50" spans="1:3" x14ac:dyDescent="0.25">
      <c r="A50" s="138">
        <v>2014</v>
      </c>
      <c r="B50" s="100">
        <v>9</v>
      </c>
      <c r="C50" s="100" t="s">
        <v>218</v>
      </c>
    </row>
    <row r="51" spans="1:3" x14ac:dyDescent="0.25">
      <c r="A51" s="138">
        <v>2014</v>
      </c>
      <c r="B51" s="100">
        <v>10</v>
      </c>
      <c r="C51" s="100" t="s">
        <v>218</v>
      </c>
    </row>
    <row r="52" spans="1:3" x14ac:dyDescent="0.25">
      <c r="A52" s="138">
        <v>2015</v>
      </c>
      <c r="B52" s="100">
        <v>1</v>
      </c>
      <c r="C52" s="139">
        <v>409188</v>
      </c>
    </row>
    <row r="53" spans="1:3" x14ac:dyDescent="0.25">
      <c r="A53" s="138">
        <v>2015</v>
      </c>
      <c r="B53" s="100">
        <v>2</v>
      </c>
      <c r="C53" s="139">
        <v>864592</v>
      </c>
    </row>
    <row r="54" spans="1:3" x14ac:dyDescent="0.25">
      <c r="A54" s="138">
        <v>2015</v>
      </c>
      <c r="B54" s="100">
        <v>3</v>
      </c>
      <c r="C54" s="139">
        <v>960768</v>
      </c>
    </row>
    <row r="55" spans="1:3" x14ac:dyDescent="0.25">
      <c r="A55" s="138">
        <v>2015</v>
      </c>
      <c r="B55" s="100">
        <v>4</v>
      </c>
      <c r="C55" s="139">
        <v>1040363</v>
      </c>
    </row>
    <row r="56" spans="1:3" x14ac:dyDescent="0.25">
      <c r="A56" s="138">
        <v>2015</v>
      </c>
      <c r="B56" s="100">
        <v>5</v>
      </c>
      <c r="C56" s="139">
        <v>1064804</v>
      </c>
    </row>
    <row r="57" spans="1:3" x14ac:dyDescent="0.25">
      <c r="A57" s="138">
        <v>2015</v>
      </c>
      <c r="B57" s="100">
        <v>6</v>
      </c>
      <c r="C57" s="100" t="s">
        <v>218</v>
      </c>
    </row>
    <row r="58" spans="1:3" x14ac:dyDescent="0.25">
      <c r="A58" s="138">
        <v>2015</v>
      </c>
      <c r="B58" s="100">
        <v>7</v>
      </c>
      <c r="C58" s="100" t="s">
        <v>218</v>
      </c>
    </row>
    <row r="59" spans="1:3" x14ac:dyDescent="0.25">
      <c r="A59" s="138">
        <v>2015</v>
      </c>
      <c r="B59" s="100">
        <v>8</v>
      </c>
      <c r="C59" s="100" t="s">
        <v>218</v>
      </c>
    </row>
    <row r="60" spans="1:3" x14ac:dyDescent="0.25">
      <c r="A60" s="138">
        <v>2015</v>
      </c>
      <c r="B60" s="100">
        <v>9</v>
      </c>
      <c r="C60" s="100" t="s">
        <v>218</v>
      </c>
    </row>
    <row r="61" spans="1:3" x14ac:dyDescent="0.25">
      <c r="A61" s="138">
        <v>2015</v>
      </c>
      <c r="B61" s="100">
        <v>10</v>
      </c>
      <c r="C61" s="100" t="s">
        <v>218</v>
      </c>
    </row>
    <row r="62" spans="1:3" x14ac:dyDescent="0.25">
      <c r="A62" s="138">
        <v>2016</v>
      </c>
      <c r="B62" s="100">
        <v>1</v>
      </c>
      <c r="C62" s="139">
        <v>424180</v>
      </c>
    </row>
    <row r="63" spans="1:3" x14ac:dyDescent="0.25">
      <c r="A63" s="138">
        <v>2016</v>
      </c>
      <c r="B63" s="100">
        <v>2</v>
      </c>
      <c r="C63" s="139">
        <v>864312</v>
      </c>
    </row>
    <row r="64" spans="1:3" x14ac:dyDescent="0.25">
      <c r="A64" s="138">
        <v>2016</v>
      </c>
      <c r="B64" s="100">
        <v>3</v>
      </c>
      <c r="C64" s="139">
        <v>977930</v>
      </c>
    </row>
    <row r="65" spans="1:3" x14ac:dyDescent="0.25">
      <c r="A65" s="138">
        <v>2016</v>
      </c>
      <c r="B65" s="100">
        <v>4</v>
      </c>
      <c r="C65" s="139">
        <v>1026643</v>
      </c>
    </row>
    <row r="66" spans="1:3" x14ac:dyDescent="0.25">
      <c r="A66" s="138">
        <v>2016</v>
      </c>
      <c r="B66" s="100">
        <v>5</v>
      </c>
      <c r="C66" s="100" t="s">
        <v>218</v>
      </c>
    </row>
    <row r="67" spans="1:3" x14ac:dyDescent="0.25">
      <c r="A67" s="138">
        <v>2016</v>
      </c>
      <c r="B67" s="100">
        <v>6</v>
      </c>
      <c r="C67" s="100" t="s">
        <v>218</v>
      </c>
    </row>
    <row r="68" spans="1:3" x14ac:dyDescent="0.25">
      <c r="A68" s="138">
        <v>2016</v>
      </c>
      <c r="B68" s="100">
        <v>7</v>
      </c>
      <c r="C68" s="100" t="s">
        <v>218</v>
      </c>
    </row>
    <row r="69" spans="1:3" x14ac:dyDescent="0.25">
      <c r="A69" s="138">
        <v>2016</v>
      </c>
      <c r="B69" s="100">
        <v>8</v>
      </c>
      <c r="C69" s="100" t="s">
        <v>218</v>
      </c>
    </row>
    <row r="70" spans="1:3" x14ac:dyDescent="0.25">
      <c r="A70" s="138">
        <v>2016</v>
      </c>
      <c r="B70" s="100">
        <v>9</v>
      </c>
      <c r="C70" s="100" t="s">
        <v>218</v>
      </c>
    </row>
    <row r="71" spans="1:3" x14ac:dyDescent="0.25">
      <c r="A71" s="138">
        <v>2016</v>
      </c>
      <c r="B71" s="100">
        <v>10</v>
      </c>
      <c r="C71" s="100" t="s">
        <v>218</v>
      </c>
    </row>
    <row r="72" spans="1:3" x14ac:dyDescent="0.25">
      <c r="A72" s="138">
        <v>2016</v>
      </c>
      <c r="B72" s="100">
        <v>1</v>
      </c>
      <c r="C72" s="139">
        <v>424180</v>
      </c>
    </row>
    <row r="73" spans="1:3" x14ac:dyDescent="0.25">
      <c r="A73" s="138">
        <v>2016</v>
      </c>
      <c r="B73" s="100">
        <v>2</v>
      </c>
      <c r="C73" s="139">
        <v>864312</v>
      </c>
    </row>
    <row r="74" spans="1:3" x14ac:dyDescent="0.25">
      <c r="A74" s="138">
        <v>2016</v>
      </c>
      <c r="B74" s="100">
        <v>3</v>
      </c>
      <c r="C74" s="139">
        <v>977930</v>
      </c>
    </row>
    <row r="75" spans="1:3" x14ac:dyDescent="0.25">
      <c r="A75" s="138">
        <v>2016</v>
      </c>
      <c r="B75" s="100">
        <v>4</v>
      </c>
      <c r="C75" s="139">
        <v>1026643</v>
      </c>
    </row>
    <row r="76" spans="1:3" x14ac:dyDescent="0.25">
      <c r="A76" s="138">
        <v>2016</v>
      </c>
      <c r="B76" s="100">
        <v>5</v>
      </c>
      <c r="C76" s="100" t="s">
        <v>218</v>
      </c>
    </row>
    <row r="77" spans="1:3" x14ac:dyDescent="0.25">
      <c r="A77" s="138">
        <v>2016</v>
      </c>
      <c r="B77" s="100">
        <v>6</v>
      </c>
      <c r="C77" s="100" t="s">
        <v>218</v>
      </c>
    </row>
    <row r="78" spans="1:3" x14ac:dyDescent="0.25">
      <c r="A78" s="138">
        <v>2016</v>
      </c>
      <c r="B78" s="100">
        <v>7</v>
      </c>
      <c r="C78" s="100" t="s">
        <v>218</v>
      </c>
    </row>
    <row r="79" spans="1:3" x14ac:dyDescent="0.25">
      <c r="A79" s="138">
        <v>2016</v>
      </c>
      <c r="B79" s="100">
        <v>8</v>
      </c>
      <c r="C79" s="100" t="s">
        <v>218</v>
      </c>
    </row>
    <row r="80" spans="1:3" x14ac:dyDescent="0.25">
      <c r="A80" s="138">
        <v>2016</v>
      </c>
      <c r="B80" s="100">
        <v>9</v>
      </c>
      <c r="C80" s="100" t="s">
        <v>218</v>
      </c>
    </row>
    <row r="81" spans="1:3" x14ac:dyDescent="0.25">
      <c r="A81" s="138">
        <v>2016</v>
      </c>
      <c r="B81" s="100">
        <v>10</v>
      </c>
      <c r="C81" s="100" t="s">
        <v>218</v>
      </c>
    </row>
    <row r="82" spans="1:3" x14ac:dyDescent="0.25">
      <c r="A82" s="138">
        <v>2017</v>
      </c>
      <c r="B82" s="100">
        <v>1</v>
      </c>
      <c r="C82" s="139">
        <v>442586</v>
      </c>
    </row>
    <row r="83" spans="1:3" x14ac:dyDescent="0.25">
      <c r="A83" s="138">
        <v>2017</v>
      </c>
      <c r="B83" s="100">
        <v>2</v>
      </c>
      <c r="C83" s="139">
        <v>905978</v>
      </c>
    </row>
    <row r="84" spans="1:3" x14ac:dyDescent="0.25">
      <c r="A84" s="138">
        <v>2017</v>
      </c>
      <c r="B84" s="100">
        <v>3</v>
      </c>
      <c r="C84" s="139">
        <v>1016550</v>
      </c>
    </row>
    <row r="85" spans="1:3" x14ac:dyDescent="0.25">
      <c r="A85" s="138">
        <v>2017</v>
      </c>
      <c r="B85" s="100">
        <v>4</v>
      </c>
      <c r="C85" s="100" t="s">
        <v>218</v>
      </c>
    </row>
    <row r="86" spans="1:3" x14ac:dyDescent="0.25">
      <c r="A86" s="138">
        <v>2017</v>
      </c>
      <c r="B86" s="100">
        <v>5</v>
      </c>
      <c r="C86" s="100" t="s">
        <v>218</v>
      </c>
    </row>
    <row r="87" spans="1:3" x14ac:dyDescent="0.25">
      <c r="A87" s="138">
        <v>2017</v>
      </c>
      <c r="B87" s="100">
        <v>6</v>
      </c>
      <c r="C87" s="100" t="s">
        <v>218</v>
      </c>
    </row>
    <row r="88" spans="1:3" x14ac:dyDescent="0.25">
      <c r="A88" s="138">
        <v>2017</v>
      </c>
      <c r="B88" s="100">
        <v>7</v>
      </c>
      <c r="C88" s="100" t="s">
        <v>218</v>
      </c>
    </row>
    <row r="89" spans="1:3" x14ac:dyDescent="0.25">
      <c r="A89" s="138">
        <v>2017</v>
      </c>
      <c r="B89" s="100">
        <v>8</v>
      </c>
      <c r="C89" s="100" t="s">
        <v>218</v>
      </c>
    </row>
    <row r="90" spans="1:3" x14ac:dyDescent="0.25">
      <c r="A90" s="138">
        <v>2017</v>
      </c>
      <c r="B90" s="100">
        <v>9</v>
      </c>
      <c r="C90" s="100" t="s">
        <v>218</v>
      </c>
    </row>
    <row r="91" spans="1:3" x14ac:dyDescent="0.25">
      <c r="A91" s="138">
        <v>2017</v>
      </c>
      <c r="B91" s="100">
        <v>10</v>
      </c>
      <c r="C91" s="100" t="s">
        <v>218</v>
      </c>
    </row>
    <row r="92" spans="1:3" x14ac:dyDescent="0.25">
      <c r="A92" s="138">
        <v>2018</v>
      </c>
      <c r="B92" s="100">
        <v>1</v>
      </c>
      <c r="C92" s="139">
        <v>455111</v>
      </c>
    </row>
    <row r="93" spans="1:3" x14ac:dyDescent="0.25">
      <c r="A93" s="138">
        <v>2018</v>
      </c>
      <c r="B93" s="100">
        <v>2</v>
      </c>
      <c r="C93" s="139">
        <v>955309</v>
      </c>
    </row>
    <row r="94" spans="1:3" x14ac:dyDescent="0.25">
      <c r="A94" s="138">
        <v>2018</v>
      </c>
      <c r="B94" s="100">
        <v>3</v>
      </c>
      <c r="C94" s="100" t="s">
        <v>218</v>
      </c>
    </row>
    <row r="95" spans="1:3" x14ac:dyDescent="0.25">
      <c r="A95" s="138">
        <v>2018</v>
      </c>
      <c r="B95" s="100">
        <v>4</v>
      </c>
      <c r="C95" s="100" t="s">
        <v>218</v>
      </c>
    </row>
    <row r="96" spans="1:3" x14ac:dyDescent="0.25">
      <c r="A96" s="138">
        <v>2018</v>
      </c>
      <c r="B96" s="100">
        <v>5</v>
      </c>
      <c r="C96" s="100" t="s">
        <v>218</v>
      </c>
    </row>
    <row r="97" spans="1:3" x14ac:dyDescent="0.25">
      <c r="A97" s="138">
        <v>2018</v>
      </c>
      <c r="B97" s="100">
        <v>6</v>
      </c>
      <c r="C97" s="100" t="s">
        <v>218</v>
      </c>
    </row>
    <row r="98" spans="1:3" x14ac:dyDescent="0.25">
      <c r="A98" s="138">
        <v>2018</v>
      </c>
      <c r="B98" s="100">
        <v>7</v>
      </c>
      <c r="C98" s="100" t="s">
        <v>218</v>
      </c>
    </row>
    <row r="99" spans="1:3" x14ac:dyDescent="0.25">
      <c r="A99" s="138">
        <v>2018</v>
      </c>
      <c r="B99" s="100">
        <v>8</v>
      </c>
      <c r="C99" s="100" t="s">
        <v>218</v>
      </c>
    </row>
    <row r="100" spans="1:3" x14ac:dyDescent="0.25">
      <c r="A100" s="138">
        <v>2018</v>
      </c>
      <c r="B100" s="100">
        <v>9</v>
      </c>
      <c r="C100" s="100" t="s">
        <v>218</v>
      </c>
    </row>
    <row r="101" spans="1:3" x14ac:dyDescent="0.25">
      <c r="A101" s="138">
        <v>2018</v>
      </c>
      <c r="B101" s="100">
        <v>10</v>
      </c>
      <c r="C101" s="100" t="s">
        <v>218</v>
      </c>
    </row>
    <row r="102" spans="1:3" x14ac:dyDescent="0.25">
      <c r="A102" s="138">
        <v>2019</v>
      </c>
      <c r="B102" s="100">
        <v>1</v>
      </c>
      <c r="C102" s="139">
        <v>462761</v>
      </c>
    </row>
    <row r="103" spans="1:3" x14ac:dyDescent="0.25">
      <c r="A103" s="138">
        <v>2019</v>
      </c>
      <c r="B103" s="100">
        <v>2</v>
      </c>
      <c r="C103" s="100" t="s">
        <v>218</v>
      </c>
    </row>
    <row r="104" spans="1:3" x14ac:dyDescent="0.25">
      <c r="A104" s="138">
        <v>2019</v>
      </c>
      <c r="B104" s="100">
        <v>3</v>
      </c>
      <c r="C104" s="100" t="s">
        <v>218</v>
      </c>
    </row>
    <row r="105" spans="1:3" x14ac:dyDescent="0.25">
      <c r="A105" s="138">
        <v>2019</v>
      </c>
      <c r="B105" s="100">
        <v>4</v>
      </c>
      <c r="C105" s="100" t="s">
        <v>218</v>
      </c>
    </row>
    <row r="106" spans="1:3" x14ac:dyDescent="0.25">
      <c r="A106" s="138">
        <v>2019</v>
      </c>
      <c r="B106" s="100">
        <v>5</v>
      </c>
      <c r="C106" s="100" t="s">
        <v>218</v>
      </c>
    </row>
    <row r="107" spans="1:3" x14ac:dyDescent="0.25">
      <c r="A107" s="138">
        <v>2019</v>
      </c>
      <c r="B107" s="100">
        <v>6</v>
      </c>
      <c r="C107" s="100" t="s">
        <v>218</v>
      </c>
    </row>
    <row r="108" spans="1:3" x14ac:dyDescent="0.25">
      <c r="A108" s="138">
        <v>2019</v>
      </c>
      <c r="B108" s="100">
        <v>7</v>
      </c>
      <c r="C108" s="100" t="s">
        <v>218</v>
      </c>
    </row>
    <row r="109" spans="1:3" x14ac:dyDescent="0.25">
      <c r="A109" s="138">
        <v>2019</v>
      </c>
      <c r="B109" s="100">
        <v>8</v>
      </c>
      <c r="C109" s="100" t="s">
        <v>218</v>
      </c>
    </row>
    <row r="110" spans="1:3" x14ac:dyDescent="0.25">
      <c r="A110" s="138">
        <v>2019</v>
      </c>
      <c r="B110" s="100">
        <v>9</v>
      </c>
      <c r="C110" s="100" t="s">
        <v>218</v>
      </c>
    </row>
    <row r="111" spans="1:3" x14ac:dyDescent="0.25">
      <c r="A111" s="138">
        <v>2019</v>
      </c>
      <c r="B111" s="100">
        <v>10</v>
      </c>
      <c r="C111" s="100" t="s">
        <v>218</v>
      </c>
    </row>
  </sheetData>
  <mergeCells count="1">
    <mergeCell ref="F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Enoncé</vt:lpstr>
      <vt:lpstr>Triangles</vt:lpstr>
      <vt:lpstr>Chain ladder</vt:lpstr>
      <vt:lpstr>Bornhuetter- ferguson(paiement)</vt:lpstr>
      <vt:lpstr>Synthèse</vt:lpstr>
      <vt:lpstr>Feuil2</vt:lpstr>
      <vt:lpstr>Bornhuetter-ferguson(chargesin</vt:lpstr>
      <vt:lpstr>Log normale</vt:lpstr>
      <vt:lpstr>Mack</vt:lpstr>
      <vt:lpstr>quantiles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Admimos</dc:creator>
  <cp:lastModifiedBy>alioune ndoye</cp:lastModifiedBy>
  <dcterms:created xsi:type="dcterms:W3CDTF">2017-05-13T22:26:59Z</dcterms:created>
  <dcterms:modified xsi:type="dcterms:W3CDTF">2021-04-12T19:38:38Z</dcterms:modified>
</cp:coreProperties>
</file>